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ingredientes" sheetId="1" r:id="rId5"/>
    <sheet state="visible" name="Catálogo Geral" sheetId="2" r:id="rId6"/>
    <sheet state="visible" name="Pré-preparos e Variegatos" sheetId="3" r:id="rId7"/>
    <sheet state="visible" name="Receitas" sheetId="4" r:id="rId8"/>
    <sheet state="visible" name="Conversor Custo K|G" sheetId="5" r:id="rId9"/>
    <sheet state="visible" name="Balanceamento" sheetId="6" r:id="rId10"/>
  </sheets>
  <definedNames>
    <definedName hidden="1" localSheetId="0" name="_xlnm._FilterDatabase">'Tabela de ingredientes'!$A$4:$L$188</definedName>
    <definedName hidden="1" localSheetId="3" name="_xlnm._FilterDatabase">Receitas!$A$1:$D$1370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tc={332c2c94-066d-4f0d-8813-dbd5a1cc80a9}</author>
    <author>tc={6113af6d-98b3-4a64-9117-8a76bf0973aa}</author>
    <author>tc={984296b9-0530-4bb7-b1f0-080fe81b4ce6}</author>
    <author>tc={c621d8fc-65dd-4476-94f9-804460a6de7c}</author>
    <author>tc={d0ec3a0f-d1c0-409b-99d3-23037823da47}</author>
    <author>tc={d1c5301d-c273-49ed-a76a-0fe40331ac9c}</author>
  </authors>
  <commentList>
    <comment authorId="0" xr:uid="{332c2c94-066d-4f0d-8813-dbd5a1cc80a9}" ref="A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ingerir mais do que 30gr dia.
</t>
      </text>
    </comment>
    <comment authorId="1" xr:uid="{6113af6d-98b3-4a64-9117-8a76bf0973aa}" ref="A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Ingredientes para 1kg de Mix Zero
Polidextrose - Fibra 730 
Eritritol 245 
Stevia em pó 3-5 
Goma de Alfarroba 20
</t>
      </text>
    </comment>
    <comment authorId="2" xr:uid="{984296b9-0530-4bb7-b1f0-080fe81b4ce6}" ref="A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Stevia em pó pode variar de 30 a 300 de POD, seja cauteloso ao utilizar
</t>
      </text>
    </comment>
    <comment authorId="3" xr:uid="{c621d8fc-65dd-4476-94f9-804460a6de7c}" ref="A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Recomendado não ingerir mais do que 50gr por dia.
</t>
      </text>
    </comment>
    <comment authorId="4" xr:uid="{d0ec3a0f-d1c0-409b-99d3-23037823da47}" ref="A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ingerir mais do que 100gr dia
</t>
      </text>
    </comment>
    <comment authorId="5" xr:uid="{d1c5301d-c273-49ed-a76a-0fe40331ac9c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Ingredientes:
90g de água (preferencialmente filtrada);
210g de açúcar (qualquer tipo comum);
1g de ácido cítrico (ou 15g de suco de limão);
1g de bicarbonato de sódio.
Passo a passo:
Aquecimento inicial: Misture a água e o açúcar em uma panela e leve ao fogo até atingir entre 50ºC e 55ºC.
Adição do ácido: Adicione o ácido cítrico à mistura para iniciar a reação de hidrólise.
Cozimento controlado: Mantenha a mistura aquecida entre 85ºC e 90ºC por aproximadamente 40 minutos. É recomendado cobrir a panela (com tampa ou plástico filme próprio para contato) para evitar a evaporação da água.
Resfriamento: Após o tempo de cozimento, deixe a mistura esfriar até retornar aos 50ºC antes de seguir para o próximo passo.
Neutralização: Dilua o bicarbonato de sódio em um pouco de água para facilitar a mistura e adicione-o ao xarope. O bicarbonato irá reagir com o ácido, criando uma efervescência (espuma).
Finalização: Opcionalmente, passe a mistura por uma peneira. O açúcar invertido pronto terá uma viscosidade semelhante ao mel e uma leve coloração amarelada.
</t>
      </text>
    </comment>
  </commentList>
</comments>
</file>

<file path=xl/sharedStrings.xml><?xml version="1.0" encoding="utf-8"?>
<sst xmlns="http://schemas.openxmlformats.org/spreadsheetml/2006/main" count="27766" uniqueCount="658">
  <si>
    <t>PAINEL GERENCIAL E CATÁLOGO DE RECEITAS DE GELATO</t>
  </si>
  <si>
    <t>Pré-preparo</t>
  </si>
  <si>
    <t>Categoria (Aba Receitas)</t>
  </si>
  <si>
    <t>Ingredientes</t>
  </si>
  <si>
    <t>Total Receitas</t>
  </si>
  <si>
    <t>Custo Kg</t>
  </si>
  <si>
    <t>Status Ok</t>
  </si>
  <si>
    <t>Status Revisar</t>
  </si>
  <si>
    <t>Açúcares</t>
  </si>
  <si>
    <t>Gorduras</t>
  </si>
  <si>
    <t>SNGL</t>
  </si>
  <si>
    <t>% Conformidade</t>
  </si>
  <si>
    <t>Outros Sólidos</t>
  </si>
  <si>
    <t>Sólidos Totais</t>
  </si>
  <si>
    <t>Água</t>
  </si>
  <si>
    <t>Peso ≠ 1.000 g</t>
  </si>
  <si>
    <t>POD</t>
  </si>
  <si>
    <t>PAC</t>
  </si>
  <si>
    <t>Custo Médio/Kg (R$)</t>
  </si>
  <si>
    <t>Proteína</t>
  </si>
  <si>
    <t>Menor Custo/Kg (R$)</t>
  </si>
  <si>
    <t>Alergênico</t>
  </si>
  <si>
    <t>Maior Custo/Kg (R$)</t>
  </si>
  <si>
    <t>Preço Médio Pote 500g (R$)</t>
  </si>
  <si>
    <t>Ingrediente</t>
  </si>
  <si>
    <t>Gelatos de Leite</t>
  </si>
  <si>
    <t>Peso (g)</t>
  </si>
  <si>
    <t>Abacate</t>
  </si>
  <si>
    <t>Categoria</t>
  </si>
  <si>
    <t>Modo de Preparo</t>
  </si>
  <si>
    <t>Receita</t>
  </si>
  <si>
    <t>Variegato</t>
  </si>
  <si>
    <t>Não</t>
  </si>
  <si>
    <t>Parâmetros de tolerância para cada receita:</t>
  </si>
  <si>
    <t>Peso(g)</t>
  </si>
  <si>
    <t>Sub-receita</t>
  </si>
  <si>
    <t>Custo (R$)</t>
  </si>
  <si>
    <t>Abacaxi</t>
  </si>
  <si>
    <t>Açúcares (g)</t>
  </si>
  <si>
    <t>Peso Bruto (g)</t>
  </si>
  <si>
    <t>Gorduras (g)</t>
  </si>
  <si>
    <t>SLNG (g)</t>
  </si>
  <si>
    <t>Outros Sólidos (g)</t>
  </si>
  <si>
    <t>Perda Cocção (%)</t>
  </si>
  <si>
    <t>POD Pond.</t>
  </si>
  <si>
    <t>PAC Pond.</t>
  </si>
  <si>
    <t>Proteína (g)</t>
  </si>
  <si>
    <t>Peso Final (g)</t>
  </si>
  <si>
    <t>Gelato de leite</t>
  </si>
  <si>
    <t>Fator Concentração</t>
  </si>
  <si>
    <t>Fior di Latte (Direto ao Ponto)</t>
  </si>
  <si>
    <t>SLNG</t>
  </si>
  <si>
    <t>OS</t>
  </si>
  <si>
    <t>ST</t>
  </si>
  <si>
    <t>Status</t>
  </si>
  <si>
    <t>Combinação do Rótulo (Anvisa)</t>
  </si>
  <si>
    <t>Acerola</t>
  </si>
  <si>
    <t>Pudim</t>
  </si>
  <si>
    <t>Leite Integral</t>
  </si>
  <si>
    <t>Mínimo</t>
  </si>
  <si>
    <t>Ovo Galinha</t>
  </si>
  <si>
    <t>Ok</t>
  </si>
  <si>
    <t>Alto em Açúcar Adicionado</t>
  </si>
  <si>
    <t>Açúcar - Dextrose</t>
  </si>
  <si>
    <t>Máximo</t>
  </si>
  <si>
    <t>Baixo</t>
  </si>
  <si>
    <t>Alto em Gordura Saturada</t>
  </si>
  <si>
    <t>Assar por 1h50m a 180 graus. Cobrir com papel alumínio e colocar uma assadeira com água embaixo. Usar açúcar cristal para fazer o caramelo.</t>
  </si>
  <si>
    <t>Açúcar - Frutose</t>
  </si>
  <si>
    <t>Variegato de Brigadeiro</t>
  </si>
  <si>
    <t>Sorbet</t>
  </si>
  <si>
    <t>Leite Condensado</t>
  </si>
  <si>
    <t>Alto</t>
  </si>
  <si>
    <t>Alto em Sódio</t>
  </si>
  <si>
    <t>Açúcar - Glucose em pó</t>
  </si>
  <si>
    <t>Alto em Açúcar Adicionado e Gordura Saturada</t>
  </si>
  <si>
    <t>Açúcar - Glucose Líquida</t>
  </si>
  <si>
    <t>Alto em Açúcar Adicionado e Sódio</t>
  </si>
  <si>
    <t>Açúcar - Lactose</t>
  </si>
  <si>
    <t>Sim</t>
  </si>
  <si>
    <t>Gelato de leite com fruta</t>
  </si>
  <si>
    <t>Alto em Gordura Saturada e Sódio</t>
  </si>
  <si>
    <t>Açúcar - Maltodextrina</t>
  </si>
  <si>
    <t>Gelatos de Leite com Fruta</t>
  </si>
  <si>
    <t>Alto em Açúcar Adicionado, Gordura Saturada e Sódio</t>
  </si>
  <si>
    <t>Açúcar de maçã(66% açúcar)</t>
  </si>
  <si>
    <t>Sorbets</t>
  </si>
  <si>
    <t>Açúcar Invertido</t>
  </si>
  <si>
    <t>Base de Água com Chocolate</t>
  </si>
  <si>
    <t>Chocolate base água</t>
  </si>
  <si>
    <t>Os</t>
  </si>
  <si>
    <t>St</t>
  </si>
  <si>
    <t>Pod</t>
  </si>
  <si>
    <t>Pac</t>
  </si>
  <si>
    <t>Açúcar Sacarose</t>
  </si>
  <si>
    <t>Vegano</t>
  </si>
  <si>
    <t>Álcool 96°</t>
  </si>
  <si>
    <t>Base Vegana</t>
  </si>
  <si>
    <t>Ameixa Vermelha</t>
  </si>
  <si>
    <t>Creme De Leite UHT 17% - Piracanjuba</t>
  </si>
  <si>
    <t>Amendoim Torrado</t>
  </si>
  <si>
    <t>Alcoólicos</t>
  </si>
  <si>
    <t>Amora</t>
  </si>
  <si>
    <t>MIX ZERO</t>
  </si>
  <si>
    <t>Atemoia</t>
  </si>
  <si>
    <t>Banana</t>
  </si>
  <si>
    <t>Base de água</t>
  </si>
  <si>
    <t>Gelatos Proteicos</t>
  </si>
  <si>
    <t>Brigadeiro</t>
  </si>
  <si>
    <t>Zero</t>
  </si>
  <si>
    <t>Total / Média Geral</t>
  </si>
  <si>
    <t>Cacau Em Pó 11% gordura</t>
  </si>
  <si>
    <t>Croissant</t>
  </si>
  <si>
    <t>Polidextrose - Fibra</t>
  </si>
  <si>
    <t>Nº Insumos</t>
  </si>
  <si>
    <t>Peso Receita (g)</t>
  </si>
  <si>
    <t>Padronização 1kg</t>
  </si>
  <si>
    <t>Custo / Kg (R$)</t>
  </si>
  <si>
    <t>Custo Bola 60g (R$)</t>
  </si>
  <si>
    <t>Preço Sugerido Pote 500g (R$)</t>
  </si>
  <si>
    <t>Açúcares (%)</t>
  </si>
  <si>
    <t>Gorduras (%)</t>
  </si>
  <si>
    <t>SLNG (%)</t>
  </si>
  <si>
    <t>Outros Sólidos (%)</t>
  </si>
  <si>
    <t>Manteiga</t>
  </si>
  <si>
    <t>Sólidos Totais (%)</t>
  </si>
  <si>
    <t>Água (%)</t>
  </si>
  <si>
    <t>Proteína (%)</t>
  </si>
  <si>
    <t>Temp. Serviço (°C)</t>
  </si>
  <si>
    <t>Status Balanceamento</t>
  </si>
  <si>
    <t>Leite condensado Vegetal</t>
  </si>
  <si>
    <t>Eritritol</t>
  </si>
  <si>
    <t>Chocolate Ao Leite 33.7%</t>
  </si>
  <si>
    <t>Leite de castanha</t>
  </si>
  <si>
    <t>Creme De Leite Fresco 35%</t>
  </si>
  <si>
    <t>Leite Em Pó Desnatado</t>
  </si>
  <si>
    <t>Farinha De Semente De Alfarroba</t>
  </si>
  <si>
    <t>Variegato de Caramelo Flor de Sal</t>
  </si>
  <si>
    <t>Pasta de amendoim c/ açúcar</t>
  </si>
  <si>
    <t>Neutro Fabbri</t>
  </si>
  <si>
    <t>Stevia em pó</t>
  </si>
  <si>
    <t>Sal</t>
  </si>
  <si>
    <t>Pasta de cacau</t>
  </si>
  <si>
    <t>Café Bianco Flocado (Direto ao Ponto)</t>
  </si>
  <si>
    <t>Creme De Leite UHT 25%</t>
  </si>
  <si>
    <t>Base de leite</t>
  </si>
  <si>
    <t>Base de Leite (Creme de leite 17% UHT)</t>
  </si>
  <si>
    <t>Chocolate com Gostosuras (Direto ao Ponto)</t>
  </si>
  <si>
    <t>Variegato de Cocada</t>
  </si>
  <si>
    <t>Coco</t>
  </si>
  <si>
    <t>Caramelizar o açúcar. Após, adicionar o coco ralado e misturar. Adicionar o resto dos ingredientes e reduzir em fogo baixo. Somente adicionar o coco em tiras próximo do final.</t>
  </si>
  <si>
    <t>Base de leite(Fior di latte)</t>
  </si>
  <si>
    <t>Farinha de trigo</t>
  </si>
  <si>
    <t>Coco Ralado Seco</t>
  </si>
  <si>
    <t>Pré-preparo de Caramelo</t>
  </si>
  <si>
    <t>Chocolate Amargo 70%</t>
  </si>
  <si>
    <t>Crema (Direto ao Ponto)</t>
  </si>
  <si>
    <t>Variegato de Nutella</t>
  </si>
  <si>
    <t>Gema Do Ovo</t>
  </si>
  <si>
    <t>Pasta Baunilha - Vanilla Brasil</t>
  </si>
  <si>
    <t>Crema di Santa Fina (Direto ao Ponto)</t>
  </si>
  <si>
    <t>Diferente (1001 g)</t>
  </si>
  <si>
    <t>Suco De Limão</t>
  </si>
  <si>
    <t>Pasta De Castanha De Caju 100%</t>
  </si>
  <si>
    <t>Nutella</t>
  </si>
  <si>
    <t>1. Aqueça o creme de leite junto com a glucose, o sal (e o cacau, se usar) em uma panela até atingir cerca de 80°C (início de fervura).
2. Despeje a mistura quente sobre a Nutella em um recipiente.
3. Deixe descansar por 1 minuto para o calor amolecer a Nutella.
4. Utilize um mixer de imersão por alguns minutos até obter uma emulsão lisa, brilhante e homogênea.
5. Deixe esfriar completamente antes de utilizar para mesclar no gelato.</t>
  </si>
  <si>
    <t>Raspa De Limão (Casca)</t>
  </si>
  <si>
    <t>Óleo de coco</t>
  </si>
  <si>
    <t>Baunilha com Mascavo (Direto ao Ponto)</t>
  </si>
  <si>
    <t>Açúcar Mascavo</t>
  </si>
  <si>
    <t>Inulina - Fibra Vegetal</t>
  </si>
  <si>
    <t>1.000 g (Padrão)</t>
  </si>
  <si>
    <t>Doce de Leite (Direto ao Ponto)</t>
  </si>
  <si>
    <t>Doce De Leite - Lata</t>
  </si>
  <si>
    <t>Chocolate Amargo 60%</t>
  </si>
  <si>
    <t>Nesquik (Direto ao Ponto)</t>
  </si>
  <si>
    <t>Nesquik / Ovomaltine</t>
  </si>
  <si>
    <t>Cream Cheese (Direto ao Ponto)</t>
  </si>
  <si>
    <t>Cream cheese</t>
  </si>
  <si>
    <t>Diferente (1005 g)</t>
  </si>
  <si>
    <t>Parmesão (Direto ao Ponto)</t>
  </si>
  <si>
    <t>Parmesão</t>
  </si>
  <si>
    <t>Gorgonzola (Direto ao Ponto)</t>
  </si>
  <si>
    <t>Gorgonzola</t>
  </si>
  <si>
    <t>Diferente (1003 g)</t>
  </si>
  <si>
    <t>Chocolate Branco Assado com Missô (Direto ao Ponto)</t>
  </si>
  <si>
    <t>Chocolate Branco</t>
  </si>
  <si>
    <t/>
  </si>
  <si>
    <t>Missô</t>
  </si>
  <si>
    <t>Iogurte (Direto ao Ponto)</t>
  </si>
  <si>
    <t>Iogurte Integral</t>
  </si>
  <si>
    <t>Diferente (1002 g)</t>
  </si>
  <si>
    <t>Milho (Direto ao Ponto)</t>
  </si>
  <si>
    <t>Milho Verde</t>
  </si>
  <si>
    <t>Coco Fresco (Direto ao Ponto)</t>
  </si>
  <si>
    <t>Leite de Coco</t>
  </si>
  <si>
    <t>Sucrilhos (Direto ao Ponto)</t>
  </si>
  <si>
    <t>Sucrilhos</t>
  </si>
  <si>
    <t>Batata doce roxa</t>
  </si>
  <si>
    <t>Biscoff</t>
  </si>
  <si>
    <t>Biscoito Champanhe</t>
  </si>
  <si>
    <t>Biscoito Chocolate</t>
  </si>
  <si>
    <t>Redução de Açúcar</t>
  </si>
  <si>
    <t>Intenso de Cacau (Direto ao Ponto)</t>
  </si>
  <si>
    <t>Chocolate 70% (Direto ao Ponto)</t>
  </si>
  <si>
    <t>Pistache - Base Oleaginosas (Direto ao Ponto)</t>
  </si>
  <si>
    <t>Pasta De Pistache 100%</t>
  </si>
  <si>
    <t>Gelato Base Branca (Addolcire)</t>
  </si>
  <si>
    <t>Cacau Em Pó 22% gordura</t>
  </si>
  <si>
    <t>Gelato de Caffè Bianco (Addolcire)</t>
  </si>
  <si>
    <t>Cachaça</t>
  </si>
  <si>
    <t>Café Expresso</t>
  </si>
  <si>
    <t>Café Solúvel</t>
  </si>
  <si>
    <t>Caqui</t>
  </si>
  <si>
    <t>Cenoura</t>
  </si>
  <si>
    <t>Cereja</t>
  </si>
  <si>
    <t>Cereja Em Calda</t>
  </si>
  <si>
    <t>Chocolate Amargo 90%</t>
  </si>
  <si>
    <t>Chocolate ao leite 40%</t>
  </si>
  <si>
    <t>Chocolate em pó 50%</t>
  </si>
  <si>
    <t>Clara de Ovo</t>
  </si>
  <si>
    <t>Cointreau</t>
  </si>
  <si>
    <t>Creme de leite de castanha 20%</t>
  </si>
  <si>
    <t>Creme De Leite Fresco 38%</t>
  </si>
  <si>
    <t>Diferente (997 g)</t>
  </si>
  <si>
    <t>Gelato de Iogurte com Amarena (Addolcire)</t>
  </si>
  <si>
    <t>Gelato de Cheesecake (Addolcire)</t>
  </si>
  <si>
    <t>Gramagem (g)</t>
  </si>
  <si>
    <t>Preço Pago</t>
  </si>
  <si>
    <t>Preço/Kg</t>
  </si>
  <si>
    <t>Exemplos de custos de Rateio</t>
  </si>
  <si>
    <t>Custo Fixo</t>
  </si>
  <si>
    <t>Diferente (996 g)</t>
  </si>
  <si>
    <t>Exemplo mensal</t>
  </si>
  <si>
    <t>Critério de Rateio</t>
  </si>
  <si>
    <t>Aluguel do espaço</t>
  </si>
  <si>
    <t>Dividido pelo nº de potes produzidos</t>
  </si>
  <si>
    <t>Energia elétrica</t>
  </si>
  <si>
    <t>Total dividido pela produção</t>
  </si>
  <si>
    <t>Descrição</t>
  </si>
  <si>
    <t>Valor (R$)</t>
  </si>
  <si>
    <t>Notas</t>
  </si>
  <si>
    <t>Mesmo critério</t>
  </si>
  <si>
    <t>Custo Direto por pote (ingredientes + embalagem)</t>
  </si>
  <si>
    <t>Insira o custo direto do pote</t>
  </si>
  <si>
    <t>Folha de pagamento (fixa)</t>
  </si>
  <si>
    <t>Produção ou tempo de uso</t>
  </si>
  <si>
    <t>Custo Indireto por pote (rateio dos custos fixos)</t>
  </si>
  <si>
    <t>Rateie seus custos fixos mensais pela produção</t>
  </si>
  <si>
    <t>Contador</t>
  </si>
  <si>
    <t>Rateado entre todos os produtos</t>
  </si>
  <si>
    <t>Custo Total (automático)</t>
  </si>
  <si>
    <t>Soma automática de C10 + C11</t>
  </si>
  <si>
    <t>Sistema e software de vendas</t>
  </si>
  <si>
    <t>Fixo por mês</t>
  </si>
  <si>
    <t>Margem de Lucro Desejada (%)</t>
  </si>
  <si>
    <t>Lucro líquido desejado após taxa do cartão</t>
  </si>
  <si>
    <t>Embalagens secundárias</t>
  </si>
  <si>
    <t>Se não variar por pote</t>
  </si>
  <si>
    <t>Taxa sobre venda (%)</t>
  </si>
  <si>
    <t>Taxa média cobrada pela operadora</t>
  </si>
  <si>
    <t>Marketing e redes sociais</t>
  </si>
  <si>
    <t>Dividido pela quantidade vendida</t>
  </si>
  <si>
    <t>Gelato de Tiramisù (Addolcire)</t>
  </si>
  <si>
    <t>Taxa sobre venda  R$</t>
  </si>
  <si>
    <t>Taxa nominal cobrada</t>
  </si>
  <si>
    <t>Internet e telefone</t>
  </si>
  <si>
    <t>Fixo</t>
  </si>
  <si>
    <t>Preço de Venda Sugerido (automático)</t>
  </si>
  <si>
    <t>Preço mínimo para atingir lucro líquido desejado</t>
  </si>
  <si>
    <t>Total Custos Fixos Mensais</t>
  </si>
  <si>
    <t>Soma automática dos custos fixos (G10:G18)</t>
  </si>
  <si>
    <t xml:space="preserve">Lucro </t>
  </si>
  <si>
    <t>Aluguel (Simulação Avulsa)</t>
  </si>
  <si>
    <t>Produção / Venda Mensal (Unid. ou Kg)</t>
  </si>
  <si>
    <t>Rateio Custo Fixo Total por Unidade</t>
  </si>
  <si>
    <t>Custo fixo total (G19) dividido pela venda mensal (G21)</t>
  </si>
  <si>
    <t>Simulador Integrado de Preço por Categoria (Receitas Ativas)</t>
  </si>
  <si>
    <t>Peso Pote (g):</t>
  </si>
  <si>
    <t>Embalagem (R$):</t>
  </si>
  <si>
    <t>Categoria / Origem</t>
  </si>
  <si>
    <t>Receita / Total</t>
  </si>
  <si>
    <t>Custo Calda/Kg (R$)</t>
  </si>
  <si>
    <t>Custo Final/Kg (R$)</t>
  </si>
  <si>
    <t>Custo Direto Pote (R$)</t>
  </si>
  <si>
    <t>Custo Total Pote c/ Rateio (R$)</t>
  </si>
  <si>
    <t>Preço Sugerido Pote (R$)</t>
  </si>
  <si>
    <t>Damasco</t>
  </si>
  <si>
    <t>Gelato de Queijo de Cabra e Pecã (Addolcire)</t>
  </si>
  <si>
    <t>Doce de leite Rocca</t>
  </si>
  <si>
    <t>DPO 165 Premium - Aroma Italia</t>
  </si>
  <si>
    <t>Ervilha cozida</t>
  </si>
  <si>
    <t>Ervilha(seca)</t>
  </si>
  <si>
    <t>Extrato De Baunilha</t>
  </si>
  <si>
    <t>Farinha De Semente De Guar</t>
  </si>
  <si>
    <t>Farinha De Semente De Tara</t>
  </si>
  <si>
    <t>Fava De Baunilha</t>
  </si>
  <si>
    <t>Figo</t>
  </si>
  <si>
    <t>Framboesa</t>
  </si>
  <si>
    <t>Fruta Groselha</t>
  </si>
  <si>
    <t>Simulação Ativa (Calculadora Unificada)</t>
  </si>
  <si>
    <t>Fruta Nativa Araçá</t>
  </si>
  <si>
    <t>Fruta Nativa Bergamota</t>
  </si>
  <si>
    <t>Fruta Nativa Butiá</t>
  </si>
  <si>
    <t>Fruta Nativa Guabiroba</t>
  </si>
  <si>
    <t>Frutas Vermelhas</t>
  </si>
  <si>
    <t xml:space="preserve">Gema Do Ovo Pasteurizada </t>
  </si>
  <si>
    <t>Goiaba</t>
  </si>
  <si>
    <t>Goiabada</t>
  </si>
  <si>
    <t>Queijo Brie / Cabra</t>
  </si>
  <si>
    <t>Goma Xantana</t>
  </si>
  <si>
    <t>Hortelã</t>
  </si>
  <si>
    <t>IMO 900 + Taumatina (moonsugar)</t>
  </si>
  <si>
    <t>Gelato de Caramelo Brûlée (Addolcire)</t>
  </si>
  <si>
    <t>Iogurte Desnatado</t>
  </si>
  <si>
    <t>Iogurte Grego</t>
  </si>
  <si>
    <t>Iogurte semidesnatado</t>
  </si>
  <si>
    <t>Kiwi</t>
  </si>
  <si>
    <t>Laranja Suco</t>
  </si>
  <si>
    <t>Leite Condensado Desnatado</t>
  </si>
  <si>
    <t>Gelato de Pistache (Addolcire)</t>
  </si>
  <si>
    <t>Gelato de Chocolate Branco e Frutas Vermelhas (Addolcire)</t>
  </si>
  <si>
    <t>Diferente (1006 g)</t>
  </si>
  <si>
    <t>Gelato de Whey Protein com Brownie (Addolcire)</t>
  </si>
  <si>
    <t>Whey protein 80%</t>
  </si>
  <si>
    <t>Diferente (1046 g)</t>
  </si>
  <si>
    <t>Gelato de Abóbora (Addolcire)</t>
  </si>
  <si>
    <t>Abóbora</t>
  </si>
  <si>
    <t>Gelato de Amendoim (Addolcire)</t>
  </si>
  <si>
    <t>Pasta De Amendoim 100%</t>
  </si>
  <si>
    <t>Gelato de Avelã (Addolcire)</t>
  </si>
  <si>
    <t>Pasta De Avelã s/ açúcar</t>
  </si>
  <si>
    <t>Gelato de Beijinho (Addolcire)</t>
  </si>
  <si>
    <t>Gelato de Baba de Moça (Addolcire)</t>
  </si>
  <si>
    <t>Leite de coco em pó - IO</t>
  </si>
  <si>
    <t>Diferente (1101 g)</t>
  </si>
  <si>
    <t>Leite de Coco Sococo</t>
  </si>
  <si>
    <t>Leite Desnatado</t>
  </si>
  <si>
    <t>Leite Em Pó Integral</t>
  </si>
  <si>
    <t>Leite Semidesnatado</t>
  </si>
  <si>
    <t>Lichia</t>
  </si>
  <si>
    <t>Licor Amaretto</t>
  </si>
  <si>
    <t>Lima Limão Taiti</t>
  </si>
  <si>
    <t>Limão Siciliano</t>
  </si>
  <si>
    <t>Limão Suco</t>
  </si>
  <si>
    <t>Maçã</t>
  </si>
  <si>
    <t>Maltitol</t>
  </si>
  <si>
    <t>Mamão</t>
  </si>
  <si>
    <t>Manga</t>
  </si>
  <si>
    <t>Manteiga de cacau</t>
  </si>
  <si>
    <t>Manteiga de garrafa</t>
  </si>
  <si>
    <t>Maracujá</t>
  </si>
  <si>
    <t>Mascarpone</t>
  </si>
  <si>
    <t>Mel</t>
  </si>
  <si>
    <t>Melancia</t>
  </si>
  <si>
    <t>Melão</t>
  </si>
  <si>
    <t>Mexerica</t>
  </si>
  <si>
    <t>Mirtilo</t>
  </si>
  <si>
    <t>Morango</t>
  </si>
  <si>
    <t>Nata 45%</t>
  </si>
  <si>
    <t>Nata 48%</t>
  </si>
  <si>
    <t>Óleo de girassol</t>
  </si>
  <si>
    <t>Paçoca</t>
  </si>
  <si>
    <t>Gelato de Bolo de Cenoura (Addolcire)</t>
  </si>
  <si>
    <t>Pasta De Amêndoas s/ açúcar</t>
  </si>
  <si>
    <t>Gelato de Brie e Damasco (Addolcire)</t>
  </si>
  <si>
    <t>Diferente (975 g)</t>
  </si>
  <si>
    <t>Gelato de Brigadeiro (Addolcire)</t>
  </si>
  <si>
    <t>Diferente (1004 g)</t>
  </si>
  <si>
    <t>Gelato de Chiclete (Addolcire)</t>
  </si>
  <si>
    <t>Gelato de Chocolate Amargo 60% (Addolcire)</t>
  </si>
  <si>
    <t>Gelato de Chocolate ao Leite (Addolcire)</t>
  </si>
  <si>
    <t>Gelato de Chocolate 70% com Amêndoa (Addolcire)</t>
  </si>
  <si>
    <t>Pasta de cacau pré-fabricada</t>
  </si>
  <si>
    <t>Pasta De Castanha Do Pará 100%</t>
  </si>
  <si>
    <t>Pasta De Nozes 100%</t>
  </si>
  <si>
    <t>Pêra</t>
  </si>
  <si>
    <t>Pêssego</t>
  </si>
  <si>
    <t>Gelato de Creme Inglês (Addolcire)</t>
  </si>
  <si>
    <t>Pitaya</t>
  </si>
  <si>
    <t>Polpa de Açai(10-14%)</t>
  </si>
  <si>
    <t>Variegatos e Inclusões Cadastrados</t>
  </si>
  <si>
    <t>Estilo Alvo (ou Automático):</t>
  </si>
  <si>
    <t>Automático</t>
  </si>
  <si>
    <t>Mínimo Ideal</t>
  </si>
  <si>
    <t>Diferente (991 g)</t>
  </si>
  <si>
    <t>Gelato de Doce de Leite (Addolcire)</t>
  </si>
  <si>
    <t>Categoria da Receita:</t>
  </si>
  <si>
    <t>Máximo Ideal</t>
  </si>
  <si>
    <t>Gelato de Gianduia (Addolcire)</t>
  </si>
  <si>
    <t>Tamanho do Lote (g):</t>
  </si>
  <si>
    <t>INFORMAÇÃO NUTRICIONAL</t>
  </si>
  <si>
    <t>Diferente (1040 g)</t>
  </si>
  <si>
    <t>Lote (g)</t>
  </si>
  <si>
    <t>Custo %</t>
  </si>
  <si>
    <t>Porções por embalagem: 6</t>
  </si>
  <si>
    <t>Ricota De Ovelha</t>
  </si>
  <si>
    <t>Ricota De Vaca</t>
  </si>
  <si>
    <t>Romã</t>
  </si>
  <si>
    <t>Rum</t>
  </si>
  <si>
    <t>Gelato de Gingerbread (Addolcire)</t>
  </si>
  <si>
    <t>Sucralose</t>
  </si>
  <si>
    <t>Tâmara Seca</t>
  </si>
  <si>
    <t>Tomate</t>
  </si>
  <si>
    <t>Torrone</t>
  </si>
  <si>
    <t>Uva</t>
  </si>
  <si>
    <t>Xarope (monin)</t>
  </si>
  <si>
    <t>Xylitol</t>
  </si>
  <si>
    <t>Gelato de Guaraná (Addolcire)</t>
  </si>
  <si>
    <t>Porção: 60 g (1 bola)</t>
  </si>
  <si>
    <t>Gelato Kinder Bueno (Addolcire)</t>
  </si>
  <si>
    <t>100 g</t>
  </si>
  <si>
    <t>60 g</t>
  </si>
  <si>
    <t>%VD*</t>
  </si>
  <si>
    <t>Diferente (1018 g)</t>
  </si>
  <si>
    <t>Gelato de Leite Condensado (Addolcire)</t>
  </si>
  <si>
    <t>Valor energético (kcal)</t>
  </si>
  <si>
    <t>Gelato de Leite Ninho (Addolcire)</t>
  </si>
  <si>
    <t>Carboidratos (g)</t>
  </si>
  <si>
    <t>Polpa Cupuaçu</t>
  </si>
  <si>
    <t>Licor Bailey's</t>
  </si>
  <si>
    <t>Whisky / Conhaque 40%</t>
  </si>
  <si>
    <t>Vinho Branco / Espumante</t>
  </si>
  <si>
    <t>Leite de Aveia</t>
  </si>
  <si>
    <t>Jabuticaba</t>
  </si>
  <si>
    <t>Cajá</t>
  </si>
  <si>
    <t>Ameixa Seca</t>
  </si>
  <si>
    <t>Aveia em Flocos</t>
  </si>
  <si>
    <t>Açúcares totais (g)</t>
  </si>
  <si>
    <t>Gelato de Matcha (Addolcire)</t>
  </si>
  <si>
    <t>-</t>
  </si>
  <si>
    <t>Panettone</t>
  </si>
  <si>
    <t>Matcha</t>
  </si>
  <si>
    <t>Diferente (1021 g)</t>
  </si>
  <si>
    <t>Açúcares adicionados (g)</t>
  </si>
  <si>
    <t>Gelato de Ovomaltine (Addolcire)</t>
  </si>
  <si>
    <t>Proteínas (g)</t>
  </si>
  <si>
    <t>Gelato de Panettone (Addolcire)</t>
  </si>
  <si>
    <t>Gorduras totais (g)</t>
  </si>
  <si>
    <t>Diferente (1038 g)</t>
  </si>
  <si>
    <t>Gorduras saturadas (g)</t>
  </si>
  <si>
    <t>Gelato de Pão de Mel (Addolcire)</t>
  </si>
  <si>
    <t>Gelato de Queijadinha (Addolcire)</t>
  </si>
  <si>
    <t>Gorduras trans (g)</t>
  </si>
  <si>
    <t>Gelato Snickers (Addolcire)</t>
  </si>
  <si>
    <t>Diferente (1081 g)</t>
  </si>
  <si>
    <t>Fibras alimentares (g)</t>
  </si>
  <si>
    <t>Gelato Sonho de Valsa (Addolcire)</t>
  </si>
  <si>
    <t>Sódio (mg)</t>
  </si>
  <si>
    <t>Sorvete Soft - Calda Base de Leite (Addolcire)</t>
  </si>
  <si>
    <t>Diferente (942 g)</t>
  </si>
  <si>
    <t>Sorvete Soft de Pistache (Addolcire)</t>
  </si>
  <si>
    <t>*Percentual de valores diários fornecidos pela porção.</t>
  </si>
  <si>
    <t>Sorvete Soft de Chocolate (Addolcire)</t>
  </si>
  <si>
    <t>INGREDIENTES:</t>
  </si>
  <si>
    <t>Total (g)</t>
  </si>
  <si>
    <t>Gelato de Pudim (Direto ao Ponto)</t>
  </si>
  <si>
    <t>Temperatura Média de Serviço</t>
  </si>
  <si>
    <t>ALÉRGICOS:</t>
  </si>
  <si>
    <t>Mousse Maracujá (Direto ao Ponto)</t>
  </si>
  <si>
    <t>Banana Assada (Direto ao Ponto)</t>
  </si>
  <si>
    <t>Pós-Produção (Variegatos / Inclusões)</t>
  </si>
  <si>
    <t>Peso p/ 1kg Calda (g)</t>
  </si>
  <si>
    <t>Peso na Batelada (g)</t>
  </si>
  <si>
    <t>Custo/Kg Insumo (R$)</t>
  </si>
  <si>
    <t>Diferente (939 g)</t>
  </si>
  <si>
    <t>Custo Adicional (R$)</t>
  </si>
  <si>
    <t>% no Produto Final</t>
  </si>
  <si>
    <t>Resumo Financeiro e Precificação</t>
  </si>
  <si>
    <t>Morango / Fragola (Direto ao Ponto)</t>
  </si>
  <si>
    <t>Custo Calda Base (R$/Kg)</t>
  </si>
  <si>
    <t>Custo Final c/ Mesclas (R$/Kg)</t>
  </si>
  <si>
    <t>Gelato de Ameixa, Aveia e Mel (Addolcire)</t>
  </si>
  <si>
    <t>Gelato de Banana (Addolcire)</t>
  </si>
  <si>
    <t>Custo da Bola 60g (R$)</t>
  </si>
  <si>
    <t>Total Final c/ Mesclas (Custo Final / Kg)</t>
  </si>
  <si>
    <t>Gelato de Cheesecake de Laranja (Addolcire)</t>
  </si>
  <si>
    <t>Gelato de Chocolate ao Leite com Morango (Addolcire)</t>
  </si>
  <si>
    <t>Bicarbonato de sódio</t>
  </si>
  <si>
    <t>Diferente (925 g)</t>
  </si>
  <si>
    <t>Gelato de Leite com Framboesa (Addolcire)</t>
  </si>
  <si>
    <t>Gelato de Mousse de Limão (Addolcire)</t>
  </si>
  <si>
    <t>Diferente (940 g)</t>
  </si>
  <si>
    <t>Gelato de Mousse de Maracujá (Addolcire)</t>
  </si>
  <si>
    <t>Diferente (1108 g)</t>
  </si>
  <si>
    <t>Sorbet de Cupuaçu (Direto ao Ponto)</t>
  </si>
  <si>
    <t>Sorbet de Manga com Maracujá (Direto ao Ponto)</t>
  </si>
  <si>
    <t>Diferente (965 g)</t>
  </si>
  <si>
    <t>Sorbet de Limão (Direto ao Ponto)</t>
  </si>
  <si>
    <t>Sorbet de Framboesa (Direto ao Ponto)</t>
  </si>
  <si>
    <t>Diferente (927 g)</t>
  </si>
  <si>
    <t>Sorbet de Banana (Direto ao Ponto)</t>
  </si>
  <si>
    <t>Diferente (943 g)</t>
  </si>
  <si>
    <t>Sorbet de Melancia (Direto ao Ponto)</t>
  </si>
  <si>
    <t>Sorbet de Maracujá com Pêssego (Direto ao Ponto)</t>
  </si>
  <si>
    <t>Diferente (953 g)</t>
  </si>
  <si>
    <t>Sorbet de Mexerica (Direto ao Ponto)</t>
  </si>
  <si>
    <t>Sorbet de Açaí (Direto ao Ponto)</t>
  </si>
  <si>
    <t>Diferente (1010 g)</t>
  </si>
  <si>
    <t>Sorbet de Açaí com Banana (Direto ao Ponto)</t>
  </si>
  <si>
    <t>Sorbet Mix de Frutas Vermelhas (Addolcire)</t>
  </si>
  <si>
    <t>Diferente (1065 g)</t>
  </si>
  <si>
    <t>Sorbet Pink Lemonade (Addolcire)</t>
  </si>
  <si>
    <t>Sorbet de Abacaxi e Hortelã (Addolcire)</t>
  </si>
  <si>
    <t>Diferente (992 g)</t>
  </si>
  <si>
    <t>Sorbet de Atemoia / Fruta do Conde (Addolcire)</t>
  </si>
  <si>
    <t>Sorbet de Caqui (Addolcire)</t>
  </si>
  <si>
    <t>Diferente (955 g)</t>
  </si>
  <si>
    <t>Sorbet de Figo (Addolcire)</t>
  </si>
  <si>
    <t>Sorbet de Frutas Vermelhas (Addolcire)</t>
  </si>
  <si>
    <t>Sorbet de Jabuticaba (Addolcire)</t>
  </si>
  <si>
    <t>Sorbet de Laranja e Gengibre (Addolcire)</t>
  </si>
  <si>
    <t>Diferente (1114 g)</t>
  </si>
  <si>
    <t>Sorbet de Mamão (Addolcire)</t>
  </si>
  <si>
    <t>Sorbet de Mamão e Laranja (Addolcire)</t>
  </si>
  <si>
    <t>Diferente (980 g)</t>
  </si>
  <si>
    <t>Sorbet de Manga (Addolcire)</t>
  </si>
  <si>
    <t>Sorbet de Maracujá (Addolcire)</t>
  </si>
  <si>
    <t>Sorbet de Melancia e Hortelã (Addolcire)</t>
  </si>
  <si>
    <t>Sorbet de Mexerica (Addolcire)</t>
  </si>
  <si>
    <t>Diferente (987 g)</t>
  </si>
  <si>
    <t>Sorbet de Pêssego e Lavanda (Addolcire)</t>
  </si>
  <si>
    <t>Sorbet de Chocolate 70% (Addolcire)</t>
  </si>
  <si>
    <t>Sorbet de Chocolate 40% (Addolcire)</t>
  </si>
  <si>
    <t>Gelato de Cacau Base Água (Direto ao Ponto)</t>
  </si>
  <si>
    <t>Diferente (999 g)</t>
  </si>
  <si>
    <t>Gelato de Pistache Vegano (Direto ao Ponto)</t>
  </si>
  <si>
    <t>Diferente (1039 g)</t>
  </si>
  <si>
    <t>Gelato de Avelã Vegano (Direto ao Ponto)</t>
  </si>
  <si>
    <t>Gelato de Avelã com Chocolate Vegano (Direto ao Ponto)</t>
  </si>
  <si>
    <t>Diferente (1100 g)</t>
  </si>
  <si>
    <t>Gelato de Amendoim Vegano (Direto ao Ponto)</t>
  </si>
  <si>
    <t>Gelato de Coco Vegano (Direto ao Ponto)</t>
  </si>
  <si>
    <t>Diferente (995 g)</t>
  </si>
  <si>
    <t>Gelato de Coco com Cacau Vegano (Direto ao Ponto)</t>
  </si>
  <si>
    <t>Diferente (863 g)</t>
  </si>
  <si>
    <t>Calda Base Vegana de Aveia (Addolcire)</t>
  </si>
  <si>
    <t>Diferente (1052 g)</t>
  </si>
  <si>
    <t>Gelato de Avelã Vegano (Addolcire)</t>
  </si>
  <si>
    <t>Gelato de Pistache Vegano (Addolcire)</t>
  </si>
  <si>
    <t>Gelato Alcoólico de Licor Amaretto (Direto ao Ponto)</t>
  </si>
  <si>
    <t>Sorbet de Caipirinha (Direto ao Ponto)</t>
  </si>
  <si>
    <t>Gelato de Chocolate com Bailey's (Addolcire)</t>
  </si>
  <si>
    <t>Gelato de Chocolate e Whisky (Addolcire)</t>
  </si>
  <si>
    <t>Gelato de Bailey's (Addolcire)</t>
  </si>
  <si>
    <t>Gelato de Cajá e Cachaça (Addolcire)</t>
  </si>
  <si>
    <t>Gelato de Conhaque (Addolcire)</t>
  </si>
  <si>
    <t>Gelato de Rum (Addolcire)</t>
  </si>
  <si>
    <t>Sorbet de Caipirinha (Addolcire)</t>
  </si>
  <si>
    <t>Sorbet Clericot (Addolcire)</t>
  </si>
  <si>
    <t>Sorbet de Morango e Espumante (Addolcire)</t>
  </si>
  <si>
    <t>Crema de Laranja Zero (Mix Zero)</t>
  </si>
  <si>
    <t>Diferente (1127 g)</t>
  </si>
  <si>
    <t>Café Branco Zero (Mix Zero)</t>
  </si>
  <si>
    <t>Baunilha Zero (Mix Zero)</t>
  </si>
  <si>
    <t>Cappuccino com Flocos de Chocolate Zero (Mix Zero)</t>
  </si>
  <si>
    <t>Diferente (1031 g)</t>
  </si>
  <si>
    <t>Gelato Avelã Zero (Mix Zero)</t>
  </si>
  <si>
    <t>Gelato Avelã com Chocolate Zero (Mix Zero)</t>
  </si>
  <si>
    <t>Pistache Zero (Mix Zero)</t>
  </si>
  <si>
    <t>Diferente (1036 g)</t>
  </si>
  <si>
    <t>Banana ao Leite Zero (Mix Zero)</t>
  </si>
  <si>
    <t>Mousse de Maracujá Zero (Mix Zero)</t>
  </si>
  <si>
    <t>Torta de Maçã Zero (Mix Zero)</t>
  </si>
  <si>
    <t>Morango ao Leite Zero (Mix Zero)</t>
  </si>
  <si>
    <t>Sorbet de Cupuaçu Zero (Mix Zero)</t>
  </si>
  <si>
    <t>Sorbet de Limão Taiti Zero (Mix Zero)</t>
  </si>
  <si>
    <t>Sorbet de Manga com Maracujá Zero (Mix Zero)</t>
  </si>
  <si>
    <t>Sorbet de Açaí Zero (Mix Zero)</t>
  </si>
  <si>
    <t>Sorbet de Açaí com Banana Zero (Mix Zero)</t>
  </si>
  <si>
    <t>Diferente (1054 g)</t>
  </si>
  <si>
    <t>Sorbet de Açaí com Morango Zero (Mix Zero)</t>
  </si>
  <si>
    <t>Sorbet de Framboesa Zero (Mix Zero)</t>
  </si>
  <si>
    <t>Sorbet de Morango Zero (Mix Zero)</t>
  </si>
  <si>
    <t>Sorbet de Manga Zero (Mix Zero)</t>
  </si>
  <si>
    <t>Diferente (1008 g)</t>
  </si>
  <si>
    <t>Sorbet de Frutas Vermelhas Zero (Mix Zero)</t>
  </si>
  <si>
    <t>Sorbet de Limão Siciliano Zero (Mix Zero)</t>
  </si>
  <si>
    <t>Sorbet de Morango e Manjericão Diet (Addolcire)</t>
  </si>
  <si>
    <t>Gelato de Coco com Cumaru Diet (Addolcire)</t>
  </si>
  <si>
    <t>Sorbet de Framboesa - Polióis (Sem Açúcar)</t>
  </si>
  <si>
    <t>Sorbet de Framboesa - Redução de Polióis (Sem Açúcar)</t>
  </si>
  <si>
    <t>Fior di Latte 17% - Polióis (Sem Açúcar)</t>
  </si>
  <si>
    <t>Fior di Latte 17% - Menos Polióis (Sem Açúcar)</t>
  </si>
  <si>
    <t>Chocolate 17% - Polióis (Sem Açúcar)</t>
  </si>
  <si>
    <t>Chocolate 17% - Redução Polióis (Sem Açúcar)</t>
  </si>
  <si>
    <t>Fragola / Morango ao Leite - Polióis (Sem Açúcar)</t>
  </si>
  <si>
    <t>Fragola / Morango ao Leite - Redução Polióis (Sem Açúcar)</t>
  </si>
  <si>
    <t>Gelato de Coco - Polióis (Sem Açúcar)</t>
  </si>
  <si>
    <t>Gelato de Coco - Menos Polióis (Sem Açúcar)</t>
  </si>
  <si>
    <t>Gelato de Coco Vegano - Polióis (Sem Açúcar)</t>
  </si>
  <si>
    <t>Gelato de Coco Vegano - Menos Polióis (Sem Açúcar)</t>
  </si>
  <si>
    <t>Gelato de Pistache - Polióis (Sem Açúcar)</t>
  </si>
  <si>
    <t>Gelato de Pistache - Menos Polióis (Sem Açúcar)</t>
  </si>
  <si>
    <t>Gelato de Pistache Vegano - Polióis (Sem Açúcar)</t>
  </si>
  <si>
    <t>Gelato de Pistache Vegano - Menos Polióis (Sem Açúcar)</t>
  </si>
  <si>
    <t>Gelato de Iogurte - Polióis (Sem Açúcar)</t>
  </si>
  <si>
    <t>Gelato de Iogurte - Redução de Polióis (Sem Açúcar)</t>
  </si>
  <si>
    <t>Gelato Intenso de Cacau com Laranja Vegano - Polióis (Sem Açúcar)</t>
  </si>
  <si>
    <t>Gelato Intenso de Cacau com Laranja Vegano - Redução Polióis (Sem Açúcar)</t>
  </si>
  <si>
    <t>Sorbet de Manga - Polióis (Sem Açúcar)</t>
  </si>
  <si>
    <t>Diferente (1150 g)</t>
  </si>
  <si>
    <t>Sorbet de Manga - Redução de Polióis (Sem Açúcar)</t>
  </si>
  <si>
    <t>Gelato de Baunilha Proteico (Gelatos Proteicos)</t>
  </si>
  <si>
    <t>Gelato de Baunilha Proteico s/ Açúcar (Gelatos Proteicos)</t>
  </si>
  <si>
    <t>Gelato de Baunilha Proteico Redução Polióis (Gelatos Proteicos)</t>
  </si>
  <si>
    <t>Diferente (1027 g)</t>
  </si>
  <si>
    <t>Gelato de Chocolate Proteico (Gelatos Proteicos)</t>
  </si>
  <si>
    <t>Gelato de Chocolate Proteico s/ Açúcar (Gelatos Proteicos)</t>
  </si>
  <si>
    <t>Gelato de Chocolate Proteico Redução Polióis (Gelatos Proteicos)</t>
  </si>
  <si>
    <t>Diferente (1020 g)</t>
  </si>
  <si>
    <t>Gelato de Oleaginosas / Pistache Proteico (Gelatos Proteicos)</t>
  </si>
  <si>
    <t>Diferente (970 g)</t>
  </si>
  <si>
    <t>Gelato de Oleaginosas / Pistache Proteico s/ Açúcar (Gelatos Proteicos)</t>
  </si>
  <si>
    <t>Gelato de Oleaginosas / Pistache Proteico Redução Polióis (Gelatos Proteicos)</t>
  </si>
  <si>
    <t>Diferente (1007 g)</t>
  </si>
  <si>
    <t>Gelato de Frutas ao Leite Proteico - Banana (Gelatos Proteicos)</t>
  </si>
  <si>
    <t>Gelato de Frutas ao Leite Proteico s/ Açúcar - Banana (Gelatos Proteicos)</t>
  </si>
  <si>
    <t>Gelato de Frutas ao Leite Proteico Redução Polióis - Banana (Gelatos Proteicos)</t>
  </si>
  <si>
    <t>Diferente (1050 g)</t>
  </si>
  <si>
    <t>Diferente (917 g)</t>
  </si>
  <si>
    <t>Diferente (957 g)</t>
  </si>
  <si>
    <t>Diferente (1060 g)</t>
  </si>
  <si>
    <t>Diferente (990 g)</t>
  </si>
  <si>
    <t>Diferente (1124 g)</t>
  </si>
  <si>
    <t>Diferente (1080 g)</t>
  </si>
  <si>
    <t>Diferente (986 g)</t>
  </si>
  <si>
    <t>Diferente (961 g)</t>
  </si>
  <si>
    <t>Diferente (1011 g)</t>
  </si>
  <si>
    <t>Diferente (709 g)</t>
  </si>
  <si>
    <t>Diferente (800 g)</t>
  </si>
  <si>
    <t>Diferente (805 g)</t>
  </si>
  <si>
    <t>Diferente (803 g)</t>
  </si>
  <si>
    <t>Diferente (700 g)</t>
  </si>
  <si>
    <t>Diferente (795 g)</t>
  </si>
  <si>
    <t>Diferente (952 g)</t>
  </si>
  <si>
    <t>Diferente (862 g)</t>
  </si>
  <si>
    <t>Diferente (1024 g)</t>
  </si>
  <si>
    <t>Diferente (880 g)</t>
  </si>
  <si>
    <t>Diferente (892 g)</t>
  </si>
  <si>
    <t>Diferente (964 g)</t>
  </si>
  <si>
    <t>Diferente (976 g)</t>
  </si>
  <si>
    <t>Diferente (901 g)</t>
  </si>
  <si>
    <t>Diferente (893 g)</t>
  </si>
  <si>
    <t>Diferente (933 g)</t>
  </si>
  <si>
    <t>Diferente (898 g)</t>
  </si>
  <si>
    <t>Diferente (875 g)</t>
  </si>
  <si>
    <t>Diferente (879 g)</t>
  </si>
  <si>
    <t>Diferente (1023 g)</t>
  </si>
  <si>
    <t>Diferente (1009 g)</t>
  </si>
  <si>
    <t>Diferente (749 g)</t>
  </si>
  <si>
    <t>Diferente (752 g)</t>
  </si>
  <si>
    <t>Diferente (778 g)</t>
  </si>
  <si>
    <t>Diferente (775 g)</t>
  </si>
  <si>
    <t>Diferente (1022 g)</t>
  </si>
  <si>
    <t>Diferente (994 g)</t>
  </si>
  <si>
    <t>Diferente (1019 g)</t>
  </si>
  <si>
    <t>Diferente (998 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</si>
</sst>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&quot;R$&quot; #,##0.00"/>
    <numFmt numFmtId="166" formatCode="0.0%"/>
    <numFmt numFmtId="167" formatCode="#,##0.0"/>
    <numFmt numFmtId="168" formatCode="_([$R$ -416]* #,##0.00_);_([$R$ -416]* \(#,##0.00\);_([$R$ -416]* &quot;-&quot;??_);_(@_)"/>
    <numFmt numFmtId="169" formatCode="0.0&quot; g&quot;"/>
    <numFmt numFmtId="170" formatCode="&quot;-&quot;0.0&quot;°C&quot;"/>
  </numFmts>
  <fonts count="3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Montserrat"/>
    </font>
    <font>
      <color theme="1"/>
      <name val="Calibri"/>
      <scheme val="minor"/>
    </font>
    <font/>
    <font>
      <sz val="11.0"/>
      <color rgb="FF471D1E"/>
      <name val="Calibri"/>
    </font>
    <font>
      <sz val="10.0"/>
      <color rgb="FF171C1F"/>
      <name val="Roboto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5"/>
      <name val="Calibri"/>
    </font>
    <font>
      <b/>
      <sz val="18.0"/>
      <color theme="5"/>
      <name val="Calibri"/>
    </font>
    <font>
      <sz val="10.0"/>
      <color rgb="FF262626"/>
      <name val="Calibri"/>
    </font>
    <font>
      <sz val="11.0"/>
      <color rgb="FF000000"/>
      <name val="'Google Sans Text'"/>
    </font>
    <font>
      <sz val="10.0"/>
      <color theme="1"/>
      <name val="Calibri"/>
    </font>
    <font>
      <b/>
      <sz val="10.0"/>
      <color rgb="FF171C1F"/>
      <name val="Roboto"/>
    </font>
    <font>
      <b/>
      <sz val="26.0"/>
      <color theme="1"/>
      <name val="Calibri"/>
    </font>
    <font>
      <b/>
      <sz val="19.0"/>
      <color theme="1"/>
      <name val="Calibri"/>
    </font>
    <font>
      <b/>
      <sz val="20.0"/>
      <color theme="1"/>
      <name val="Calibri"/>
    </font>
    <font>
      <sz val="25.0"/>
      <color theme="1"/>
      <name val="Arial"/>
    </font>
    <font>
      <sz val="10.0"/>
      <color theme="1"/>
      <name val="Arial"/>
    </font>
    <font>
      <sz val="10.0"/>
      <color rgb="FF181C1F"/>
      <name val="Roboto"/>
    </font>
    <font>
      <b/>
      <sz val="13.0"/>
      <color rgb="FF38761D"/>
      <name val="Calibri"/>
    </font>
    <font>
      <sz val="16.0"/>
      <color theme="1"/>
      <name val="Calibri"/>
    </font>
    <font>
      <b/>
      <sz val="56.0"/>
      <color rgb="FF8E642E"/>
      <name val="Calibri"/>
    </font>
    <font>
      <b/>
      <color theme="1"/>
      <name val="Calibri"/>
    </font>
    <font>
      <b/>
      <sz val="12.0"/>
      <color rgb="FF000000"/>
      <name val="Calibri"/>
    </font>
    <font>
      <b/>
      <color rgb="FF000000"/>
      <name val="Calibri"/>
      <scheme val="minor"/>
    </font>
    <font>
      <b/>
      <sz val="10.0"/>
      <color rgb="FF000000"/>
      <name val="Calibri"/>
    </font>
    <font>
      <sz val="10.0"/>
      <color rgb="FF221917"/>
      <name val="Roboto"/>
    </font>
    <font>
      <b/>
      <sz val="10.0"/>
      <color rgb="FF221917"/>
      <name val="Roboto"/>
    </font>
    <font>
      <color rgb="FF000000"/>
      <name val="Calibri"/>
      <scheme val="minor"/>
    </font>
    <font>
      <sz val="12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2F618B"/>
        <bgColor rgb="FF2F618B"/>
      </patternFill>
    </fill>
    <fill>
      <patternFill patternType="solid">
        <fgColor rgb="FF57BCB4"/>
        <bgColor rgb="FF57BCB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2E1CF"/>
        <bgColor rgb="FFF2E1CF"/>
      </patternFill>
    </fill>
    <fill>
      <patternFill patternType="solid">
        <fgColor rgb="FFF2DDCF"/>
        <bgColor rgb="FFF2DDCF"/>
      </patternFill>
    </fill>
    <fill>
      <patternFill patternType="solid">
        <fgColor rgb="FFBBE4E0"/>
        <bgColor rgb="FFBBE4E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B6A093"/>
        <bgColor rgb="FFB6A093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3A5F8F"/>
        <bgColor rgb="FF3A5F8F"/>
      </patternFill>
    </fill>
    <fill>
      <patternFill patternType="solid">
        <fgColor rgb="FFF8F8FF"/>
        <bgColor rgb="FFF8F8FF"/>
      </patternFill>
    </fill>
    <fill>
      <patternFill patternType="solid">
        <fgColor rgb="FFFBE8B1"/>
        <bgColor rgb="FFFBE8B1"/>
      </patternFill>
    </fill>
    <fill>
      <patternFill patternType="solid">
        <fgColor rgb="FFFFF8F6"/>
        <bgColor rgb="FFFFF8F6"/>
      </patternFill>
    </fill>
    <fill>
      <patternFill patternType="solid">
        <fgColor rgb="FFFFF2CC"/>
        <bgColor rgb="FFFFF2CC"/>
      </patternFill>
    </fill>
  </fills>
  <borders count="36">
    <border/>
    <border>
      <left/>
      <right/>
      <top/>
    </border>
    <border>
      <left/>
      <right/>
      <top/>
      <bottom/>
    </border>
    <border>
      <left style="thin">
        <color rgb="FF71777E"/>
      </left>
      <top style="thin">
        <color rgb="FF71777E"/>
      </top>
      <bottom style="thin">
        <color rgb="FF71777E"/>
      </bottom>
    </border>
    <border>
      <top style="thin">
        <color rgb="FF71777E"/>
      </top>
      <bottom style="thin">
        <color rgb="FF71777E"/>
      </bottom>
    </border>
    <border>
      <left/>
      <right/>
    </border>
    <border>
      <left/>
      <top/>
      <bottom/>
    </border>
    <border>
      <right style="thin">
        <color rgb="FF71777E"/>
      </right>
      <top style="thin">
        <color rgb="FF71777E"/>
      </top>
      <bottom style="thin">
        <color rgb="FF71777E"/>
      </bottom>
    </border>
    <border>
      <top/>
      <bottom/>
    </border>
    <border>
      <left/>
      <right/>
      <bottom/>
    </border>
    <border>
      <left style="thin">
        <color rgb="FF71777E"/>
      </left>
      <right style="thin">
        <color rgb="FF71777E"/>
      </right>
      <top style="thin">
        <color rgb="FF71777E"/>
      </top>
      <bottom style="thin">
        <color rgb="FF71777E"/>
      </bottom>
    </border>
    <border>
      <top/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right/>
      <top/>
      <bottom/>
    </border>
    <border>
      <lef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85726D"/>
      </left>
      <right style="thin">
        <color rgb="FF85726D"/>
      </right>
      <bottom style="thin">
        <color rgb="FF85726D"/>
      </bottom>
    </border>
    <border>
      <left style="thin">
        <color rgb="FF85726D"/>
      </left>
      <right style="thin">
        <color rgb="FF85726D"/>
      </right>
      <top style="thin">
        <color rgb="FF85726D"/>
      </top>
      <bottom style="thin">
        <color rgb="FF85726D"/>
      </bottom>
    </border>
    <border>
      <left style="thin">
        <color rgb="FF85726D"/>
      </left>
      <right style="thin">
        <color rgb="FF85726D"/>
      </right>
      <top style="thin">
        <color rgb="FF85726D"/>
      </top>
    </border>
    <border>
      <left style="thin">
        <color rgb="FF85726D"/>
      </left>
      <top style="thin">
        <color rgb="FF85726D"/>
      </top>
      <bottom style="thin">
        <color rgb="FF85726D"/>
      </bottom>
    </border>
    <border>
      <right style="thin">
        <color rgb="FF85726D"/>
      </right>
      <top style="thin">
        <color rgb="FF85726D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85726D"/>
      </left>
      <top style="thin">
        <color rgb="FF85726D"/>
      </top>
    </border>
    <border>
      <left style="thin">
        <color rgb="FF85726D"/>
      </left>
      <bottom style="thin">
        <color rgb="FF85726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164" xfId="0" applyBorder="1" applyFill="1" applyFont="1" applyNumberFormat="1"/>
    <xf borderId="2" fillId="2" fontId="1" numFmtId="0" xfId="0" applyBorder="1" applyFill="1" applyFont="1"/>
    <xf borderId="2" fillId="2" fontId="1" numFmtId="10" xfId="0" applyBorder="1" applyFill="1" applyFont="1" applyNumberFormat="1"/>
    <xf borderId="0" fillId="2" fontId="1" numFmtId="0" xfId="0" applyFill="1" applyFont="1"/>
    <xf borderId="3" fillId="3" fontId="2" numFmtId="0" xfId="0" applyAlignment="1" applyBorder="1" applyFill="1" applyFont="1">
      <alignment horizontal="center" readingOrder="0" shrinkToFit="0" vertical="center" wrapText="1"/>
    </xf>
    <xf borderId="0" fillId="4" fontId="3" numFmtId="0" xfId="0" applyFill="1" applyFont="1"/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ill="1" applyFont="1">
      <alignment horizontal="left" shrinkToFit="0" vertical="center" wrapText="1"/>
    </xf>
    <xf borderId="7" fillId="0" fontId="4" numFmtId="0" xfId="0" applyBorder="1" applyFont="1"/>
    <xf borderId="8" fillId="0" fontId="4" numFmtId="0" xfId="0" applyBorder="1" applyFont="1"/>
    <xf borderId="0" fillId="0" fontId="6" numFmtId="0" xfId="0" applyAlignment="1" applyFont="1">
      <alignment shrinkToFit="0" vertical="center" wrapText="1"/>
    </xf>
    <xf borderId="9" fillId="0" fontId="4" numFmtId="0" xfId="0" applyBorder="1" applyFont="1"/>
    <xf borderId="10" fillId="3" fontId="2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vertical="center"/>
    </xf>
    <xf borderId="0" fillId="5" fontId="7" numFmtId="164" xfId="0" applyAlignment="1" applyFill="1" applyFont="1" applyNumberFormat="1">
      <alignment horizontal="center" vertical="center"/>
    </xf>
    <xf borderId="0" fillId="5" fontId="7" numFmtId="10" xfId="0" applyAlignment="1" applyFill="1" applyFont="1" applyNumberFormat="1">
      <alignment horizontal="center" vertical="center"/>
    </xf>
    <xf borderId="0" fillId="6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0"/>
    </xf>
    <xf borderId="2" fillId="6" fontId="1" numFmtId="0" xfId="0" applyBorder="1" applyFill="1" applyFont="1"/>
    <xf borderId="0" fillId="7" fontId="9" numFmtId="0" xfId="0" applyFill="1" applyFont="1"/>
    <xf borderId="10" fillId="0" fontId="6" numFmtId="0" xfId="0" applyAlignment="1" applyBorder="1" applyFont="1">
      <alignment readingOrder="0" shrinkToFit="0" vertical="center" wrapText="1"/>
    </xf>
    <xf borderId="0" fillId="6" fontId="3" numFmtId="0" xfId="0" applyFill="1" applyFont="1"/>
    <xf borderId="0" fillId="8" fontId="10" numFmtId="0" xfId="0" applyAlignment="1" applyFill="1" applyFont="1">
      <alignment horizontal="center" vertical="center"/>
    </xf>
    <xf borderId="0" fillId="8" fontId="10" numFmtId="165" xfId="0" applyAlignment="1" applyFill="1" applyFont="1" applyNumberFormat="1">
      <alignment horizontal="center" vertical="center"/>
    </xf>
    <xf borderId="0" fillId="8" fontId="10" numFmtId="2" xfId="0" applyAlignment="1" applyFill="1" applyFont="1" applyNumberFormat="1">
      <alignment horizontal="center" vertical="center"/>
    </xf>
    <xf borderId="0" fillId="8" fontId="5" numFmtId="2" xfId="0" applyAlignment="1" applyFill="1" applyFont="1" applyNumberFormat="1">
      <alignment horizontal="center" vertical="center"/>
    </xf>
    <xf borderId="0" fillId="0" fontId="8" numFmtId="49" xfId="0" applyAlignment="1" applyFont="1" applyNumberFormat="1">
      <alignment horizontal="center" readingOrder="0" shrinkToFit="0" vertical="center" wrapText="0"/>
    </xf>
    <xf borderId="0" fillId="8" fontId="10" numFmtId="10" xfId="0" applyAlignment="1" applyFill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8" fontId="5" numFmtId="0" xfId="0" applyAlignment="1" applyFill="1" applyFont="1">
      <alignment horizontal="center" readingOrder="0" vertical="center"/>
    </xf>
    <xf borderId="0" fillId="6" fontId="10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11" fillId="6" fontId="11" numFmtId="0" xfId="0" applyAlignment="1" applyBorder="1" applyFill="1" applyFont="1">
      <alignment horizontal="left" vertical="center"/>
    </xf>
    <xf borderId="11" fillId="0" fontId="4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10" fillId="0" fontId="6" numFmtId="0" xfId="0" applyAlignment="1" applyBorder="1" applyFont="1">
      <alignment shrinkToFit="0" vertical="center" wrapText="1"/>
    </xf>
    <xf borderId="12" fillId="6" fontId="1" numFmtId="0" xfId="0" applyBorder="1" applyFill="1" applyFont="1"/>
    <xf borderId="0" fillId="0" fontId="8" numFmtId="0" xfId="0" applyAlignment="1" applyFont="1">
      <alignment horizontal="center" readingOrder="0" shrinkToFit="0" vertical="center" wrapText="0"/>
    </xf>
    <xf borderId="0" fillId="6" fontId="1" numFmtId="0" xfId="0" applyFill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9" fontId="10" numFmtId="0" xfId="0" applyAlignment="1" applyFill="1" applyFont="1">
      <alignment horizontal="center" vertical="center"/>
    </xf>
    <xf borderId="0" fillId="9" fontId="10" numFmtId="165" xfId="0" applyAlignment="1" applyFill="1" applyFont="1" applyNumberFormat="1">
      <alignment horizontal="center" vertical="center"/>
    </xf>
    <xf borderId="0" fillId="9" fontId="10" numFmtId="2" xfId="0" applyAlignment="1" applyFill="1" applyFont="1" applyNumberFormat="1">
      <alignment horizontal="center" vertical="center"/>
    </xf>
    <xf borderId="0" fillId="9" fontId="10" numFmtId="10" xfId="0" applyAlignment="1" applyFill="1" applyFont="1" applyNumberFormat="1">
      <alignment horizontal="center" vertical="center"/>
    </xf>
    <xf borderId="0" fillId="9" fontId="5" numFmtId="0" xfId="0" applyAlignment="1" applyFill="1" applyFont="1">
      <alignment horizontal="center" readingOrder="0" vertical="center"/>
    </xf>
    <xf borderId="13" fillId="10" fontId="8" numFmtId="0" xfId="0" applyAlignment="1" applyBorder="1" applyFill="1" applyFont="1">
      <alignment horizontal="left" vertical="center"/>
    </xf>
    <xf borderId="8" fillId="6" fontId="1" numFmtId="0" xfId="0" applyBorder="1" applyFill="1" applyFont="1"/>
    <xf borderId="0" fillId="6" fontId="8" numFmtId="0" xfId="0" applyAlignment="1" applyFill="1" applyFont="1">
      <alignment horizontal="left" readingOrder="0" vertical="center"/>
    </xf>
    <xf borderId="14" fillId="11" fontId="12" numFmtId="0" xfId="0" applyAlignment="1" applyBorder="1" applyFill="1" applyFont="1">
      <alignment horizontal="left" shrinkToFit="0" vertical="center" wrapText="0"/>
    </xf>
    <xf borderId="0" fillId="8" fontId="10" numFmtId="0" xfId="0" applyAlignment="1" applyFill="1" applyFont="1">
      <alignment horizontal="center" readingOrder="0" vertical="center"/>
    </xf>
    <xf borderId="14" fillId="11" fontId="12" numFmtId="0" xfId="0" applyAlignment="1" applyBorder="1" applyFill="1" applyFont="1">
      <alignment horizontal="left" readingOrder="0" shrinkToFit="0" vertical="center" wrapText="0"/>
    </xf>
    <xf borderId="13" fillId="12" fontId="1" numFmtId="0" xfId="0" applyAlignment="1" applyBorder="1" applyFill="1" applyFont="1">
      <alignment horizontal="left" vertical="center"/>
    </xf>
    <xf borderId="14" fillId="11" fontId="12" numFmtId="0" xfId="0" applyAlignment="1" applyBorder="1" applyFill="1" applyFont="1">
      <alignment shrinkToFit="0" vertical="center" wrapText="0"/>
    </xf>
    <xf borderId="13" fillId="12" fontId="1" numFmtId="9" xfId="0" applyAlignment="1" applyBorder="1" applyFill="1" applyFont="1" applyNumberFormat="1">
      <alignment horizontal="left" vertical="center"/>
    </xf>
    <xf borderId="10" fillId="0" fontId="6" numFmtId="166" xfId="0" applyAlignment="1" applyBorder="1" applyFont="1" applyNumberFormat="1">
      <alignment shrinkToFit="0" vertical="center" wrapText="1"/>
    </xf>
    <xf borderId="0" fillId="6" fontId="1" numFmtId="0" xfId="0" applyAlignment="1" applyFill="1" applyFont="1">
      <alignment horizontal="left" readingOrder="0" vertical="center"/>
    </xf>
    <xf borderId="14" fillId="11" fontId="12" numFmtId="167" xfId="0" applyAlignment="1" applyBorder="1" applyFill="1" applyFont="1" applyNumberFormat="1">
      <alignment shrinkToFit="0" vertical="center" wrapText="0"/>
    </xf>
    <xf borderId="14" fillId="11" fontId="12" numFmtId="0" xfId="0" applyAlignment="1" applyBorder="1" applyFill="1" applyFont="1">
      <alignment horizontal="center" shrinkToFit="0" vertical="center" wrapText="0"/>
    </xf>
    <xf borderId="0" fillId="9" fontId="5" numFmtId="165" xfId="0" applyAlignment="1" applyFill="1" applyFont="1" applyNumberFormat="1">
      <alignment horizontal="center" vertical="center"/>
    </xf>
    <xf borderId="14" fillId="11" fontId="12" numFmtId="3" xfId="0" applyAlignment="1" applyBorder="1" applyFill="1" applyFont="1" applyNumberFormat="1">
      <alignment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14" fillId="11" fontId="12" numFmtId="0" xfId="0" applyAlignment="1" applyBorder="1" applyFill="1" applyFont="1">
      <alignment horizontal="center" readingOrder="0" shrinkToFit="0" vertical="center" wrapText="0"/>
    </xf>
    <xf borderId="0" fillId="8" fontId="5" numFmtId="165" xfId="0" applyAlignment="1" applyFill="1" applyFont="1" applyNumberFormat="1">
      <alignment horizontal="center" vertical="center"/>
    </xf>
    <xf borderId="0" fillId="0" fontId="13" numFmtId="3" xfId="0" applyAlignment="1" applyFont="1" applyNumberFormat="1">
      <alignment readingOrder="0" shrinkToFit="0" vertical="center" wrapText="1"/>
    </xf>
    <xf borderId="10" fillId="0" fontId="6" numFmtId="165" xfId="0" applyAlignment="1" applyBorder="1" applyFont="1" applyNumberFormat="1">
      <alignment shrinkToFit="0" vertical="center" wrapText="1"/>
    </xf>
    <xf borderId="0" fillId="0" fontId="14" numFmtId="0" xfId="0" applyAlignment="1" applyFont="1">
      <alignment horizontal="left" readingOrder="0" shrinkToFit="0" vertical="center" wrapText="0"/>
    </xf>
    <xf borderId="6" fillId="6" fontId="1" numFmtId="0" xfId="0" applyBorder="1" applyFill="1" applyFont="1"/>
    <xf borderId="0" fillId="9" fontId="5" numFmtId="0" xfId="0" applyAlignment="1" applyFill="1" applyFont="1">
      <alignment horizontal="center" vertical="center"/>
    </xf>
    <xf borderId="0" fillId="0" fontId="14" numFmtId="3" xfId="0" applyAlignment="1" applyFont="1" applyNumberFormat="1">
      <alignment readingOrder="0" shrinkToFit="0" vertical="center" wrapText="0"/>
    </xf>
    <xf borderId="13" fillId="12" fontId="1" numFmtId="9" xfId="0" applyAlignment="1" applyBorder="1" applyFill="1" applyFont="1" applyNumberFormat="1">
      <alignment horizontal="left" readingOrder="0" vertical="center"/>
    </xf>
    <xf borderId="15" fillId="6" fontId="1" numFmtId="0" xfId="0" applyBorder="1" applyFill="1" applyFont="1"/>
    <xf borderId="16" fillId="6" fontId="1" numFmtId="0" xfId="0" applyBorder="1" applyFill="1" applyFont="1"/>
    <xf borderId="0" fillId="0" fontId="14" numFmtId="0" xfId="0" applyAlignment="1" applyFont="1">
      <alignment horizontal="center" readingOrder="0" shrinkToFit="0" vertical="center" wrapText="0"/>
    </xf>
    <xf borderId="0" fillId="6" fontId="1" numFmtId="0" xfId="0" applyAlignment="1" applyFill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8" fontId="5" numFmtId="0" xfId="0" applyAlignment="1" applyFill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9" fontId="5" numFmtId="2" xfId="0" applyAlignment="1" applyFill="1" applyFont="1" applyNumberFormat="1">
      <alignment horizontal="center" vertical="center"/>
    </xf>
    <xf borderId="0" fillId="0" fontId="3" numFmtId="10" xfId="0" applyAlignment="1" applyFont="1" applyNumberFormat="1">
      <alignment readingOrder="0" shrinkToFit="0" vertical="center" wrapText="0"/>
    </xf>
    <xf borderId="0" fillId="9" fontId="10" numFmtId="10" xfId="0" applyAlignment="1" applyFill="1" applyFont="1" applyNumberFormat="1">
      <alignment horizontal="center" readingOrder="0" vertical="center"/>
    </xf>
    <xf borderId="13" fillId="12" fontId="1" numFmtId="9" xfId="0" applyAlignment="1" applyBorder="1" applyFill="1" applyFont="1" applyNumberFormat="1">
      <alignment horizontal="left" vertical="center"/>
    </xf>
    <xf borderId="13" fillId="10" fontId="8" numFmtId="0" xfId="0" applyAlignment="1" applyBorder="1" applyFill="1" applyFont="1">
      <alignment horizontal="left" readingOrder="0" vertical="center"/>
    </xf>
    <xf borderId="0" fillId="9" fontId="5" numFmtId="165" xfId="0" applyAlignment="1" applyFill="1" applyFont="1" applyNumberFormat="1">
      <alignment horizontal="center" readingOrder="0" vertical="center"/>
    </xf>
    <xf borderId="10" fillId="0" fontId="15" numFmtId="0" xfId="0" applyAlignment="1" applyBorder="1" applyFont="1">
      <alignment readingOrder="0" shrinkToFit="0" vertical="center" wrapText="1"/>
    </xf>
    <xf borderId="10" fillId="0" fontId="15" numFmtId="0" xfId="0" applyAlignment="1" applyBorder="1" applyFont="1">
      <alignment shrinkToFit="0" vertical="center" wrapText="1"/>
    </xf>
    <xf borderId="10" fillId="0" fontId="15" numFmtId="166" xfId="0" applyAlignment="1" applyBorder="1" applyFont="1" applyNumberFormat="1">
      <alignment shrinkToFit="0" vertical="center" wrapText="1"/>
    </xf>
    <xf borderId="10" fillId="0" fontId="15" numFmtId="165" xfId="0" applyAlignment="1" applyBorder="1" applyFont="1" applyNumberForma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Alignment="1" applyFont="1" applyNumberFormat="1">
      <alignment readingOrder="0" shrinkToFit="0" vertical="center" wrapText="0"/>
    </xf>
    <xf borderId="10" fillId="0" fontId="6" numFmtId="0" xfId="0" applyAlignment="1" applyBorder="1" applyFont="1">
      <alignment horizontal="center" shrinkToFit="0" vertical="center" wrapText="1"/>
    </xf>
    <xf borderId="13" fillId="12" fontId="1" numFmtId="0" xfId="0" applyAlignment="1" applyBorder="1" applyFill="1" applyFont="1">
      <alignment horizontal="left" readingOrder="0" vertical="center"/>
    </xf>
    <xf borderId="13" fillId="12" fontId="1" numFmtId="0" xfId="0" applyAlignment="1" applyBorder="1" applyFill="1" applyFont="1">
      <alignment horizontal="left" readingOrder="0" vertical="center"/>
    </xf>
    <xf borderId="0" fillId="0" fontId="3" numFmtId="3" xfId="0" applyFont="1" applyNumberFormat="1"/>
    <xf borderId="0" fillId="11" fontId="12" numFmtId="0" xfId="0" applyAlignment="1" applyFill="1" applyFont="1">
      <alignment horizontal="left" readingOrder="0" shrinkToFit="0" vertical="center" wrapText="0"/>
    </xf>
    <xf borderId="0" fillId="11" fontId="12" numFmtId="3" xfId="0" applyAlignment="1" applyFill="1" applyFont="1" applyNumberFormat="1">
      <alignment readingOrder="0" shrinkToFit="0" vertical="center" wrapText="0"/>
    </xf>
    <xf borderId="0" fillId="11" fontId="12" numFmtId="3" xfId="0" applyAlignment="1" applyFill="1" applyFont="1" applyNumberFormat="1">
      <alignment readingOrder="0" shrinkToFit="0" vertical="center" wrapText="1"/>
    </xf>
    <xf borderId="0" fillId="8" fontId="5" numFmtId="10" xfId="0" applyAlignment="1" applyFill="1" applyFont="1" applyNumberFormat="1">
      <alignment horizontal="center" vertical="center"/>
    </xf>
    <xf borderId="13" fillId="12" fontId="1" numFmtId="0" xfId="0" applyAlignment="1" applyBorder="1" applyFill="1" applyFont="1">
      <alignment horizontal="left" readingOrder="0" vertical="center"/>
    </xf>
    <xf borderId="13" fillId="12" fontId="1" numFmtId="9" xfId="0" applyAlignment="1" applyBorder="1" applyFill="1" applyFont="1" applyNumberFormat="1">
      <alignment horizontal="left" readingOrder="0" vertical="center"/>
    </xf>
    <xf borderId="13" fillId="12" fontId="1" numFmtId="0" xfId="0" applyAlignment="1" applyBorder="1" applyFill="1" applyFont="1">
      <alignment horizontal="left" readingOrder="0" vertical="center"/>
    </xf>
    <xf borderId="13" fillId="13" fontId="8" numFmtId="0" xfId="0" applyAlignment="1" applyBorder="1" applyFill="1" applyFont="1">
      <alignment horizontal="left" readingOrder="0" vertical="center"/>
    </xf>
    <xf borderId="13" fillId="12" fontId="1" numFmtId="3" xfId="0" applyAlignment="1" applyBorder="1" applyFill="1" applyFont="1" applyNumberFormat="1">
      <alignment horizontal="left" readingOrder="0" vertical="center"/>
    </xf>
    <xf borderId="0" fillId="8" fontId="10" numFmtId="10" xfId="0" applyAlignment="1" applyFill="1" applyFont="1" applyNumberFormat="1">
      <alignment horizontal="center" readingOrder="0" vertical="center"/>
    </xf>
    <xf borderId="2" fillId="6" fontId="1" numFmtId="2" xfId="0" applyBorder="1" applyFill="1" applyFont="1" applyNumberFormat="1"/>
    <xf borderId="0" fillId="8" fontId="3" numFmtId="0" xfId="0" applyFill="1" applyFont="1"/>
    <xf borderId="2" fillId="8" fontId="1" numFmtId="0" xfId="0" applyBorder="1" applyFill="1" applyFont="1"/>
    <xf borderId="0" fillId="8" fontId="5" numFmtId="165" xfId="0" applyAlignment="1" applyFill="1" applyFont="1" applyNumberFormat="1">
      <alignment horizontal="center" readingOrder="0" vertical="center"/>
    </xf>
    <xf borderId="0" fillId="0" fontId="1" numFmtId="0" xfId="0" applyFont="1"/>
    <xf borderId="0" fillId="11" fontId="16" numFmtId="0" xfId="0" applyAlignment="1" applyFill="1" applyFont="1">
      <alignment horizontal="center" readingOrder="1"/>
    </xf>
    <xf borderId="13" fillId="14" fontId="17" numFmtId="0" xfId="0" applyAlignment="1" applyBorder="1" applyFill="1" applyFont="1">
      <alignment horizontal="center" readingOrder="1"/>
    </xf>
    <xf borderId="13" fillId="15" fontId="17" numFmtId="0" xfId="0" applyAlignment="1" applyBorder="1" applyFill="1" applyFont="1">
      <alignment horizontal="center" readingOrder="1"/>
    </xf>
    <xf borderId="0" fillId="0" fontId="9" numFmtId="0" xfId="0" applyAlignment="1" applyFont="1">
      <alignment horizontal="center"/>
    </xf>
    <xf borderId="17" fillId="16" fontId="2" numFmtId="0" xfId="0" applyAlignment="1" applyBorder="1" applyFill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13" fillId="14" fontId="17" numFmtId="0" xfId="0" applyAlignment="1" applyBorder="1" applyFill="1" applyFont="1">
      <alignment horizontal="center" readingOrder="1"/>
    </xf>
    <xf borderId="13" fillId="14" fontId="18" numFmtId="164" xfId="0" applyAlignment="1" applyBorder="1" applyFill="1" applyFont="1" applyNumberFormat="1">
      <alignment horizontal="center" readingOrder="1"/>
    </xf>
    <xf borderId="13" fillId="15" fontId="19" numFmtId="164" xfId="0" applyAlignment="1" applyBorder="1" applyFill="1" applyFont="1" applyNumberFormat="1">
      <alignment horizontal="left" readingOrder="1"/>
    </xf>
    <xf borderId="0" fillId="0" fontId="20" numFmtId="0" xfId="0" applyAlignment="1" applyFont="1">
      <alignment horizontal="left" readingOrder="1"/>
    </xf>
    <xf borderId="13" fillId="16" fontId="2" numFmtId="0" xfId="0" applyAlignment="1" applyBorder="1" applyFill="1" applyFont="1">
      <alignment readingOrder="0"/>
    </xf>
    <xf borderId="0" fillId="0" fontId="9" numFmtId="0" xfId="0" applyFont="1"/>
    <xf borderId="13" fillId="17" fontId="21" numFmtId="165" xfId="0" applyBorder="1" applyFill="1" applyFont="1" applyNumberFormat="1"/>
    <xf borderId="13" fillId="0" fontId="14" numFmtId="0" xfId="0" applyBorder="1" applyFont="1"/>
    <xf borderId="13" fillId="0" fontId="14" numFmtId="165" xfId="0" applyAlignment="1" applyBorder="1" applyFont="1" applyNumberFormat="1">
      <alignment readingOrder="0"/>
    </xf>
    <xf borderId="13" fillId="0" fontId="1" numFmtId="0" xfId="0" applyAlignment="1" applyBorder="1" applyFont="1">
      <alignment readingOrder="0"/>
    </xf>
    <xf borderId="13" fillId="0" fontId="1" numFmtId="165" xfId="0" applyBorder="1" applyFont="1" applyNumberFormat="1"/>
    <xf borderId="13" fillId="0" fontId="1" numFmtId="0" xfId="0" applyAlignment="1" applyBorder="1" applyFont="1">
      <alignment vertical="bottom"/>
    </xf>
    <xf borderId="13" fillId="0" fontId="22" numFmtId="168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readingOrder="0"/>
    </xf>
    <xf borderId="13" fillId="0" fontId="1" numFmtId="0" xfId="0" applyBorder="1" applyFont="1"/>
    <xf borderId="13" fillId="0" fontId="9" numFmtId="0" xfId="0" applyAlignment="1" applyBorder="1" applyFont="1">
      <alignment readingOrder="0"/>
    </xf>
    <xf borderId="13" fillId="0" fontId="9" numFmtId="164" xfId="0" applyBorder="1" applyFont="1" applyNumberFormat="1"/>
    <xf borderId="0" fillId="0" fontId="9" numFmtId="164" xfId="0" applyFont="1" applyNumberFormat="1"/>
    <xf borderId="0" fillId="0" fontId="23" numFmtId="2" xfId="0" applyFont="1" applyNumberFormat="1"/>
    <xf borderId="13" fillId="16" fontId="2" numFmtId="0" xfId="0" applyBorder="1" applyFill="1" applyFont="1"/>
    <xf borderId="13" fillId="16" fontId="2" numFmtId="0" xfId="0" applyAlignment="1" applyBorder="1" applyFill="1" applyFont="1">
      <alignment readingOrder="0"/>
    </xf>
    <xf borderId="13" fillId="17" fontId="21" numFmtId="0" xfId="0" applyAlignment="1" applyBorder="1" applyFill="1" applyFont="1">
      <alignment readingOrder="0"/>
    </xf>
    <xf borderId="13" fillId="17" fontId="21" numFmtId="0" xfId="0" applyBorder="1" applyFill="1" applyFont="1"/>
    <xf borderId="0" fillId="9" fontId="5" numFmtId="10" xfId="0" applyAlignment="1" applyFill="1" applyFont="1" applyNumberFormat="1">
      <alignment horizontal="center" vertical="center"/>
    </xf>
    <xf borderId="0" fillId="9" fontId="10" numFmtId="165" xfId="0" applyAlignment="1" applyFill="1" applyFont="1" applyNumberFormat="1">
      <alignment horizontal="center" readingOrder="1" vertical="center"/>
    </xf>
    <xf borderId="0" fillId="8" fontId="10" numFmtId="2" xfId="0" applyAlignment="1" applyFill="1" applyFont="1" applyNumberFormat="1">
      <alignment horizontal="center" readingOrder="0" vertical="center"/>
    </xf>
    <xf borderId="14" fillId="11" fontId="12" numFmtId="167" xfId="0" applyAlignment="1" applyBorder="1" applyFill="1" applyFont="1" applyNumberFormat="1">
      <alignment readingOrder="0" shrinkToFit="0" vertical="center" wrapText="0"/>
    </xf>
    <xf borderId="0" fillId="9" fontId="5" numFmtId="2" xfId="0" applyAlignment="1" applyFill="1" applyFont="1" applyNumberFormat="1">
      <alignment horizontal="center" readingOrder="0" vertical="center"/>
    </xf>
    <xf borderId="2" fillId="6" fontId="1" numFmtId="166" xfId="0" applyBorder="1" applyFill="1" applyFont="1" applyNumberFormat="1"/>
    <xf borderId="2" fillId="6" fontId="1" numFmtId="0" xfId="0" applyAlignment="1" applyBorder="1" applyFill="1" applyFont="1">
      <alignment horizontal="center"/>
    </xf>
    <xf borderId="2" fillId="6" fontId="1" numFmtId="10" xfId="0" applyBorder="1" applyFill="1" applyFont="1" applyNumberFormat="1"/>
    <xf borderId="2" fillId="6" fontId="1" numFmtId="9" xfId="0" applyBorder="1" applyFill="1" applyFont="1" applyNumberFormat="1"/>
    <xf borderId="0" fillId="7" fontId="1" numFmtId="0" xfId="0" applyFill="1" applyFont="1"/>
    <xf borderId="0" fillId="7" fontId="24" numFmtId="0" xfId="0" applyAlignment="1" applyFill="1" applyFont="1">
      <alignment horizontal="center" readingOrder="0" vertical="center"/>
    </xf>
    <xf borderId="0" fillId="7" fontId="3" numFmtId="0" xfId="0" applyFill="1" applyFont="1"/>
    <xf borderId="0" fillId="7" fontId="3" numFmtId="0" xfId="0" applyAlignment="1" applyFill="1" applyFont="1">
      <alignment readingOrder="0"/>
    </xf>
    <xf borderId="13" fillId="11" fontId="9" numFmtId="0" xfId="0" applyBorder="1" applyFill="1" applyFont="1"/>
    <xf borderId="20" fillId="16" fontId="2" numFmtId="0" xfId="0" applyAlignment="1" applyBorder="1" applyFill="1" applyFont="1">
      <alignment readingOrder="0"/>
    </xf>
    <xf borderId="13" fillId="11" fontId="9" numFmtId="0" xfId="0" applyAlignment="1" applyBorder="1" applyFill="1" applyFont="1">
      <alignment readingOrder="0"/>
    </xf>
    <xf borderId="13" fillId="11" fontId="9" numFmtId="166" xfId="0" applyBorder="1" applyFill="1" applyFont="1" applyNumberFormat="1"/>
    <xf borderId="13" fillId="11" fontId="9" numFmtId="1" xfId="0" applyBorder="1" applyFill="1" applyFont="1" applyNumberFormat="1"/>
    <xf borderId="13" fillId="11" fontId="3" numFmtId="166" xfId="0" applyBorder="1" applyFill="1" applyFont="1" applyNumberFormat="1"/>
    <xf borderId="0" fillId="11" fontId="3" numFmtId="0" xfId="0" applyAlignment="1" applyFill="1" applyFont="1">
      <alignment horizontal="right"/>
    </xf>
    <xf borderId="13" fillId="18" fontId="25" numFmtId="0" xfId="0" applyAlignment="1" applyBorder="1" applyFill="1" applyFont="1">
      <alignment readingOrder="0"/>
    </xf>
    <xf borderId="13" fillId="11" fontId="25" numFmtId="0" xfId="0" applyAlignment="1" applyBorder="1" applyFill="1" applyFont="1">
      <alignment readingOrder="0"/>
    </xf>
    <xf borderId="0" fillId="7" fontId="9" numFmtId="4" xfId="0" applyFill="1" applyFont="1" applyNumberFormat="1"/>
    <xf borderId="0" fillId="7" fontId="26" numFmtId="0" xfId="0" applyFill="1" applyFont="1"/>
    <xf borderId="17" fillId="11" fontId="27" numFmtId="0" xfId="0" applyAlignment="1" applyBorder="1" applyFill="1" applyFont="1">
      <alignment readingOrder="0" shrinkToFit="0" wrapText="1"/>
    </xf>
    <xf borderId="21" fillId="0" fontId="2" numFmtId="0" xfId="0" applyBorder="1" applyFont="1"/>
    <xf borderId="21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center"/>
    </xf>
    <xf borderId="22" fillId="0" fontId="2" numFmtId="4" xfId="0" applyAlignment="1" applyBorder="1" applyFont="1" applyNumberFormat="1">
      <alignment horizontal="center"/>
    </xf>
    <xf borderId="22" fillId="0" fontId="2" numFmtId="0" xfId="0" applyAlignment="1" applyBorder="1" applyFont="1">
      <alignment horizontal="center" readingOrder="0"/>
    </xf>
    <xf borderId="0" fillId="7" fontId="28" numFmtId="10" xfId="0" applyAlignment="1" applyFill="1" applyFont="1" applyNumberFormat="1">
      <alignment horizontal="center"/>
    </xf>
    <xf borderId="22" fillId="0" fontId="29" numFmtId="0" xfId="0" applyBorder="1" applyFont="1"/>
    <xf borderId="22" fillId="0" fontId="29" numFmtId="1" xfId="0" applyBorder="1" applyFont="1" applyNumberFormat="1"/>
    <xf borderId="22" fillId="0" fontId="29" numFmtId="169" xfId="0" applyBorder="1" applyFont="1" applyNumberFormat="1"/>
    <xf borderId="22" fillId="0" fontId="29" numFmtId="4" xfId="0" applyBorder="1" applyFont="1" applyNumberFormat="1"/>
    <xf borderId="22" fillId="0" fontId="30" numFmtId="169" xfId="0" applyAlignment="1" applyBorder="1" applyFont="1" applyNumberFormat="1">
      <alignment horizontal="center"/>
    </xf>
    <xf borderId="22" fillId="0" fontId="29" numFmtId="165" xfId="0" applyAlignment="1" applyBorder="1" applyFont="1" applyNumberFormat="1">
      <alignment horizontal="center"/>
    </xf>
    <xf borderId="22" fillId="0" fontId="30" numFmtId="10" xfId="0" applyAlignment="1" applyBorder="1" applyFont="1" applyNumberFormat="1">
      <alignment horizontal="center"/>
    </xf>
    <xf borderId="13" fillId="11" fontId="27" numFmtId="0" xfId="0" applyAlignment="1" applyBorder="1" applyFill="1" applyFont="1">
      <alignment shrinkToFit="0" wrapText="1"/>
    </xf>
    <xf borderId="13" fillId="11" fontId="27" numFmtId="0" xfId="0" applyAlignment="1" applyBorder="1" applyFill="1" applyFont="1">
      <alignment readingOrder="0" shrinkToFit="0" wrapText="1"/>
    </xf>
    <xf borderId="13" fillId="11" fontId="31" numFmtId="0" xfId="0" applyAlignment="1" applyBorder="1" applyFill="1" applyFont="1">
      <alignment readingOrder="0" shrinkToFit="0" wrapText="1"/>
    </xf>
    <xf borderId="13" fillId="11" fontId="31" numFmtId="0" xfId="0" applyAlignment="1" applyBorder="1" applyFill="1" applyFont="1">
      <alignment shrinkToFit="0" wrapText="1"/>
    </xf>
    <xf borderId="22" fillId="0" fontId="32" numFmtId="169" xfId="0" applyBorder="1" applyFont="1" applyNumberFormat="1"/>
    <xf borderId="22" fillId="0" fontId="1" numFmtId="1" xfId="0" applyBorder="1" applyFont="1" applyNumberFormat="1"/>
    <xf borderId="22" fillId="0" fontId="1" numFmtId="169" xfId="0" applyBorder="1" applyFont="1" applyNumberFormat="1"/>
    <xf borderId="22" fillId="0" fontId="1" numFmtId="4" xfId="0" applyBorder="1" applyFont="1" applyNumberFormat="1"/>
    <xf borderId="22" fillId="0" fontId="28" numFmtId="169" xfId="0" applyAlignment="1" applyBorder="1" applyFont="1" applyNumberFormat="1">
      <alignment horizontal="center"/>
    </xf>
    <xf borderId="22" fillId="0" fontId="1" numFmtId="165" xfId="0" applyAlignment="1" applyBorder="1" applyFont="1" applyNumberFormat="1">
      <alignment horizontal="center"/>
    </xf>
    <xf borderId="22" fillId="0" fontId="28" numFmtId="10" xfId="0" applyAlignment="1" applyBorder="1" applyFont="1" applyNumberFormat="1">
      <alignment horizontal="center"/>
    </xf>
    <xf borderId="22" fillId="0" fontId="1" numFmtId="169" xfId="0" applyAlignment="1" applyBorder="1" applyFont="1" applyNumberFormat="1">
      <alignment horizontal="center"/>
    </xf>
    <xf borderId="23" fillId="0" fontId="1" numFmtId="169" xfId="0" applyBorder="1" applyFont="1" applyNumberFormat="1"/>
    <xf borderId="17" fillId="11" fontId="31" numFmtId="0" xfId="0" applyAlignment="1" applyBorder="1" applyFill="1" applyFont="1">
      <alignment readingOrder="0" shrinkToFit="0" wrapText="1"/>
    </xf>
    <xf borderId="24" fillId="0" fontId="1" numFmtId="169" xfId="0" applyBorder="1" applyFont="1" applyNumberFormat="1"/>
    <xf borderId="13" fillId="0" fontId="1" numFmtId="169" xfId="0" applyBorder="1" applyFont="1" applyNumberFormat="1"/>
    <xf borderId="25" fillId="0" fontId="1" numFmtId="169" xfId="0" applyBorder="1" applyFont="1" applyNumberFormat="1"/>
    <xf borderId="23" fillId="0" fontId="1" numFmtId="4" xfId="0" applyBorder="1" applyFont="1" applyNumberFormat="1"/>
    <xf borderId="23" fillId="0" fontId="28" numFmtId="169" xfId="0" applyAlignment="1" applyBorder="1" applyFont="1" applyNumberFormat="1">
      <alignment horizontal="center"/>
    </xf>
    <xf borderId="23" fillId="0" fontId="1" numFmtId="165" xfId="0" applyAlignment="1" applyBorder="1" applyFont="1" applyNumberFormat="1">
      <alignment horizontal="center"/>
    </xf>
    <xf borderId="23" fillId="0" fontId="28" numFmtId="10" xfId="0" applyAlignment="1" applyBorder="1" applyFont="1" applyNumberFormat="1">
      <alignment horizontal="center"/>
    </xf>
    <xf borderId="26" fillId="11" fontId="27" numFmtId="0" xfId="0" applyAlignment="1" applyBorder="1" applyFill="1" applyFont="1">
      <alignment readingOrder="0" shrinkToFit="0" wrapText="1"/>
    </xf>
    <xf borderId="27" fillId="0" fontId="4" numFmtId="0" xfId="0" applyBorder="1" applyFont="1"/>
    <xf borderId="22" fillId="19" fontId="30" numFmtId="169" xfId="0" applyAlignment="1" applyBorder="1" applyFill="1" applyFont="1" applyNumberFormat="1">
      <alignment horizontal="center"/>
    </xf>
    <xf borderId="24" fillId="19" fontId="30" numFmtId="169" xfId="0" applyAlignment="1" applyBorder="1" applyFill="1" applyFont="1" applyNumberFormat="1">
      <alignment horizontal="center"/>
    </xf>
    <xf borderId="13" fillId="19" fontId="30" numFmtId="169" xfId="0" applyAlignment="1" applyBorder="1" applyFill="1" applyFont="1" applyNumberFormat="1">
      <alignment horizontal="center"/>
    </xf>
    <xf borderId="13" fillId="19" fontId="30" numFmtId="169" xfId="0" applyAlignment="1" applyBorder="1" applyFill="1" applyFont="1" applyNumberFormat="1">
      <alignment horizontal="center"/>
    </xf>
    <xf borderId="13" fillId="19" fontId="30" numFmtId="4" xfId="0" applyAlignment="1" applyBorder="1" applyFill="1" applyFont="1" applyNumberFormat="1">
      <alignment horizontal="center"/>
    </xf>
    <xf borderId="14" fillId="11" fontId="12" numFmtId="0" xfId="0" applyAlignment="1" applyBorder="1" applyFill="1" applyFont="1">
      <alignment horizontal="left" readingOrder="0" shrinkToFit="0" vertical="center" wrapText="0"/>
    </xf>
    <xf borderId="14" fillId="11" fontId="12" numFmtId="0" xfId="0" applyAlignment="1" applyBorder="1" applyFill="1" applyFont="1">
      <alignment readingOrder="0" shrinkToFit="0" vertical="center" wrapText="0"/>
    </xf>
    <xf borderId="14" fillId="11" fontId="12" numFmtId="0" xfId="0" applyAlignment="1" applyBorder="1" applyFill="1" applyFont="1">
      <alignment horizontal="center" readingOrder="0" shrinkToFit="0" vertical="center" wrapText="0"/>
    </xf>
    <xf borderId="28" fillId="19" fontId="30" numFmtId="165" xfId="0" applyAlignment="1" applyBorder="1" applyFill="1" applyFont="1" applyNumberFormat="1">
      <alignment horizontal="center" vertical="center"/>
    </xf>
    <xf borderId="13" fillId="11" fontId="30" numFmtId="10" xfId="0" applyAlignment="1" applyBorder="1" applyFill="1" applyFont="1" applyNumberFormat="1">
      <alignment horizontal="center"/>
    </xf>
    <xf borderId="29" fillId="11" fontId="31" numFmtId="0" xfId="0" applyAlignment="1" applyBorder="1" applyFill="1" applyFont="1">
      <alignment readingOrder="0" shrinkToFit="0" wrapText="1"/>
    </xf>
    <xf borderId="30" fillId="0" fontId="4" numFmtId="0" xfId="0" applyBorder="1" applyFont="1"/>
    <xf borderId="31" fillId="0" fontId="4" numFmtId="0" xfId="0" applyBorder="1" applyFont="1"/>
    <xf borderId="22" fillId="11" fontId="30" numFmtId="0" xfId="0" applyAlignment="1" applyBorder="1" applyFill="1" applyFont="1">
      <alignment horizontal="center"/>
    </xf>
    <xf borderId="24" fillId="11" fontId="30" numFmtId="170" xfId="0" applyAlignment="1" applyBorder="1" applyFill="1" applyFont="1" applyNumberFormat="1">
      <alignment horizontal="center"/>
    </xf>
    <xf borderId="13" fillId="11" fontId="30" numFmtId="170" xfId="0" applyAlignment="1" applyBorder="1" applyFill="1" applyFont="1" applyNumberFormat="1">
      <alignment horizontal="center"/>
    </xf>
    <xf borderId="13" fillId="11" fontId="30" numFmtId="166" xfId="0" applyAlignment="1" applyBorder="1" applyFill="1" applyFont="1" applyNumberFormat="1">
      <alignment horizontal="center"/>
    </xf>
    <xf borderId="13" fillId="11" fontId="30" numFmtId="4" xfId="0" applyAlignment="1" applyBorder="1" applyFill="1" applyFont="1" applyNumberFormat="1">
      <alignment horizontal="center"/>
    </xf>
    <xf borderId="13" fillId="11" fontId="30" numFmtId="166" xfId="0" applyAlignment="1" applyBorder="1" applyFill="1" applyFont="1" applyNumberFormat="1">
      <alignment horizontal="center"/>
    </xf>
    <xf borderId="32" fillId="11" fontId="4" numFmtId="0" xfId="0" applyBorder="1" applyFill="1" applyFont="1"/>
    <xf borderId="14" fillId="11" fontId="12" numFmtId="0" xfId="0" applyAlignment="1" applyBorder="1" applyFill="1" applyFont="1">
      <alignment horizontal="left" shrinkToFit="0" vertical="center" wrapText="0"/>
    </xf>
    <xf borderId="23" fillId="19" fontId="30" numFmtId="0" xfId="0" applyAlignment="1" applyBorder="1" applyFill="1" applyFont="1">
      <alignment horizontal="center"/>
    </xf>
    <xf borderId="14" fillId="11" fontId="12" numFmtId="0" xfId="0" applyAlignment="1" applyBorder="1" applyFill="1" applyFont="1">
      <alignment shrinkToFit="0" vertical="center" wrapText="0"/>
    </xf>
    <xf borderId="14" fillId="11" fontId="12" numFmtId="0" xfId="0" applyAlignment="1" applyBorder="1" applyFill="1" applyFont="1">
      <alignment horizontal="center" shrinkToFit="0" vertical="center" wrapText="0"/>
    </xf>
    <xf borderId="33" fillId="19" fontId="29" numFmtId="0" xfId="0" applyAlignment="1" applyBorder="1" applyFill="1" applyFont="1">
      <alignment horizontal="center" vertical="center"/>
    </xf>
    <xf borderId="28" fillId="19" fontId="29" numFmtId="0" xfId="0" applyAlignment="1" applyBorder="1" applyFill="1" applyFont="1">
      <alignment horizontal="center" vertical="center"/>
    </xf>
    <xf borderId="13" fillId="19" fontId="29" numFmtId="0" xfId="0" applyAlignment="1" applyBorder="1" applyFill="1" applyFont="1">
      <alignment horizontal="center"/>
    </xf>
    <xf borderId="13" fillId="19" fontId="29" numFmtId="4" xfId="0" applyAlignment="1" applyBorder="1" applyFill="1" applyFont="1" applyNumberFormat="1">
      <alignment horizontal="center"/>
    </xf>
    <xf borderId="13" fillId="19" fontId="30" numFmtId="0" xfId="0" applyAlignment="1" applyBorder="1" applyFill="1" applyFont="1">
      <alignment horizontal="center"/>
    </xf>
    <xf borderId="32" fillId="19" fontId="4" numFmtId="0" xfId="0" applyBorder="1" applyFill="1" applyFont="1"/>
    <xf borderId="21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13" fillId="7" fontId="14" numFmtId="0" xfId="0" applyAlignment="1" applyBorder="1" applyFill="1" applyFont="1">
      <alignment horizontal="center"/>
    </xf>
    <xf borderId="13" fillId="7" fontId="14" numFmtId="4" xfId="0" applyAlignment="1" applyBorder="1" applyFill="1" applyFont="1" applyNumberFormat="1">
      <alignment horizontal="center"/>
    </xf>
    <xf borderId="13" fillId="7" fontId="28" numFmtId="0" xfId="0" applyAlignment="1" applyBorder="1" applyFill="1" applyFont="1">
      <alignment horizontal="center"/>
    </xf>
    <xf borderId="13" fillId="11" fontId="28" numFmtId="10" xfId="0" applyAlignment="1" applyBorder="1" applyFill="1" applyFont="1" applyNumberFormat="1">
      <alignment horizontal="center"/>
    </xf>
    <xf borderId="20" fillId="16" fontId="2" numFmtId="0" xfId="0" applyAlignment="1" applyBorder="1" applyFill="1" applyFont="1">
      <alignment horizontal="center" readingOrder="0" vertical="center"/>
    </xf>
    <xf borderId="0" fillId="7" fontId="9" numFmtId="0" xfId="0" applyAlignment="1" applyFill="1" applyFont="1">
      <alignment horizontal="center" vertical="center"/>
    </xf>
    <xf borderId="20" fillId="16" fontId="2" numFmtId="0" xfId="0" applyAlignment="1" applyBorder="1" applyFill="1" applyFont="1">
      <alignment horizontal="center" readingOrder="0" shrinkToFit="0" vertical="center" wrapText="1"/>
    </xf>
    <xf borderId="20" fillId="17" fontId="21" numFmtId="0" xfId="0" applyAlignment="1" applyBorder="1" applyFill="1" applyFont="1">
      <alignment readingOrder="0"/>
    </xf>
    <xf borderId="20" fillId="17" fontId="21" numFmtId="4" xfId="0" applyAlignment="1" applyBorder="1" applyFill="1" applyFont="1" applyNumberFormat="1">
      <alignment readingOrder="0"/>
    </xf>
    <xf borderId="20" fillId="17" fontId="21" numFmtId="4" xfId="0" applyBorder="1" applyFill="1" applyFont="1" applyNumberFormat="1"/>
    <xf borderId="20" fillId="17" fontId="21" numFmtId="165" xfId="0" applyBorder="1" applyFill="1" applyFont="1" applyNumberFormat="1"/>
    <xf borderId="20" fillId="17" fontId="21" numFmtId="166" xfId="0" applyBorder="1" applyFill="1" applyFont="1" applyNumberFormat="1"/>
    <xf borderId="20" fillId="17" fontId="21" numFmtId="165" xfId="0" applyAlignment="1" applyBorder="1" applyFill="1" applyFont="1" applyNumberFormat="1">
      <alignment readingOrder="0"/>
    </xf>
    <xf borderId="0" fillId="7" fontId="1" numFmtId="4" xfId="0" applyFill="1" applyFont="1" applyNumberFormat="1"/>
    <xf borderId="0" fillId="6" fontId="10" numFmtId="165" xfId="0" applyAlignment="1" applyFill="1" applyFont="1" applyNumberFormat="1">
      <alignment horizontal="center" readingOrder="0" vertical="center"/>
    </xf>
    <xf borderId="0" fillId="6" fontId="10" numFmtId="2" xfId="0" applyAlignment="1" applyFill="1" applyFont="1" applyNumberFormat="1">
      <alignment horizontal="center" readingOrder="0" vertical="center"/>
    </xf>
    <xf borderId="0" fillId="6" fontId="10" numFmtId="2" xfId="0" applyAlignment="1" applyFill="1" applyFont="1" applyNumberFormat="1">
      <alignment horizontal="center" vertical="center"/>
    </xf>
    <xf borderId="0" fillId="6" fontId="10" numFmtId="10" xfId="0" applyAlignment="1" applyFill="1" applyFont="1" applyNumberFormat="1">
      <alignment horizontal="center" readingOrder="0" vertical="center"/>
    </xf>
    <xf borderId="0" fillId="6" fontId="1" numFmtId="10" xfId="0" applyFill="1" applyFont="1" applyNumberFormat="1"/>
    <xf borderId="0" fillId="0" fontId="1" numFmtId="10" xfId="0" applyFont="1" applyNumberFormat="1"/>
    <xf borderId="14" fillId="11" fontId="12" numFmtId="0" xfId="0" applyAlignment="1" applyBorder="1" applyFill="1" applyFont="1">
      <alignment readingOrder="0" shrinkToFit="0" vertical="center" wrapText="0"/>
    </xf>
    <xf borderId="0" fillId="20" fontId="3" numFmtId="0" xfId="0" applyFill="1" applyFont="1"/>
    <xf borderId="0" fillId="20" fontId="3" numFmtId="167" xfId="0" applyFill="1" applyFont="1" applyNumberFormat="1"/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F7F8FF"/>
          <bgColor rgb="FFF7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8E4C35"/>
          <bgColor rgb="FF8E4C35"/>
        </patternFill>
      </fill>
      <border/>
    </dxf>
    <dxf>
      <font/>
      <fill>
        <patternFill patternType="solid">
          <fgColor rgb="FFFFF8F6"/>
          <bgColor rgb="FFFFF8F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3CCCC"/>
          <bgColor rgb="FFF3CC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8">
    <tableStyle count="2" pivot="0" name="Catálogo Geral-style">
      <tableStyleElement dxfId="1" type="firstRowStripe"/>
      <tableStyleElement dxfId="2" type="secondRowStripe"/>
    </tableStyle>
    <tableStyle count="2" pivot="0" name="Catálogo Geral-style 2">
      <tableStyleElement dxfId="1" type="firstRowStripe"/>
      <tableStyleElement dxfId="2" type="secondRowStripe"/>
    </tableStyle>
    <tableStyle count="4" pivot="0" name="Receitas-style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Pré-preparos e Variegatos-style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Pré-preparos e Variegatos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Pré-preparos e Variegatos-style 3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3" pivot="0" name="Balanceamento-style">
      <tableStyleElement dxfId="6" type="headerRow"/>
      <tableStyleElement dxfId="7" type="firstRowStripe"/>
      <tableStyleElement dxfId="2" type="secondRowStripe"/>
    </tableStyle>
    <tableStyle count="2" pivot="0" name="Balanceamento-style 2"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3375" cy="19050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6</xdr:row>
      <xdr:rowOff>0</xdr:rowOff>
    </xdr:from>
    <xdr:ext cx="228600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</xdr:row>
      <xdr:rowOff>0</xdr:rowOff>
    </xdr:from>
    <xdr:ext cx="228600" cy="190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</xdr:row>
      <xdr:rowOff>0</xdr:rowOff>
    </xdr:from>
    <xdr:ext cx="22860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9</xdr:row>
      <xdr:rowOff>0</xdr:rowOff>
    </xdr:from>
    <xdr:ext cx="161925" cy="1905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10</xdr:row>
      <xdr:rowOff>0</xdr:rowOff>
    </xdr:from>
    <xdr:ext cx="161925" cy="1905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11</xdr:row>
      <xdr:rowOff>0</xdr:rowOff>
    </xdr:from>
    <xdr:ext cx="161925" cy="1905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</xdr:row>
      <xdr:rowOff>0</xdr:rowOff>
    </xdr:from>
    <xdr:ext cx="1238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1685925</xdr:colOff>
      <xdr:row>0</xdr:row>
      <xdr:rowOff>0</xdr:rowOff>
    </xdr:from>
    <xdr:ext cx="5372100" cy="1800225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86000" cy="1276350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one" id="{821e9940-01e8-4f1b-a56f-d62e5aef23f8}" providerId="google-sheets"/>
  <x18tc:person displayName="Gabriel Ajovedi" id="{3e42dd91-149f-4e06-b0fe-0341d84c246b}" providerId="google-sheets"/>
</x18tc:personList>
</file>

<file path=xl/tables/table1.xml><?xml version="1.0" encoding="utf-8"?>
<table xmlns="http://schemas.openxmlformats.org/spreadsheetml/2006/main" headerRowCount="0" ref="A3:J1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atálogo Geral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S500" displayName="Table_2" name="Table_2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atálogo Geral-style 2" showColumnStripes="0" showFirstColumn="1" showLastColumn="1" showRowStripes="1"/>
</table>
</file>

<file path=xl/tables/table3.xml><?xml version="1.0" encoding="utf-8"?>
<table xmlns="http://schemas.openxmlformats.org/spreadsheetml/2006/main" ref="A1:E73" displayName="TabelaPrePreparos" name="TabelaPrePreparos" id="4">
  <tableColumns count="5">
    <tableColumn name="Pré-preparo" id="1"/>
    <tableColumn name="Ingrediente" id="2"/>
    <tableColumn name="Peso (g)" id="3"/>
    <tableColumn name="Categoria" id="4"/>
    <tableColumn name="Modo de Preparo" id="5"/>
  </tableColumns>
  <tableStyleInfo name="Pré-preparos e Variegatos-style" showColumnStripes="0" showFirstColumn="1" showLastColumn="1" showRowStripes="1"/>
</table>
</file>

<file path=xl/tables/table4.xml><?xml version="1.0" encoding="utf-8"?>
<table xmlns="http://schemas.openxmlformats.org/spreadsheetml/2006/main" ref="G1:K28" displayName="TabelaVariegatos" name="TabelaVariegatos" id="5">
  <tableColumns count="5">
    <tableColumn name="Variegato" id="1"/>
    <tableColumn name="Ingrediente" id="2"/>
    <tableColumn name="Peso(g)" id="3"/>
    <tableColumn name="Categoria" id="4"/>
    <tableColumn name="Modo de Preparo" id="5"/>
  </tableColumns>
  <tableStyleInfo name="Pré-preparos e Variegatos-style 2" showColumnStripes="0" showFirstColumn="1" showLastColumn="1" showRowStripes="1"/>
</table>
</file>

<file path=xl/tables/table5.xml><?xml version="1.0" encoding="utf-8"?>
<table xmlns="http://schemas.openxmlformats.org/spreadsheetml/2006/main" ref="M1:Q50" displayName="Tabela_1" name="Tabela_1" id="6">
  <tableColumns count="5">
    <tableColumn name="Sub-receita" id="1"/>
    <tableColumn name="Peso Bruto (g)" id="2"/>
    <tableColumn name="Perda Cocção (%)" id="3"/>
    <tableColumn name="Peso Final (g)" id="4"/>
    <tableColumn name="Fator Concentração" id="5"/>
  </tableColumns>
  <tableStyleInfo name="Pré-preparos e Variegatos-style 3" showColumnStripes="0" showFirstColumn="1" showLastColumn="1" showRowStripes="1"/>
</table>
</file>

<file path=xl/tables/table6.xml><?xml version="1.0" encoding="utf-8"?>
<table xmlns="http://schemas.openxmlformats.org/spreadsheetml/2006/main" ref="A1:D1370" displayName="TabelaReceitas" name="TabelaReceitas" id="2">
  <autoFilter ref="$A$1:$D$1370"/>
  <tableColumns count="4">
    <tableColumn name="Receita" id="1"/>
    <tableColumn name="Ingrediente" id="2"/>
    <tableColumn name="Peso (g)" id="3"/>
    <tableColumn name="Categoria" id="4"/>
  </tableColumns>
  <tableStyleInfo name="Receitas-style" showColumnStripes="0" showFirstColumn="1" showLastColumn="1" showRowStripes="1"/>
</table>
</file>

<file path=xl/tables/table7.xml><?xml version="1.0" encoding="utf-8"?>
<table xmlns="http://schemas.openxmlformats.org/spreadsheetml/2006/main" ref="A9:N18" displayName="Table_3" name="Table_3" id="7">
  <tableColumns count="14">
    <tableColumn name="Ingredientes" id="1"/>
    <tableColumn name="Peso (g)" id="2"/>
    <tableColumn name="Lote (g)" id="3"/>
    <tableColumn name="Açúcares" id="4"/>
    <tableColumn name="Gorduras" id="5"/>
    <tableColumn name="SNGL" id="6"/>
    <tableColumn name="Outros Sólidos" id="7"/>
    <tableColumn name="Sólidos Totais" id="8"/>
    <tableColumn name="Água" id="9"/>
    <tableColumn name="POD" id="10"/>
    <tableColumn name="PAC" id="11"/>
    <tableColumn name="Proteína" id="12"/>
    <tableColumn name="Custo Kg" id="13"/>
    <tableColumn name="Custo %" id="14"/>
  </tableColumns>
  <tableStyleInfo name="Balanceamento-style" showColumnStripes="0" showFirstColumn="1" showLastColumn="1" showRowStripes="1"/>
</table>
</file>

<file path=xl/tables/table8.xml><?xml version="1.0" encoding="utf-8"?>
<table xmlns="http://schemas.openxmlformats.org/spreadsheetml/2006/main" headerRowCount="0" ref="A42:E42" displayName="Table_4" name="Table_4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Balanceam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7BCB4"/>
      </a:accent1>
      <a:accent2>
        <a:srgbClr val="471D1E"/>
      </a:accent2>
      <a:accent3>
        <a:srgbClr val="B6A093"/>
      </a:accent3>
      <a:accent4>
        <a:srgbClr val="A55D2B"/>
      </a:accent4>
      <a:accent5>
        <a:srgbClr val="F2E1CF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4" dT="2026-10-19T06:32:47.00" personId="{821e9940-01e8-4f1b-a56f-d62e5aef23f8}" id="{d0ec3a0f-d1c0-409b-99d3-23037823da47}" done="0">
    <x18tc:text xml:space="preserve">Não ingerir mais do que 100gr dia</x18tc:text>
  </x18tc:threadedComment>
  <x18tc:threadedComment ref="A168" dT="2026-10-19T06:32:47.00" personId="{821e9940-01e8-4f1b-a56f-d62e5aef23f8}" id="{332c2c94-066d-4f0d-8813-dbd5a1cc80a9}" done="0">
    <x18tc:text xml:space="preserve">Não ingerir mais do que 30gr dia.</x18tc:text>
  </x18tc:threadedComment>
  <x18tc:threadedComment ref="A159" dT="2026-10-19T06:32:47.00" personId="{821e9940-01e8-4f1b-a56f-d62e5aef23f8}" id="{984296b9-0530-4bb7-b1f0-080fe81b4ce6}" done="0">
    <x18tc:text xml:space="preserve">Stevia em pó pode variar de 30 a 300 de POD, seja cauteloso ao utilizar</x18tc:text>
  </x18tc:threadedComment>
  <x18tc:threadedComment ref="A113" dT="2026-10-19T06:32:47.00" personId="{821e9940-01e8-4f1b-a56f-d62e5aef23f8}" id="{c621d8fc-65dd-4476-94f9-804460a6de7c}" done="0">
    <x18tc:text xml:space="preserve">Recomendado não ingerir mais do que 50gr por dia.</x18tc:text>
  </x18tc:threadedComment>
  <x18tc:threadedComment ref="A15" dT="2026-10-22T03:02:33.00" personId="{3e42dd91-149f-4e06-b0fe-0341d84c246b}" id="{d1c5301d-c273-49ed-a76a-0fe40331ac9c}" done="0">
    <x18tc:text xml:space="preserve">Ingredientes:
90g de água (preferencialmente filtrada);
210g de açúcar (qualquer tipo comum);
1g de ácido cítrico (ou 15g de suco de limão);
1g de bicarbonato de sódio.
Passo a passo:
Aquecimento inicial: Misture a água e o açúcar em uma panela e leve ao fogo até atingir entre 50ºC e 55ºC.
Adição do ácido: Adicione o ácido cítrico à mistura para iniciar a reação de hidrólise.
Cozimento controlado: Mantenha a mistura aquecida entre 85ºC e 90ºC por aproximadamente 40 minutos. É recomendado cobrir a panela (com tampa ou plástico filme próprio para contato) para evitar a evaporação da água.
Resfriamento: Após o tempo de cozimento, deixe a mistura esfriar até retornar aos 50ºC antes de seguir para o próximo passo.
Neutralização: Dilua o bicarbonato de sódio em um pouco de água para facilitar a mistura e adicione-o ao xarope. O bicarbonato irá reagir com o ácido, criando uma efervescência (espuma).
Finalização: Opcionalmente, passe a mistura por uma peneira. O açúcar invertido pronto terá uma viscosidade semelhante ao mel e uma leve coloração amarelada.</x18tc:text>
  </x18tc:threadedComment>
  <x18tc:threadedComment ref="A169" dT="2026-10-22T04:20:00.00" personId="{3e42dd91-149f-4e06-b0fe-0341d84c246b}" id="{6113af6d-98b3-4a64-9117-8a76bf0973aa}" done="0">
    <x18tc:text xml:space="preserve">Ingredientes para 1kg de Mix Zero
Polidextrose - Fibra 730 
Eritritol 245 
Stevia em pó 3-5 
Goma de Alfarroba 20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2.29"/>
    <col customWidth="1" min="2" max="2" width="14.0"/>
    <col customWidth="1" min="3" max="3" width="11.57"/>
    <col customWidth="1" min="4" max="4" width="12.43"/>
    <col customWidth="1" min="5" max="5" width="9.29"/>
    <col customWidth="1" min="6" max="6" width="16.57"/>
    <col customWidth="1" min="7" max="7" width="15.57"/>
    <col customWidth="1" min="8" max="10" width="10.14"/>
    <col customWidth="1" min="11" max="11" width="10.57"/>
    <col customWidth="1" min="12" max="12" width="14.0"/>
    <col customWidth="1" min="13" max="13" width="11.14"/>
    <col customWidth="1" min="14" max="14" width="26.57"/>
    <col customWidth="1" min="15" max="15" width="8.86"/>
    <col customWidth="1" min="16" max="16" width="9.14"/>
    <col customWidth="1" min="17" max="17" width="5.71"/>
    <col customWidth="1" min="18" max="19" width="4.71"/>
    <col customWidth="1" min="20" max="20" width="5.57"/>
    <col customWidth="1" min="21" max="21" width="5.0"/>
    <col customWidth="1" min="22" max="22" width="4.43"/>
    <col customWidth="1" min="23" max="23" width="8.57"/>
    <col customWidth="1" min="24" max="24" width="6.57"/>
    <col customWidth="1" min="25" max="25" width="9.71"/>
    <col customWidth="1" min="26" max="26" width="46.86"/>
    <col customWidth="1" min="27" max="27" width="18.29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  <c r="Z1" s="7"/>
      <c r="AA1" s="7"/>
    </row>
    <row r="2">
      <c r="A2" s="9"/>
      <c r="B2" s="2"/>
      <c r="C2" s="10"/>
      <c r="D2" s="12"/>
      <c r="E2" s="12"/>
      <c r="F2" s="12"/>
      <c r="G2" s="12"/>
      <c r="H2" s="12"/>
      <c r="I2" s="12"/>
      <c r="J2" s="12"/>
      <c r="K2" s="1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5"/>
      <c r="Z2" s="7"/>
      <c r="AA2" s="7"/>
    </row>
    <row r="3" ht="123.75" customHeight="1">
      <c r="A3" s="14"/>
      <c r="B3" s="2"/>
      <c r="C3" s="3"/>
      <c r="D3" s="3"/>
      <c r="E3" s="3"/>
      <c r="F3" s="3"/>
      <c r="G3" s="3"/>
      <c r="H3" s="3"/>
      <c r="I3" s="3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5"/>
      <c r="Z3" s="7"/>
      <c r="AA3" s="7"/>
    </row>
    <row r="4">
      <c r="A4" s="16" t="s">
        <v>3</v>
      </c>
      <c r="B4" s="17" t="s">
        <v>5</v>
      </c>
      <c r="C4" s="16" t="s">
        <v>8</v>
      </c>
      <c r="D4" s="16" t="s">
        <v>9</v>
      </c>
      <c r="E4" s="16" t="s">
        <v>10</v>
      </c>
      <c r="F4" s="16" t="s">
        <v>12</v>
      </c>
      <c r="G4" s="16" t="s">
        <v>13</v>
      </c>
      <c r="H4" s="16" t="s">
        <v>14</v>
      </c>
      <c r="I4" s="16" t="s">
        <v>16</v>
      </c>
      <c r="J4" s="16" t="s">
        <v>17</v>
      </c>
      <c r="K4" s="18" t="s">
        <v>19</v>
      </c>
      <c r="L4" s="18" t="s">
        <v>21</v>
      </c>
      <c r="M4" s="19"/>
      <c r="N4" s="21"/>
      <c r="O4" s="21"/>
      <c r="P4" s="21"/>
      <c r="Q4" s="22"/>
      <c r="Y4" s="22"/>
      <c r="Z4" s="24"/>
      <c r="AA4" s="24"/>
    </row>
    <row r="5">
      <c r="A5" s="25" t="s">
        <v>27</v>
      </c>
      <c r="B5" s="26">
        <v>0.0</v>
      </c>
      <c r="C5" s="27">
        <v>0.02</v>
      </c>
      <c r="D5" s="27">
        <v>0.23</v>
      </c>
      <c r="E5" s="27">
        <v>0.0</v>
      </c>
      <c r="F5" s="28">
        <v>0.11</v>
      </c>
      <c r="G5" s="27">
        <v>0.36</v>
      </c>
      <c r="H5" s="27">
        <v>0.64</v>
      </c>
      <c r="I5" s="27">
        <v>0.072</v>
      </c>
      <c r="J5" s="27">
        <v>0.087</v>
      </c>
      <c r="K5" s="30">
        <v>0.04</v>
      </c>
      <c r="L5" s="32" t="s">
        <v>32</v>
      </c>
      <c r="M5" s="33"/>
      <c r="N5" s="36" t="s">
        <v>33</v>
      </c>
      <c r="O5" s="37"/>
      <c r="P5" s="37"/>
      <c r="Q5" s="37"/>
      <c r="R5" s="37"/>
      <c r="S5" s="37"/>
      <c r="T5" s="37"/>
      <c r="U5" s="37"/>
      <c r="V5" s="37"/>
      <c r="W5" s="21"/>
      <c r="X5" s="40"/>
      <c r="Y5" s="42"/>
      <c r="Z5" s="24"/>
      <c r="AA5" s="24"/>
    </row>
    <row r="6">
      <c r="A6" s="45" t="s">
        <v>37</v>
      </c>
      <c r="B6" s="46">
        <v>0.0</v>
      </c>
      <c r="C6" s="47">
        <v>0.1</v>
      </c>
      <c r="D6" s="47">
        <v>0.0</v>
      </c>
      <c r="E6" s="47">
        <v>0.0</v>
      </c>
      <c r="F6" s="47">
        <v>0.04</v>
      </c>
      <c r="G6" s="47">
        <v>0.14</v>
      </c>
      <c r="H6" s="47">
        <v>0.86</v>
      </c>
      <c r="I6" s="47">
        <v>0.16</v>
      </c>
      <c r="J6" s="47">
        <v>0.2</v>
      </c>
      <c r="K6" s="48">
        <v>0.01</v>
      </c>
      <c r="L6" s="49" t="s">
        <v>32</v>
      </c>
      <c r="M6" s="33"/>
      <c r="N6" s="50" t="s">
        <v>48</v>
      </c>
      <c r="O6" s="50" t="s">
        <v>8</v>
      </c>
      <c r="P6" s="50" t="s">
        <v>9</v>
      </c>
      <c r="Q6" s="50" t="s">
        <v>51</v>
      </c>
      <c r="R6" s="50" t="s">
        <v>52</v>
      </c>
      <c r="S6" s="50" t="s">
        <v>53</v>
      </c>
      <c r="T6" s="50" t="s">
        <v>14</v>
      </c>
      <c r="U6" s="50" t="s">
        <v>16</v>
      </c>
      <c r="V6" s="50" t="s">
        <v>17</v>
      </c>
      <c r="W6" s="51"/>
      <c r="X6" s="50" t="s">
        <v>54</v>
      </c>
      <c r="Y6" s="24"/>
      <c r="Z6" s="52" t="s">
        <v>55</v>
      </c>
      <c r="AA6" s="24"/>
    </row>
    <row r="7">
      <c r="A7" s="25" t="s">
        <v>56</v>
      </c>
      <c r="B7" s="26">
        <v>0.0</v>
      </c>
      <c r="C7" s="27">
        <v>0.07</v>
      </c>
      <c r="D7" s="27">
        <v>0.0</v>
      </c>
      <c r="E7" s="27">
        <v>0.0</v>
      </c>
      <c r="F7" s="27">
        <v>0.01</v>
      </c>
      <c r="G7" s="27">
        <v>0.08</v>
      </c>
      <c r="H7" s="27">
        <v>0.92</v>
      </c>
      <c r="I7" s="27">
        <v>0.08</v>
      </c>
      <c r="J7" s="27">
        <v>0.1</v>
      </c>
      <c r="K7" s="30">
        <v>0.006</v>
      </c>
      <c r="L7" s="54" t="s">
        <v>32</v>
      </c>
      <c r="M7" s="33"/>
      <c r="N7" s="56" t="s">
        <v>59</v>
      </c>
      <c r="O7" s="58">
        <v>0.14</v>
      </c>
      <c r="P7" s="58">
        <v>0.05</v>
      </c>
      <c r="Q7" s="58">
        <v>0.08</v>
      </c>
      <c r="R7" s="58">
        <v>0.0</v>
      </c>
      <c r="S7" s="58">
        <v>0.34</v>
      </c>
      <c r="T7" s="58">
        <v>0.58</v>
      </c>
      <c r="U7" s="56">
        <v>135.0</v>
      </c>
      <c r="V7" s="56">
        <v>220.0</v>
      </c>
      <c r="W7" s="51"/>
      <c r="X7" s="56" t="s">
        <v>61</v>
      </c>
      <c r="Y7" s="24"/>
      <c r="Z7" s="60" t="s">
        <v>62</v>
      </c>
      <c r="AA7" s="24"/>
    </row>
    <row r="8">
      <c r="A8" s="45" t="s">
        <v>63</v>
      </c>
      <c r="B8" s="63">
        <v>32.0</v>
      </c>
      <c r="C8" s="47">
        <v>0.92</v>
      </c>
      <c r="D8" s="47">
        <v>0.0</v>
      </c>
      <c r="E8" s="47">
        <v>0.0</v>
      </c>
      <c r="F8" s="47">
        <v>0.0</v>
      </c>
      <c r="G8" s="47">
        <v>0.92</v>
      </c>
      <c r="H8" s="47">
        <v>0.08</v>
      </c>
      <c r="I8" s="47">
        <v>0.74</v>
      </c>
      <c r="J8" s="47">
        <v>1.8</v>
      </c>
      <c r="K8" s="48">
        <v>0.0</v>
      </c>
      <c r="L8" s="65" t="s">
        <v>32</v>
      </c>
      <c r="M8" s="33"/>
      <c r="N8" s="56" t="s">
        <v>64</v>
      </c>
      <c r="O8" s="58">
        <v>0.22</v>
      </c>
      <c r="P8" s="58">
        <v>0.12</v>
      </c>
      <c r="Q8" s="58">
        <v>0.12</v>
      </c>
      <c r="R8" s="58">
        <v>0.08</v>
      </c>
      <c r="S8" s="58">
        <v>0.42</v>
      </c>
      <c r="T8" s="58">
        <v>0.66</v>
      </c>
      <c r="U8" s="56">
        <v>200.0</v>
      </c>
      <c r="V8" s="56">
        <v>300.0</v>
      </c>
      <c r="W8" s="51"/>
      <c r="X8" s="56" t="s">
        <v>65</v>
      </c>
      <c r="Y8" s="24"/>
      <c r="Z8" s="60" t="s">
        <v>66</v>
      </c>
      <c r="AA8" s="24"/>
    </row>
    <row r="9">
      <c r="A9" s="25" t="s">
        <v>68</v>
      </c>
      <c r="B9" s="67">
        <v>38.0</v>
      </c>
      <c r="C9" s="27">
        <v>1.0</v>
      </c>
      <c r="D9" s="27">
        <v>0.0</v>
      </c>
      <c r="E9" s="27">
        <v>0.0</v>
      </c>
      <c r="F9" s="27">
        <v>0.0</v>
      </c>
      <c r="G9" s="27">
        <v>1.0</v>
      </c>
      <c r="H9" s="27">
        <v>0.0</v>
      </c>
      <c r="I9" s="27">
        <v>1.45</v>
      </c>
      <c r="J9" s="27">
        <v>1.9</v>
      </c>
      <c r="K9" s="30">
        <v>0.0</v>
      </c>
      <c r="L9" s="54" t="s">
        <v>32</v>
      </c>
      <c r="M9" s="33"/>
      <c r="N9" s="50" t="s">
        <v>70</v>
      </c>
      <c r="O9" s="50" t="s">
        <v>8</v>
      </c>
      <c r="P9" s="50" t="s">
        <v>9</v>
      </c>
      <c r="Q9" s="50" t="s">
        <v>51</v>
      </c>
      <c r="R9" s="50" t="s">
        <v>52</v>
      </c>
      <c r="S9" s="50" t="s">
        <v>53</v>
      </c>
      <c r="T9" s="50" t="s">
        <v>14</v>
      </c>
      <c r="U9" s="50" t="s">
        <v>16</v>
      </c>
      <c r="V9" s="50" t="s">
        <v>17</v>
      </c>
      <c r="W9" s="71"/>
      <c r="X9" s="56" t="s">
        <v>72</v>
      </c>
      <c r="Y9" s="24"/>
      <c r="Z9" s="60" t="s">
        <v>73</v>
      </c>
      <c r="AA9" s="24"/>
    </row>
    <row r="10">
      <c r="A10" s="72" t="s">
        <v>74</v>
      </c>
      <c r="B10" s="63">
        <v>38.0</v>
      </c>
      <c r="C10" s="47">
        <v>0.95</v>
      </c>
      <c r="D10" s="47">
        <v>0.0</v>
      </c>
      <c r="E10" s="47">
        <v>0.0</v>
      </c>
      <c r="F10" s="47">
        <v>0.0</v>
      </c>
      <c r="G10" s="47">
        <v>0.95</v>
      </c>
      <c r="H10" s="47">
        <v>0.05</v>
      </c>
      <c r="I10" s="47">
        <v>0.4</v>
      </c>
      <c r="J10" s="47">
        <v>0.7</v>
      </c>
      <c r="K10" s="48">
        <v>0.0</v>
      </c>
      <c r="L10" s="65" t="s">
        <v>32</v>
      </c>
      <c r="M10" s="33"/>
      <c r="N10" s="56" t="s">
        <v>59</v>
      </c>
      <c r="O10" s="58">
        <v>0.23</v>
      </c>
      <c r="P10" s="58">
        <v>0.0</v>
      </c>
      <c r="Q10" s="58">
        <v>0.0</v>
      </c>
      <c r="R10" s="74">
        <v>0.01</v>
      </c>
      <c r="S10" s="58">
        <v>0.27</v>
      </c>
      <c r="T10" s="58">
        <v>0.65</v>
      </c>
      <c r="U10" s="56">
        <v>175.0</v>
      </c>
      <c r="V10" s="56">
        <v>275.0</v>
      </c>
      <c r="W10" s="75"/>
      <c r="X10" s="76"/>
      <c r="Y10" s="24"/>
      <c r="Z10" s="78" t="s">
        <v>75</v>
      </c>
      <c r="AA10" s="24"/>
    </row>
    <row r="11">
      <c r="A11" s="80" t="s">
        <v>76</v>
      </c>
      <c r="B11" s="26">
        <v>18.0</v>
      </c>
      <c r="C11" s="27">
        <v>0.8</v>
      </c>
      <c r="D11" s="27">
        <v>0.0</v>
      </c>
      <c r="E11" s="27">
        <v>0.0</v>
      </c>
      <c r="F11" s="27">
        <v>0.0</v>
      </c>
      <c r="G11" s="27">
        <v>0.8</v>
      </c>
      <c r="H11" s="27">
        <v>0.2</v>
      </c>
      <c r="I11" s="27">
        <v>0.45</v>
      </c>
      <c r="J11" s="27">
        <v>0.75</v>
      </c>
      <c r="K11" s="30">
        <v>0.0</v>
      </c>
      <c r="L11" s="54" t="s">
        <v>32</v>
      </c>
      <c r="M11" s="33"/>
      <c r="N11" s="56" t="s">
        <v>64</v>
      </c>
      <c r="O11" s="58">
        <v>0.32</v>
      </c>
      <c r="P11" s="58">
        <v>0.02</v>
      </c>
      <c r="Q11" s="74">
        <v>0.0</v>
      </c>
      <c r="R11" s="58">
        <v>0.18</v>
      </c>
      <c r="S11" s="58">
        <v>0.35</v>
      </c>
      <c r="T11" s="58">
        <v>0.73</v>
      </c>
      <c r="U11" s="56">
        <v>240.0</v>
      </c>
      <c r="V11" s="56">
        <v>375.0</v>
      </c>
      <c r="W11" s="75"/>
      <c r="X11" s="71"/>
      <c r="Y11" s="24"/>
      <c r="Z11" s="78" t="s">
        <v>77</v>
      </c>
      <c r="AA11" s="24"/>
    </row>
    <row r="12">
      <c r="A12" s="45" t="s">
        <v>78</v>
      </c>
      <c r="B12" s="46">
        <v>45.0</v>
      </c>
      <c r="C12" s="47">
        <v>1.0</v>
      </c>
      <c r="D12" s="47">
        <v>0.0</v>
      </c>
      <c r="E12" s="47">
        <v>0.0</v>
      </c>
      <c r="F12" s="47">
        <v>0.0</v>
      </c>
      <c r="G12" s="47">
        <v>1.0</v>
      </c>
      <c r="H12" s="47">
        <v>0.0</v>
      </c>
      <c r="I12" s="47">
        <v>0.16</v>
      </c>
      <c r="J12" s="47">
        <v>1.0</v>
      </c>
      <c r="K12" s="48">
        <v>0.0</v>
      </c>
      <c r="L12" s="65" t="s">
        <v>79</v>
      </c>
      <c r="M12" s="33"/>
      <c r="N12" s="50" t="s">
        <v>80</v>
      </c>
      <c r="O12" s="50" t="s">
        <v>8</v>
      </c>
      <c r="P12" s="50" t="s">
        <v>9</v>
      </c>
      <c r="Q12" s="50" t="s">
        <v>51</v>
      </c>
      <c r="R12" s="50" t="s">
        <v>52</v>
      </c>
      <c r="S12" s="50" t="s">
        <v>53</v>
      </c>
      <c r="T12" s="50" t="s">
        <v>14</v>
      </c>
      <c r="U12" s="50" t="s">
        <v>16</v>
      </c>
      <c r="V12" s="50" t="s">
        <v>17</v>
      </c>
      <c r="W12" s="75"/>
      <c r="X12" s="71"/>
      <c r="Y12" s="24"/>
      <c r="Z12" s="78" t="s">
        <v>81</v>
      </c>
      <c r="AA12" s="24"/>
    </row>
    <row r="13">
      <c r="A13" s="80" t="s">
        <v>82</v>
      </c>
      <c r="B13" s="67">
        <v>28.0</v>
      </c>
      <c r="C13" s="27">
        <v>0.95</v>
      </c>
      <c r="D13" s="27">
        <v>0.0</v>
      </c>
      <c r="E13" s="27">
        <v>0.0</v>
      </c>
      <c r="F13" s="27">
        <v>0.0</v>
      </c>
      <c r="G13" s="27">
        <v>0.95</v>
      </c>
      <c r="H13" s="27">
        <v>0.05</v>
      </c>
      <c r="I13" s="27">
        <v>0.02</v>
      </c>
      <c r="J13" s="28">
        <v>0.25</v>
      </c>
      <c r="K13" s="30">
        <v>0.0</v>
      </c>
      <c r="L13" s="54" t="s">
        <v>32</v>
      </c>
      <c r="M13" s="33"/>
      <c r="N13" s="56" t="s">
        <v>59</v>
      </c>
      <c r="O13" s="58">
        <v>0.17</v>
      </c>
      <c r="P13" s="58">
        <v>0.04</v>
      </c>
      <c r="Q13" s="58">
        <v>0.06</v>
      </c>
      <c r="R13" s="74">
        <v>0.01</v>
      </c>
      <c r="S13" s="58">
        <v>0.33</v>
      </c>
      <c r="T13" s="58">
        <v>0.57</v>
      </c>
      <c r="U13" s="56">
        <v>140.0</v>
      </c>
      <c r="V13" s="56">
        <v>220.0</v>
      </c>
      <c r="W13" s="75"/>
      <c r="X13" s="71"/>
      <c r="Y13" s="24"/>
      <c r="Z13" s="78" t="s">
        <v>84</v>
      </c>
      <c r="AA13" s="24"/>
    </row>
    <row r="14">
      <c r="A14" s="72" t="s">
        <v>85</v>
      </c>
      <c r="B14" s="63">
        <v>40.0</v>
      </c>
      <c r="C14" s="83">
        <v>0.66</v>
      </c>
      <c r="D14" s="83">
        <v>0.0</v>
      </c>
      <c r="E14" s="83">
        <v>0.0</v>
      </c>
      <c r="F14" s="83">
        <v>0.33</v>
      </c>
      <c r="G14" s="83">
        <v>0.99</v>
      </c>
      <c r="H14" s="83">
        <v>0.01</v>
      </c>
      <c r="I14" s="83">
        <v>0.85</v>
      </c>
      <c r="J14" s="83">
        <f>C14*1.9</f>
        <v>1.254</v>
      </c>
      <c r="K14" s="85">
        <v>0.005</v>
      </c>
      <c r="L14" s="65" t="s">
        <v>32</v>
      </c>
      <c r="M14" s="33"/>
      <c r="N14" s="56" t="s">
        <v>64</v>
      </c>
      <c r="O14" s="58">
        <v>0.22</v>
      </c>
      <c r="P14" s="86">
        <v>0.08</v>
      </c>
      <c r="Q14" s="58">
        <v>0.1</v>
      </c>
      <c r="R14" s="58">
        <v>0.08</v>
      </c>
      <c r="S14" s="58">
        <v>0.42</v>
      </c>
      <c r="T14" s="58">
        <v>0.67</v>
      </c>
      <c r="U14" s="56">
        <v>200.0</v>
      </c>
      <c r="V14" s="56">
        <v>300.0</v>
      </c>
      <c r="W14" s="75"/>
      <c r="X14" s="71"/>
      <c r="Y14" s="24"/>
      <c r="Z14" s="24"/>
      <c r="AA14" s="24"/>
    </row>
    <row r="15">
      <c r="A15" s="25" t="s">
        <v>87</v>
      </c>
      <c r="B15" s="67">
        <v>16.0</v>
      </c>
      <c r="C15" s="27">
        <v>0.7</v>
      </c>
      <c r="D15" s="27">
        <v>0.0</v>
      </c>
      <c r="E15" s="27">
        <v>0.0</v>
      </c>
      <c r="F15" s="27">
        <v>0.0</v>
      </c>
      <c r="G15" s="27">
        <v>0.7</v>
      </c>
      <c r="H15" s="27">
        <v>0.3</v>
      </c>
      <c r="I15" s="27">
        <v>1.27</v>
      </c>
      <c r="J15" s="27">
        <v>1.9</v>
      </c>
      <c r="K15" s="30">
        <v>0.0</v>
      </c>
      <c r="L15" s="54" t="s">
        <v>32</v>
      </c>
      <c r="M15" s="33"/>
      <c r="N15" s="50" t="s">
        <v>88</v>
      </c>
      <c r="O15" s="50" t="s">
        <v>8</v>
      </c>
      <c r="P15" s="50" t="s">
        <v>9</v>
      </c>
      <c r="Q15" s="87" t="s">
        <v>51</v>
      </c>
      <c r="R15" s="50" t="s">
        <v>90</v>
      </c>
      <c r="S15" s="50" t="s">
        <v>91</v>
      </c>
      <c r="T15" s="50" t="s">
        <v>14</v>
      </c>
      <c r="U15" s="50" t="s">
        <v>92</v>
      </c>
      <c r="V15" s="50" t="s">
        <v>93</v>
      </c>
      <c r="W15" s="75"/>
      <c r="X15" s="71"/>
      <c r="Y15" s="42"/>
      <c r="Z15" s="24"/>
      <c r="AA15" s="24"/>
    </row>
    <row r="16">
      <c r="A16" s="45" t="s">
        <v>94</v>
      </c>
      <c r="B16" s="88">
        <v>4.0</v>
      </c>
      <c r="C16" s="47">
        <v>1.0</v>
      </c>
      <c r="D16" s="47">
        <v>0.0</v>
      </c>
      <c r="E16" s="47">
        <v>0.0</v>
      </c>
      <c r="F16" s="47">
        <v>0.0</v>
      </c>
      <c r="G16" s="47">
        <v>1.0</v>
      </c>
      <c r="H16" s="47">
        <v>0.0</v>
      </c>
      <c r="I16" s="47">
        <v>1.0</v>
      </c>
      <c r="J16" s="47">
        <v>1.0</v>
      </c>
      <c r="K16" s="48">
        <v>0.0</v>
      </c>
      <c r="L16" s="65" t="s">
        <v>32</v>
      </c>
      <c r="M16" s="33"/>
      <c r="N16" s="56" t="s">
        <v>59</v>
      </c>
      <c r="O16" s="58">
        <v>0.18</v>
      </c>
      <c r="P16" s="58">
        <v>0.01</v>
      </c>
      <c r="Q16" s="58">
        <v>0.0</v>
      </c>
      <c r="R16" s="58">
        <v>0.04</v>
      </c>
      <c r="S16" s="58">
        <v>0.34</v>
      </c>
      <c r="T16" s="58">
        <v>0.56</v>
      </c>
      <c r="U16" s="56">
        <v>140.0</v>
      </c>
      <c r="V16" s="56">
        <v>220.0</v>
      </c>
      <c r="W16" s="21"/>
      <c r="X16" s="71"/>
      <c r="Y16" s="42"/>
      <c r="Z16" s="24"/>
      <c r="AA16" s="24"/>
    </row>
    <row r="17">
      <c r="A17" s="25" t="s">
        <v>14</v>
      </c>
      <c r="B17" s="26">
        <v>0.0</v>
      </c>
      <c r="C17" s="27">
        <v>0.0</v>
      </c>
      <c r="D17" s="27">
        <v>0.0</v>
      </c>
      <c r="E17" s="27">
        <v>0.0</v>
      </c>
      <c r="F17" s="27">
        <v>0.0</v>
      </c>
      <c r="G17" s="27">
        <v>0.0</v>
      </c>
      <c r="H17" s="27">
        <v>1.0</v>
      </c>
      <c r="I17" s="27">
        <v>0.0</v>
      </c>
      <c r="J17" s="27">
        <v>0.0</v>
      </c>
      <c r="K17" s="30">
        <v>0.0</v>
      </c>
      <c r="L17" s="54" t="s">
        <v>32</v>
      </c>
      <c r="M17" s="33"/>
      <c r="N17" s="56" t="s">
        <v>64</v>
      </c>
      <c r="O17" s="58">
        <v>0.24</v>
      </c>
      <c r="P17" s="58">
        <v>0.1</v>
      </c>
      <c r="Q17" s="58">
        <v>0.01</v>
      </c>
      <c r="R17" s="58">
        <v>0.12</v>
      </c>
      <c r="S17" s="58">
        <v>0.44</v>
      </c>
      <c r="T17" s="58">
        <v>0.66</v>
      </c>
      <c r="U17" s="56">
        <v>260.0</v>
      </c>
      <c r="V17" s="56">
        <v>300.0</v>
      </c>
      <c r="W17" s="75"/>
      <c r="X17" s="71"/>
      <c r="Y17" s="42"/>
      <c r="Z17" s="24"/>
      <c r="AA17" s="24"/>
    </row>
    <row r="18" ht="15.75" customHeight="1">
      <c r="A18" s="45" t="s">
        <v>96</v>
      </c>
      <c r="B18" s="46">
        <v>22.0</v>
      </c>
      <c r="C18" s="47">
        <v>0.0</v>
      </c>
      <c r="D18" s="47">
        <v>0.0</v>
      </c>
      <c r="E18" s="47">
        <v>0.0</v>
      </c>
      <c r="F18" s="47">
        <v>0.0</v>
      </c>
      <c r="G18" s="47">
        <v>0.0</v>
      </c>
      <c r="H18" s="47">
        <v>1.0</v>
      </c>
      <c r="I18" s="47">
        <v>0.0</v>
      </c>
      <c r="J18" s="83">
        <v>3.5</v>
      </c>
      <c r="K18" s="48">
        <v>0.0</v>
      </c>
      <c r="L18" s="65" t="s">
        <v>32</v>
      </c>
      <c r="M18" s="33"/>
      <c r="N18" s="50" t="s">
        <v>97</v>
      </c>
      <c r="O18" s="50" t="s">
        <v>8</v>
      </c>
      <c r="P18" s="50" t="s">
        <v>9</v>
      </c>
      <c r="Q18" s="50" t="s">
        <v>51</v>
      </c>
      <c r="R18" s="50" t="s">
        <v>52</v>
      </c>
      <c r="S18" s="50" t="s">
        <v>53</v>
      </c>
      <c r="T18" s="50" t="s">
        <v>14</v>
      </c>
      <c r="U18" s="50" t="s">
        <v>16</v>
      </c>
      <c r="V18" s="50" t="s">
        <v>17</v>
      </c>
      <c r="W18" s="75"/>
      <c r="X18" s="71"/>
      <c r="Y18" s="42"/>
      <c r="Z18" s="24"/>
      <c r="AA18" s="24"/>
    </row>
    <row r="19" ht="15.75" customHeight="1">
      <c r="A19" s="25" t="s">
        <v>98</v>
      </c>
      <c r="B19" s="26">
        <v>0.0</v>
      </c>
      <c r="C19" s="27">
        <v>0.11</v>
      </c>
      <c r="D19" s="27">
        <v>0.0</v>
      </c>
      <c r="E19" s="27">
        <v>0.0</v>
      </c>
      <c r="F19" s="27">
        <v>0.02</v>
      </c>
      <c r="G19" s="27">
        <v>0.13</v>
      </c>
      <c r="H19" s="27">
        <v>0.87</v>
      </c>
      <c r="I19" s="27">
        <v>0.13</v>
      </c>
      <c r="J19" s="27">
        <v>0.15</v>
      </c>
      <c r="K19" s="30">
        <v>0.01</v>
      </c>
      <c r="L19" s="54" t="s">
        <v>32</v>
      </c>
      <c r="M19" s="33"/>
      <c r="N19" s="56" t="s">
        <v>59</v>
      </c>
      <c r="O19" s="58">
        <v>0.18</v>
      </c>
      <c r="P19" s="58">
        <v>0.08</v>
      </c>
      <c r="Q19" s="58">
        <v>0.0</v>
      </c>
      <c r="R19" s="58">
        <v>0.03</v>
      </c>
      <c r="S19" s="58">
        <v>0.35</v>
      </c>
      <c r="T19" s="58">
        <v>0.58</v>
      </c>
      <c r="U19" s="56">
        <v>129.0</v>
      </c>
      <c r="V19" s="56">
        <v>210.0</v>
      </c>
      <c r="W19" s="75"/>
      <c r="X19" s="71"/>
      <c r="Y19" s="42"/>
      <c r="Z19" s="24"/>
      <c r="AA19" s="24"/>
    </row>
    <row r="20" ht="15.75" customHeight="1">
      <c r="A20" s="45" t="s">
        <v>100</v>
      </c>
      <c r="B20" s="46">
        <v>22.0</v>
      </c>
      <c r="C20" s="47">
        <v>0.03</v>
      </c>
      <c r="D20" s="47">
        <v>0.5</v>
      </c>
      <c r="E20" s="47">
        <v>0.0</v>
      </c>
      <c r="F20" s="47">
        <v>0.44</v>
      </c>
      <c r="G20" s="47">
        <v>0.97</v>
      </c>
      <c r="H20" s="47">
        <v>0.03</v>
      </c>
      <c r="I20" s="47">
        <v>0.252</v>
      </c>
      <c r="J20" s="47">
        <v>0.3045</v>
      </c>
      <c r="K20" s="48">
        <v>0.0</v>
      </c>
      <c r="L20" s="65" t="s">
        <v>79</v>
      </c>
      <c r="M20" s="33"/>
      <c r="N20" s="56" t="s">
        <v>64</v>
      </c>
      <c r="O20" s="58">
        <v>0.24</v>
      </c>
      <c r="P20" s="58">
        <v>0.13</v>
      </c>
      <c r="Q20" s="58">
        <v>0.01</v>
      </c>
      <c r="R20" s="58">
        <v>0.15</v>
      </c>
      <c r="S20" s="58">
        <v>0.42</v>
      </c>
      <c r="T20" s="58">
        <v>0.65</v>
      </c>
      <c r="U20" s="56">
        <v>195.0</v>
      </c>
      <c r="V20" s="56">
        <v>300.0</v>
      </c>
      <c r="W20" s="75"/>
      <c r="X20" s="71"/>
      <c r="Y20" s="42"/>
      <c r="Z20" s="24"/>
      <c r="AA20" s="24"/>
    </row>
    <row r="21" ht="15.75" customHeight="1">
      <c r="A21" s="25" t="s">
        <v>102</v>
      </c>
      <c r="B21" s="67">
        <v>35.0</v>
      </c>
      <c r="C21" s="27">
        <v>0.08</v>
      </c>
      <c r="D21" s="27">
        <v>0.0</v>
      </c>
      <c r="E21" s="27">
        <v>0.0</v>
      </c>
      <c r="F21" s="27">
        <v>0.07</v>
      </c>
      <c r="G21" s="27">
        <v>0.15</v>
      </c>
      <c r="H21" s="27">
        <v>0.85</v>
      </c>
      <c r="I21" s="27">
        <v>0.095</v>
      </c>
      <c r="J21" s="27">
        <v>0.115</v>
      </c>
      <c r="K21" s="30">
        <v>0.01</v>
      </c>
      <c r="L21" s="54" t="s">
        <v>32</v>
      </c>
      <c r="M21" s="33"/>
      <c r="N21" s="50" t="s">
        <v>101</v>
      </c>
      <c r="O21" s="50" t="s">
        <v>8</v>
      </c>
      <c r="P21" s="50" t="s">
        <v>9</v>
      </c>
      <c r="Q21" s="50" t="s">
        <v>51</v>
      </c>
      <c r="R21" s="50" t="s">
        <v>52</v>
      </c>
      <c r="S21" s="50" t="s">
        <v>53</v>
      </c>
      <c r="T21" s="50" t="s">
        <v>14</v>
      </c>
      <c r="U21" s="50" t="s">
        <v>16</v>
      </c>
      <c r="V21" s="50" t="s">
        <v>17</v>
      </c>
      <c r="W21" s="75"/>
      <c r="X21" s="71"/>
      <c r="Y21" s="42"/>
      <c r="Z21" s="24"/>
      <c r="AA21" s="24"/>
    </row>
    <row r="22" ht="15.75" customHeight="1">
      <c r="A22" s="45" t="s">
        <v>104</v>
      </c>
      <c r="B22" s="46">
        <v>0.0</v>
      </c>
      <c r="C22" s="47">
        <v>0.21</v>
      </c>
      <c r="D22" s="47">
        <v>0.003</v>
      </c>
      <c r="E22" s="47">
        <v>0.0</v>
      </c>
      <c r="F22" s="47">
        <v>0.035</v>
      </c>
      <c r="G22" s="47">
        <v>0.248</v>
      </c>
      <c r="H22" s="47">
        <v>0.752</v>
      </c>
      <c r="I22" s="47">
        <v>0.22</v>
      </c>
      <c r="J22" s="47">
        <v>0.24</v>
      </c>
      <c r="K22" s="48">
        <v>0.019</v>
      </c>
      <c r="L22" s="65" t="s">
        <v>32</v>
      </c>
      <c r="M22" s="33"/>
      <c r="N22" s="56" t="s">
        <v>59</v>
      </c>
      <c r="O22" s="58">
        <v>0.16</v>
      </c>
      <c r="P22" s="58">
        <v>0.05</v>
      </c>
      <c r="Q22" s="58">
        <v>0.06</v>
      </c>
      <c r="R22" s="74">
        <v>0.0</v>
      </c>
      <c r="S22" s="58">
        <v>0.32</v>
      </c>
      <c r="T22" s="58">
        <v>0.54</v>
      </c>
      <c r="U22" s="56">
        <v>120.0</v>
      </c>
      <c r="V22" s="56">
        <v>250.0</v>
      </c>
      <c r="W22" s="75"/>
      <c r="X22" s="71"/>
      <c r="Y22" s="42"/>
      <c r="Z22" s="24"/>
      <c r="AA22" s="24"/>
    </row>
    <row r="23" ht="15.75" customHeight="1">
      <c r="A23" s="25" t="s">
        <v>105</v>
      </c>
      <c r="B23" s="26">
        <v>0.0</v>
      </c>
      <c r="C23" s="27">
        <v>0.16</v>
      </c>
      <c r="D23" s="27">
        <v>0.0</v>
      </c>
      <c r="E23" s="27">
        <v>0.0</v>
      </c>
      <c r="F23" s="27">
        <v>0.07</v>
      </c>
      <c r="G23" s="27">
        <v>0.23</v>
      </c>
      <c r="H23" s="27">
        <v>0.77</v>
      </c>
      <c r="I23" s="27">
        <v>0.19</v>
      </c>
      <c r="J23" s="27">
        <v>0.23</v>
      </c>
      <c r="K23" s="30">
        <v>0.01</v>
      </c>
      <c r="L23" s="54" t="s">
        <v>32</v>
      </c>
      <c r="M23" s="33"/>
      <c r="N23" s="56" t="s">
        <v>64</v>
      </c>
      <c r="O23" s="58">
        <v>0.22</v>
      </c>
      <c r="P23" s="58">
        <v>0.16</v>
      </c>
      <c r="Q23" s="58">
        <v>0.12</v>
      </c>
      <c r="R23" s="58">
        <v>0.14</v>
      </c>
      <c r="S23" s="58">
        <v>0.46</v>
      </c>
      <c r="T23" s="58">
        <v>0.68</v>
      </c>
      <c r="U23" s="56">
        <v>210.0</v>
      </c>
      <c r="V23" s="56">
        <v>380.0</v>
      </c>
      <c r="W23" s="21"/>
      <c r="X23" s="71"/>
      <c r="Y23" s="42"/>
      <c r="Z23" s="24"/>
      <c r="AA23" s="24"/>
    </row>
    <row r="24" ht="15.75" customHeight="1">
      <c r="A24" s="72" t="s">
        <v>106</v>
      </c>
      <c r="B24" s="63">
        <f t="array" ref="B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$A24, 'Pré-preparos e Variegatos'!$C$2:$C$1000) * IFERROR(VLOOKUP($A24, 'Pré-preparos e Variegatos'!$M$2:$Q$100, 5, FALSE), 1), 0)</f>
        <v>9.830474268</v>
      </c>
      <c r="C24" s="83">
        <f t="array" ref="C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$A24, 'Pré-preparos e Variegatos'!$C$2:$C$1000) * IFERROR(VLOOKUP($A24, 'Pré-preparos e Variegatos'!$M$2:$Q$100, 5, FALSE), 1), 0)</f>
        <v>0.4746720484</v>
      </c>
      <c r="D24" s="83">
        <f t="array" ref="D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$A24, 'Pré-preparos e Variegatos'!$C$2:$C$1000) * IFERROR(VLOOKUP($A24, 'Pré-preparos e Variegatos'!$M$2:$Q$100, 5, FALSE), 1), 0)</f>
        <v>0</v>
      </c>
      <c r="E24" s="83">
        <f t="array" ref="E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$A24, 'Pré-preparos e Variegatos'!$C$2:$C$1000) * IFERROR(VLOOKUP($A24, 'Pré-preparos e Variegatos'!$M$2:$Q$100, 5, FALSE), 1), 0)</f>
        <v>0</v>
      </c>
      <c r="F24" s="83">
        <f t="array" ref="F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$A24, 'Pré-preparos e Variegatos'!$C$2:$C$1000) * IFERROR(VLOOKUP($A24, 'Pré-preparos e Variegatos'!$M$2:$Q$100, 5, FALSE), 1), 0)</f>
        <v>0.01664984864</v>
      </c>
      <c r="G24" s="83">
        <f t="shared" ref="G24:G27" si="1">MIN(1, SUM(C24:F24))</f>
        <v>0.4913218971</v>
      </c>
      <c r="H24" s="83">
        <f t="shared" ref="H24:H29" si="2">1-G24</f>
        <v>0.5086781029</v>
      </c>
      <c r="I24" s="83">
        <f t="array" ref="I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$A24, 'Pré-preparos e Variegatos'!$C$2:$C$1000) * IFERROR(VLOOKUP($A24, 'Pré-preparos e Variegatos'!$M$2:$Q$100, 5, FALSE), 1), 0)</f>
        <v>0.4242179617</v>
      </c>
      <c r="J24" s="83">
        <f t="array" ref="J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$A24, 'Pré-preparos e Variegatos'!$C$2:$C$1000) * IFERROR(VLOOKUP($A24, 'Pré-preparos e Variegatos'!$M$2:$Q$100, 5, FALSE), 1), 0)</f>
        <v>0.5356205853</v>
      </c>
      <c r="K24" s="48">
        <f t="array" ref="K24">IFERROR(SUMPRODUCT(('Pré-preparos e Variegatos'!$A$2:$A$1000=$A24)*'Pré-preparos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$A24, 'Pré-preparos e Variegatos'!$C$2:$C$1000) * IFERROR(VLOOKUP($A24, 'Pré-preparos e Variegatos'!$M$2:$Q$100, 5, FALSE), 1), 0)</f>
        <v>0</v>
      </c>
      <c r="L24" s="65" t="str">
        <f t="array" ref="L24">IF(SUMPRODUCT(('Pré-preparos e Variegatos'!$A$2:$A$1000=$A24)*(IFERROR(VLOOKUP('Pré-preparos e Variegatos'!$B$2:$B$1000, VSTACK($A$5:$L$23, $A$28:$L$31, $A$33:$L$58, $A$60:$L$96, $A$99:$L$137, $A$139:$L$140, $A$142:$L$151, $A$153:$L$168, $A$170:$L$188, $A$194:$L$500), 12, 0), "Não")="Sim"))&gt;0, "Sim", "Não")</f>
        <v>Não</v>
      </c>
      <c r="M24" s="33"/>
      <c r="N24" s="50" t="s">
        <v>109</v>
      </c>
      <c r="O24" s="50" t="s">
        <v>8</v>
      </c>
      <c r="P24" s="50" t="s">
        <v>9</v>
      </c>
      <c r="Q24" s="50" t="s">
        <v>51</v>
      </c>
      <c r="R24" s="50" t="s">
        <v>52</v>
      </c>
      <c r="S24" s="50" t="s">
        <v>53</v>
      </c>
      <c r="T24" s="50" t="s">
        <v>14</v>
      </c>
      <c r="U24" s="50" t="s">
        <v>16</v>
      </c>
      <c r="V24" s="50" t="s">
        <v>17</v>
      </c>
      <c r="W24" s="21"/>
      <c r="X24" s="71"/>
      <c r="Y24" s="42"/>
      <c r="Z24" s="24"/>
      <c r="AA24" s="24"/>
    </row>
    <row r="25" ht="15.75" customHeight="1">
      <c r="A25" s="80" t="s">
        <v>145</v>
      </c>
      <c r="B25" s="67">
        <f t="array" ref="B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$A25, 'Pré-preparos e Variegatos'!$C$2:$C$1000) * IFERROR(VLOOKUP($A25, 'Pré-preparos e Variegatos'!$M$2:$Q$100, 5, FALSE), 1), 0)</f>
        <v>14.83832335</v>
      </c>
      <c r="C25" s="27">
        <f t="array" ref="C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$A25, 'Pré-preparos e Variegatos'!$C$2:$C$1000) * IFERROR(VLOOKUP($A25, 'Pré-preparos e Variegatos'!$M$2:$Q$100, 5, FALSE), 1), 0)</f>
        <v>0.1703592814</v>
      </c>
      <c r="D25" s="27">
        <f t="array" ref="D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$A25, 'Pré-preparos e Variegatos'!$C$2:$C$1000) * IFERROR(VLOOKUP($A25, 'Pré-preparos e Variegatos'!$M$2:$Q$100, 5, FALSE), 1), 0)</f>
        <v>0.07789421158</v>
      </c>
      <c r="E25" s="27">
        <f t="array" ref="E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$A25, 'Pré-preparos e Variegatos'!$C$2:$C$1000) * IFERROR(VLOOKUP($A25, 'Pré-preparos e Variegatos'!$M$2:$Q$100, 5, FALSE), 1), 0)</f>
        <v>0.1055389222</v>
      </c>
      <c r="F25" s="27">
        <f t="array" ref="F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$A25, 'Pré-preparos e Variegatos'!$C$2:$C$1000) * IFERROR(VLOOKUP($A25, 'Pré-preparos e Variegatos'!$M$2:$Q$100, 5, FALSE), 1), 0)</f>
        <v>0.03527944112</v>
      </c>
      <c r="G25" s="27">
        <f t="shared" si="1"/>
        <v>0.3890718563</v>
      </c>
      <c r="H25" s="27">
        <f t="shared" si="2"/>
        <v>0.6109281437</v>
      </c>
      <c r="I25" s="28">
        <f t="array" ref="I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$A25, 'Pré-preparos e Variegatos'!$C$2:$C$1000) * IFERROR(VLOOKUP($A25, 'Pré-preparos e Variegatos'!$M$2:$Q$100, 5, FALSE), 1), 0)</f>
        <v>0.1566017964</v>
      </c>
      <c r="J25" s="28">
        <f t="array" ref="J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$A25, 'Pré-preparos e Variegatos'!$C$2:$C$1000) * IFERROR(VLOOKUP($A25, 'Pré-preparos e Variegatos'!$M$2:$Q$100, 5, FALSE), 1), 0)</f>
        <v>0.250748503</v>
      </c>
      <c r="K25" s="30">
        <f t="array" ref="K25">IFERROR(SUMPRODUCT(('Pré-preparos e Variegatos'!$A$2:$A$1000=$A25)*'Pré-preparos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$A25, 'Pré-preparos e Variegatos'!$C$2:$C$1000) * IFERROR(VLOOKUP($A25, 'Pré-preparos e Variegatos'!$M$2:$Q$100, 5, FALSE), 1), 0)</f>
        <v>0.04037924152</v>
      </c>
      <c r="L25" s="54" t="str">
        <f t="array" ref="L25">IF(SUMPRODUCT(('Pré-preparos e Variegatos'!$A$2:$A$1000=$A25)*(IFERROR(VLOOKUP('Pré-preparos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25" s="33"/>
      <c r="N25" s="98" t="s">
        <v>59</v>
      </c>
      <c r="O25" s="74">
        <v>0.04</v>
      </c>
      <c r="P25" s="74">
        <v>0.0</v>
      </c>
      <c r="Q25" s="74">
        <v>0.0</v>
      </c>
      <c r="R25" s="74">
        <v>0.01</v>
      </c>
      <c r="S25" s="74">
        <v>0.28</v>
      </c>
      <c r="T25" s="74">
        <v>0.58</v>
      </c>
      <c r="U25" s="99">
        <v>95.0</v>
      </c>
      <c r="V25" s="99">
        <v>220.0</v>
      </c>
      <c r="W25" s="21"/>
      <c r="X25" s="21"/>
      <c r="Y25" s="42"/>
      <c r="Z25" s="24"/>
      <c r="AA25" s="24"/>
    </row>
    <row r="26" ht="15.75" customHeight="1">
      <c r="A26" s="72" t="s">
        <v>146</v>
      </c>
      <c r="B26" s="63">
        <f t="array" ref="B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$A26, 'Pré-preparos e Variegatos'!$C$2:$C$1000) * IFERROR(VLOOKUP($A26, 'Pré-preparos e Variegatos'!$M$2:$Q$100, 5, FALSE), 1), 0)</f>
        <v>15.1429</v>
      </c>
      <c r="C26" s="47">
        <f t="array" ref="C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$A26, 'Pré-preparos e Variegatos'!$C$2:$C$1000) * IFERROR(VLOOKUP($A26, 'Pré-preparos e Variegatos'!$M$2:$Q$100, 5, FALSE), 1), 0)</f>
        <v>0.17135</v>
      </c>
      <c r="D26" s="47">
        <f t="array" ref="D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$A26, 'Pré-preparos e Variegatos'!$C$2:$C$1000) * IFERROR(VLOOKUP($A26, 'Pré-preparos e Variegatos'!$M$2:$Q$100, 5, FALSE), 1), 0)</f>
        <v>0.057915</v>
      </c>
      <c r="E26" s="47">
        <f t="array" ref="E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$A26, 'Pré-preparos e Variegatos'!$C$2:$C$1000) * IFERROR(VLOOKUP($A26, 'Pré-preparos e Variegatos'!$M$2:$Q$100, 5, FALSE), 1), 0)</f>
        <v>0.10931</v>
      </c>
      <c r="F26" s="47">
        <f t="array" ref="F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$A26, 'Pré-preparos e Variegatos'!$C$2:$C$1000) * IFERROR(VLOOKUP($A26, 'Pré-preparos e Variegatos'!$M$2:$Q$100, 5, FALSE), 1), 0)</f>
        <v>0.044</v>
      </c>
      <c r="G26" s="47">
        <f t="shared" si="1"/>
        <v>0.382575</v>
      </c>
      <c r="H26" s="47">
        <f t="shared" si="2"/>
        <v>0.617425</v>
      </c>
      <c r="I26" s="83">
        <f t="array" ref="I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$A26, 'Pré-preparos e Variegatos'!$C$2:$C$1000) * IFERROR(VLOOKUP($A26, 'Pré-preparos e Variegatos'!$M$2:$Q$100, 5, FALSE), 1), 0)</f>
        <v>0.1613102</v>
      </c>
      <c r="J26" s="83">
        <f t="array" ref="J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$A26, 'Pré-preparos e Variegatos'!$C$2:$C$1000) * IFERROR(VLOOKUP($A26, 'Pré-preparos e Variegatos'!$M$2:$Q$100, 5, FALSE), 1), 0)</f>
        <v>0.25426</v>
      </c>
      <c r="K26" s="48">
        <f t="array" ref="K26">IFERROR(SUMPRODUCT(('Pré-preparos e Variegatos'!$A$2:$A$1000=$A26)*'Pré-preparos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$A26, 'Pré-preparos e Variegatos'!$C$2:$C$1000) * IFERROR(VLOOKUP($A26, 'Pré-preparos e Variegatos'!$M$2:$Q$100, 5, FALSE), 1), 0)</f>
        <v>0.040875</v>
      </c>
      <c r="L26" s="65" t="str">
        <f t="array" ref="L26">IF(SUMPRODUCT(('Pré-preparos e Variegatos'!$A$2:$A$1000=$A26)*(IFERROR(VLOOKUP('Pré-preparos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26" s="33"/>
      <c r="N26" s="98" t="s">
        <v>64</v>
      </c>
      <c r="O26" s="74">
        <v>0.28</v>
      </c>
      <c r="P26" s="74">
        <v>0.12</v>
      </c>
      <c r="Q26" s="74">
        <v>0.13</v>
      </c>
      <c r="R26" s="74">
        <v>0.23</v>
      </c>
      <c r="S26" s="74">
        <v>0.42</v>
      </c>
      <c r="T26" s="74">
        <v>0.72</v>
      </c>
      <c r="U26" s="99">
        <v>305.0</v>
      </c>
      <c r="V26" s="99">
        <v>395.0</v>
      </c>
      <c r="W26" s="21"/>
      <c r="X26" s="21"/>
      <c r="Y26" s="42"/>
      <c r="Z26" s="24"/>
      <c r="AA26" s="24"/>
    </row>
    <row r="27" ht="15.75" customHeight="1">
      <c r="A27" s="80" t="s">
        <v>151</v>
      </c>
      <c r="B27" s="67">
        <f t="array" ref="B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$A27, 'Pré-preparos e Variegatos'!$C$2:$C$1000) * IFERROR(VLOOKUP($A27, 'Pré-preparos e Variegatos'!$M$2:$Q$100, 5, FALSE), 1), 0)</f>
        <v>11.7037962</v>
      </c>
      <c r="C27" s="28">
        <f t="array" ref="C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$A27, 'Pré-preparos e Variegatos'!$C$2:$C$1000) * IFERROR(VLOOKUP($A27, 'Pré-preparos e Variegatos'!$M$2:$Q$100, 5, FALSE), 1), 0)</f>
        <v>0.1759240759</v>
      </c>
      <c r="D27" s="28">
        <f t="array" ref="D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$A27, 'Pré-preparos e Variegatos'!$C$2:$C$1000) * IFERROR(VLOOKUP($A27, 'Pré-preparos e Variegatos'!$M$2:$Q$100, 5, FALSE), 1), 0)</f>
        <v>0.07412587413</v>
      </c>
      <c r="E27" s="28">
        <f t="array" ref="E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$A27, 'Pré-preparos e Variegatos'!$C$2:$C$1000) * IFERROR(VLOOKUP($A27, 'Pré-preparos e Variegatos'!$M$2:$Q$100, 5, FALSE), 1), 0)</f>
        <v>0.1083416583</v>
      </c>
      <c r="F27" s="28">
        <f t="array" ref="F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$A27, 'Pré-preparos e Variegatos'!$C$2:$C$1000) * IFERROR(VLOOKUP($A27, 'Pré-preparos e Variegatos'!$M$2:$Q$100, 5, FALSE), 1), 0)</f>
        <v>0.005994005994</v>
      </c>
      <c r="G27" s="28">
        <f t="shared" si="1"/>
        <v>0.3643856144</v>
      </c>
      <c r="H27" s="28">
        <f t="shared" si="2"/>
        <v>0.6356143856</v>
      </c>
      <c r="I27" s="28">
        <f t="array" ref="I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$A27, 'Pré-preparos e Variegatos'!$C$2:$C$1000) * IFERROR(VLOOKUP($A27, 'Pré-preparos e Variegatos'!$M$2:$Q$100, 5, FALSE), 1), 0)</f>
        <v>0.1632827173</v>
      </c>
      <c r="J27" s="28">
        <f t="array" ref="J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$A27, 'Pré-preparos e Variegatos'!$C$2:$C$1000) * IFERROR(VLOOKUP($A27, 'Pré-preparos e Variegatos'!$M$2:$Q$100, 5, FALSE), 1), 0)</f>
        <v>0.2495504496</v>
      </c>
      <c r="K27" s="104">
        <f t="array" ref="K27">IFERROR(SUMPRODUCT(('Pré-preparos e Variegatos'!$A$2:$A$1000=$A27)*'Pré-preparos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$A27, 'Pré-preparos e Variegatos'!$C$2:$C$1000) * IFERROR(VLOOKUP($A27, 'Pré-preparos e Variegatos'!$M$2:$Q$100, 5, FALSE), 1), 0)</f>
        <v>0.04145854146</v>
      </c>
      <c r="L27" s="54" t="str">
        <f t="array" ref="L27">IF(SUMPRODUCT(('Pré-preparos e Variegatos'!$A$2:$A$1000=$A27)*(IFERROR(VLOOKUP('Pré-preparos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27" s="33"/>
      <c r="N27" s="87" t="s">
        <v>107</v>
      </c>
      <c r="O27" s="87" t="s">
        <v>8</v>
      </c>
      <c r="P27" s="87" t="s">
        <v>9</v>
      </c>
      <c r="Q27" s="87" t="s">
        <v>51</v>
      </c>
      <c r="R27" s="87" t="s">
        <v>52</v>
      </c>
      <c r="S27" s="87" t="s">
        <v>53</v>
      </c>
      <c r="T27" s="87" t="s">
        <v>14</v>
      </c>
      <c r="U27" s="87" t="s">
        <v>16</v>
      </c>
      <c r="V27" s="87" t="s">
        <v>17</v>
      </c>
      <c r="W27" s="87" t="s">
        <v>19</v>
      </c>
      <c r="X27" s="21"/>
      <c r="Y27" s="42"/>
      <c r="Z27" s="24"/>
      <c r="AA27" s="24"/>
    </row>
    <row r="28" ht="15.75" customHeight="1">
      <c r="A28" s="72" t="s">
        <v>198</v>
      </c>
      <c r="B28" s="63">
        <v>0.0</v>
      </c>
      <c r="C28" s="47">
        <v>0.04</v>
      </c>
      <c r="D28" s="83">
        <v>5.0E-4</v>
      </c>
      <c r="E28" s="47">
        <v>0.0</v>
      </c>
      <c r="F28" s="47">
        <f>17.4/100</f>
        <v>0.174</v>
      </c>
      <c r="G28" s="47">
        <f t="shared" ref="G28:G29" si="3">SUM(C28:F28)</f>
        <v>0.2145</v>
      </c>
      <c r="H28" s="47">
        <f t="shared" si="2"/>
        <v>0.7855</v>
      </c>
      <c r="I28" s="47">
        <f>C28*1</f>
        <v>0.04</v>
      </c>
      <c r="J28" s="47">
        <f>C28*1</f>
        <v>0.04</v>
      </c>
      <c r="K28" s="48">
        <v>0.016</v>
      </c>
      <c r="L28" s="65" t="s">
        <v>32</v>
      </c>
      <c r="M28" s="33"/>
      <c r="N28" s="105" t="s">
        <v>59</v>
      </c>
      <c r="O28" s="106">
        <v>0.05</v>
      </c>
      <c r="P28" s="106">
        <v>0.04</v>
      </c>
      <c r="Q28" s="106">
        <v>0.12</v>
      </c>
      <c r="R28" s="106">
        <v>0.0</v>
      </c>
      <c r="S28" s="106">
        <v>0.35</v>
      </c>
      <c r="T28" s="106">
        <v>0.57</v>
      </c>
      <c r="U28" s="107">
        <v>110.0</v>
      </c>
      <c r="V28" s="107">
        <v>220.0</v>
      </c>
      <c r="W28" s="106">
        <v>0.08</v>
      </c>
      <c r="X28" s="21"/>
      <c r="Y28" s="42"/>
      <c r="Z28" s="24"/>
      <c r="AA28" s="24"/>
    </row>
    <row r="29" ht="15.75" customHeight="1">
      <c r="A29" s="80" t="s">
        <v>199</v>
      </c>
      <c r="B29" s="26">
        <v>175.0</v>
      </c>
      <c r="C29" s="28">
        <v>0.37</v>
      </c>
      <c r="D29" s="28">
        <v>0.38</v>
      </c>
      <c r="E29" s="28">
        <v>0.0</v>
      </c>
      <c r="F29" s="28">
        <v>0.17</v>
      </c>
      <c r="G29" s="27">
        <f t="shared" si="3"/>
        <v>0.92</v>
      </c>
      <c r="H29" s="27">
        <f t="shared" si="2"/>
        <v>0.08</v>
      </c>
      <c r="I29" s="28">
        <v>0.37</v>
      </c>
      <c r="J29" s="28">
        <v>0.37</v>
      </c>
      <c r="K29" s="30">
        <v>0.029</v>
      </c>
      <c r="L29" s="54" t="s">
        <v>79</v>
      </c>
      <c r="M29" s="33"/>
      <c r="N29" s="105" t="s">
        <v>64</v>
      </c>
      <c r="O29" s="106">
        <v>0.21</v>
      </c>
      <c r="P29" s="106">
        <v>0.06</v>
      </c>
      <c r="Q29" s="106">
        <v>0.17</v>
      </c>
      <c r="R29" s="106">
        <v>0.14</v>
      </c>
      <c r="S29" s="106">
        <v>0.43</v>
      </c>
      <c r="T29" s="106">
        <v>0.65</v>
      </c>
      <c r="U29" s="107">
        <v>220.0</v>
      </c>
      <c r="V29" s="107">
        <v>340.0</v>
      </c>
      <c r="W29" s="106">
        <v>0.1</v>
      </c>
      <c r="X29" s="21"/>
      <c r="Y29" s="42"/>
      <c r="Z29" s="24"/>
      <c r="AA29" s="24"/>
    </row>
    <row r="30" ht="15.75" customHeight="1">
      <c r="A30" s="72" t="s">
        <v>200</v>
      </c>
      <c r="B30" s="46">
        <v>32.0</v>
      </c>
      <c r="C30" s="47">
        <v>0.26</v>
      </c>
      <c r="D30" s="47">
        <v>0.09</v>
      </c>
      <c r="E30" s="47">
        <v>0.0</v>
      </c>
      <c r="F30" s="47">
        <v>0.45</v>
      </c>
      <c r="G30" s="47">
        <v>0.8</v>
      </c>
      <c r="H30" s="47">
        <v>0.2</v>
      </c>
      <c r="I30" s="47">
        <v>0.25</v>
      </c>
      <c r="J30" s="47">
        <v>0.25</v>
      </c>
      <c r="K30" s="48">
        <v>0.106</v>
      </c>
      <c r="L30" s="65" t="s">
        <v>79</v>
      </c>
      <c r="M30" s="33"/>
      <c r="N30" s="75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42"/>
      <c r="Z30" s="24"/>
      <c r="AA30" s="24"/>
    </row>
    <row r="31" ht="15.75" customHeight="1">
      <c r="A31" s="25" t="s">
        <v>201</v>
      </c>
      <c r="B31" s="26">
        <v>38.0</v>
      </c>
      <c r="C31" s="27">
        <v>0.24</v>
      </c>
      <c r="D31" s="27">
        <v>0.078</v>
      </c>
      <c r="E31" s="27">
        <v>0.035</v>
      </c>
      <c r="F31" s="27">
        <v>0.647</v>
      </c>
      <c r="G31" s="27">
        <v>1.0</v>
      </c>
      <c r="H31" s="27">
        <v>0.0</v>
      </c>
      <c r="I31" s="27">
        <v>0.0</v>
      </c>
      <c r="J31" s="27">
        <v>0.0</v>
      </c>
      <c r="K31" s="30">
        <v>0.073</v>
      </c>
      <c r="L31" s="54" t="s">
        <v>79</v>
      </c>
      <c r="M31" s="33"/>
      <c r="N31" s="108" t="s">
        <v>202</v>
      </c>
      <c r="O31" s="108" t="s">
        <v>8</v>
      </c>
      <c r="P31" s="108" t="s">
        <v>9</v>
      </c>
      <c r="Q31" s="108" t="s">
        <v>51</v>
      </c>
      <c r="R31" s="108" t="s">
        <v>52</v>
      </c>
      <c r="S31" s="108" t="s">
        <v>53</v>
      </c>
      <c r="T31" s="108" t="s">
        <v>14</v>
      </c>
      <c r="U31" s="108" t="s">
        <v>16</v>
      </c>
      <c r="V31" s="108" t="s">
        <v>17</v>
      </c>
      <c r="W31" s="21"/>
      <c r="X31" s="21"/>
      <c r="Y31" s="42"/>
      <c r="Z31" s="24"/>
      <c r="AA31" s="24"/>
    </row>
    <row r="32" ht="15.75" customHeight="1">
      <c r="A32" s="72" t="s">
        <v>108</v>
      </c>
      <c r="B32" s="46">
        <f t="array" ref="B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$A32, 'Pré-preparos e Variegatos'!$C$2:$C$1000) * IFERROR(VLOOKUP($A32, 'Pré-preparos e Variegatos'!$M$2:$Q$100, 5, FALSE), 1), 0)</f>
        <v>46.59203297</v>
      </c>
      <c r="C32" s="83">
        <f t="array" ref="C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$A32, 'Pré-preparos e Variegatos'!$C$2:$C$1000) * IFERROR(VLOOKUP($A32, 'Pré-preparos e Variegatos'!$M$2:$Q$100, 5, FALSE), 1), 0)</f>
        <v>0.2701098901</v>
      </c>
      <c r="D32" s="83">
        <f t="array" ref="D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$A32, 'Pré-preparos e Variegatos'!$C$2:$C$1000) * IFERROR(VLOOKUP($A32, 'Pré-preparos e Variegatos'!$M$2:$Q$100, 5, FALSE), 1), 0)</f>
        <v>0.152967033</v>
      </c>
      <c r="E32" s="83">
        <f t="array" ref="E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$A32, 'Pré-preparos e Variegatos'!$C$2:$C$1000) * IFERROR(VLOOKUP($A32, 'Pré-preparos e Variegatos'!$M$2:$Q$100, 5, FALSE), 1), 0)</f>
        <v>0.1141648352</v>
      </c>
      <c r="F32" s="83">
        <f t="array" ref="F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$A32, 'Pré-preparos e Variegatos'!$C$2:$C$1000) * IFERROR(VLOOKUP($A32, 'Pré-preparos e Variegatos'!$M$2:$Q$100, 5, FALSE), 1), 0)</f>
        <v>0.01924175824</v>
      </c>
      <c r="G32" s="83">
        <f>MIN(1, SUM(C32:F32))</f>
        <v>0.5564835165</v>
      </c>
      <c r="H32" s="83">
        <f>1-G32</f>
        <v>0.4435164835</v>
      </c>
      <c r="I32" s="83">
        <f t="array" ref="I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$A32, 'Pré-preparos e Variegatos'!$C$2:$C$1000) * IFERROR(VLOOKUP($A32, 'Pré-preparos e Variegatos'!$M$2:$Q$100, 5, FALSE), 1), 0)</f>
        <v>0.2950879121</v>
      </c>
      <c r="J32" s="83">
        <f t="array" ref="J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$A32, 'Pré-preparos e Variegatos'!$C$2:$C$1000) * IFERROR(VLOOKUP($A32, 'Pré-preparos e Variegatos'!$M$2:$Q$100, 5, FALSE), 1), 0)</f>
        <v>0.335</v>
      </c>
      <c r="K32" s="48">
        <f t="array" ref="K32">IFERROR(SUMPRODUCT(('Pré-preparos e Variegatos'!$A$2:$A$1000=$A32)*'Pré-preparos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$A32, 'Pré-preparos e Variegatos'!$C$2:$C$1000) * IFERROR(VLOOKUP($A32, 'Pré-preparos e Variegatos'!$M$2:$Q$100, 5, FALSE), 1), 0)</f>
        <v>0.05582417582</v>
      </c>
      <c r="L32" s="65" t="str">
        <f t="array" ref="L32">IF(SUMPRODUCT(('Pré-preparos e Variegatos'!$A$2:$A$1000=$A32)*(IFERROR(VLOOKUP('Pré-preparos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32" s="33"/>
      <c r="N32" s="105" t="s">
        <v>59</v>
      </c>
      <c r="O32" s="106">
        <v>0.08</v>
      </c>
      <c r="P32" s="106">
        <v>0.0</v>
      </c>
      <c r="Q32" s="106">
        <v>0.0</v>
      </c>
      <c r="R32" s="106">
        <v>0.0</v>
      </c>
      <c r="S32" s="106">
        <v>0.3</v>
      </c>
      <c r="T32" s="106">
        <v>0.58</v>
      </c>
      <c r="U32" s="109">
        <v>110.0</v>
      </c>
      <c r="V32" s="109">
        <v>210.0</v>
      </c>
      <c r="W32" s="21"/>
      <c r="X32" s="21"/>
      <c r="Y32" s="42"/>
      <c r="Z32" s="24"/>
      <c r="AA32" s="24"/>
    </row>
    <row r="33" ht="15.75" customHeight="1">
      <c r="A33" s="32" t="s">
        <v>111</v>
      </c>
      <c r="B33" s="67">
        <v>42.0</v>
      </c>
      <c r="C33" s="27">
        <v>0.0</v>
      </c>
      <c r="D33" s="27">
        <v>0.11</v>
      </c>
      <c r="E33" s="27">
        <v>0.0</v>
      </c>
      <c r="F33" s="27">
        <v>0.84</v>
      </c>
      <c r="G33" s="27">
        <v>0.95</v>
      </c>
      <c r="H33" s="27">
        <v>0.05</v>
      </c>
      <c r="I33" s="27">
        <v>0.0</v>
      </c>
      <c r="J33" s="27">
        <v>0.0</v>
      </c>
      <c r="K33" s="110">
        <v>0.18</v>
      </c>
      <c r="L33" s="54" t="s">
        <v>32</v>
      </c>
      <c r="M33" s="33"/>
      <c r="N33" s="105" t="s">
        <v>64</v>
      </c>
      <c r="O33" s="106">
        <v>0.18</v>
      </c>
      <c r="P33" s="106">
        <v>0.12</v>
      </c>
      <c r="Q33" s="106">
        <v>0.12</v>
      </c>
      <c r="R33" s="106">
        <v>0.16</v>
      </c>
      <c r="S33" s="106">
        <v>0.42</v>
      </c>
      <c r="T33" s="106">
        <v>0.7</v>
      </c>
      <c r="U33" s="109">
        <v>190.0</v>
      </c>
      <c r="V33" s="109">
        <v>300.0</v>
      </c>
      <c r="W33" s="21"/>
      <c r="X33" s="21"/>
      <c r="Y33" s="42"/>
      <c r="Z33" s="24"/>
      <c r="AA33" s="24"/>
    </row>
    <row r="34" ht="15.75" customHeight="1">
      <c r="A34" s="45" t="s">
        <v>208</v>
      </c>
      <c r="B34" s="63">
        <v>215.0</v>
      </c>
      <c r="C34" s="47">
        <v>0.0</v>
      </c>
      <c r="D34" s="83">
        <v>0.22</v>
      </c>
      <c r="E34" s="47">
        <v>0.0</v>
      </c>
      <c r="F34" s="47">
        <v>0.72</v>
      </c>
      <c r="G34" s="47">
        <f>SUM(C34:F34)</f>
        <v>0.94</v>
      </c>
      <c r="H34" s="47">
        <f>1-G34</f>
        <v>0.06</v>
      </c>
      <c r="I34" s="47">
        <v>0.0</v>
      </c>
      <c r="J34" s="47">
        <v>0.0</v>
      </c>
      <c r="K34" s="48">
        <v>0.18</v>
      </c>
      <c r="L34" s="65" t="s">
        <v>32</v>
      </c>
      <c r="M34" s="33"/>
      <c r="N34" s="75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42"/>
      <c r="Z34" s="24"/>
      <c r="AA34" s="24"/>
    </row>
    <row r="35" ht="15.75" customHeight="1">
      <c r="A35" s="80" t="s">
        <v>210</v>
      </c>
      <c r="B35" s="26">
        <v>20.0</v>
      </c>
      <c r="C35" s="27">
        <v>0.0</v>
      </c>
      <c r="D35" s="27">
        <v>0.0</v>
      </c>
      <c r="E35" s="27">
        <v>0.0</v>
      </c>
      <c r="F35" s="27">
        <v>0.0</v>
      </c>
      <c r="G35" s="27">
        <v>0.0</v>
      </c>
      <c r="H35" s="27">
        <v>1.0</v>
      </c>
      <c r="I35" s="28">
        <v>0.0</v>
      </c>
      <c r="J35" s="27">
        <f>40%*5</f>
        <v>2</v>
      </c>
      <c r="K35" s="30">
        <v>0.0</v>
      </c>
      <c r="L35" s="54" t="s">
        <v>32</v>
      </c>
      <c r="M35" s="33"/>
      <c r="N35" s="24"/>
      <c r="O35" s="24"/>
      <c r="P35" s="21"/>
      <c r="Q35" s="21"/>
      <c r="R35" s="21"/>
      <c r="S35" s="21"/>
      <c r="T35" s="21"/>
      <c r="U35" s="21"/>
      <c r="V35" s="21"/>
      <c r="W35" s="21"/>
      <c r="X35" s="21"/>
      <c r="Y35" s="42"/>
      <c r="Z35" s="24"/>
      <c r="AA35" s="24"/>
    </row>
    <row r="36" ht="15.75" customHeight="1">
      <c r="A36" s="45" t="s">
        <v>211</v>
      </c>
      <c r="B36" s="46">
        <v>0.0</v>
      </c>
      <c r="C36" s="47">
        <v>0.01</v>
      </c>
      <c r="D36" s="47">
        <v>0.03</v>
      </c>
      <c r="E36" s="47">
        <v>0.0</v>
      </c>
      <c r="F36" s="47">
        <v>0.06</v>
      </c>
      <c r="G36" s="47">
        <v>0.1</v>
      </c>
      <c r="H36" s="47">
        <v>0.9</v>
      </c>
      <c r="I36" s="47">
        <v>0.01</v>
      </c>
      <c r="J36" s="47">
        <v>0.01</v>
      </c>
      <c r="K36" s="48">
        <v>0.0</v>
      </c>
      <c r="L36" s="65" t="s">
        <v>32</v>
      </c>
      <c r="M36" s="33"/>
      <c r="N36" s="24"/>
      <c r="O36" s="24"/>
      <c r="P36" s="111"/>
      <c r="Q36" s="21"/>
      <c r="R36" s="21"/>
      <c r="S36" s="21"/>
      <c r="T36" s="21"/>
      <c r="U36" s="21"/>
      <c r="V36" s="21"/>
      <c r="W36" s="21"/>
      <c r="X36" s="21"/>
      <c r="Y36" s="42"/>
      <c r="Z36" s="24"/>
      <c r="AA36" s="24"/>
    </row>
    <row r="37" ht="15.75" customHeight="1">
      <c r="A37" s="25" t="s">
        <v>212</v>
      </c>
      <c r="B37" s="26">
        <v>90.0</v>
      </c>
      <c r="C37" s="27">
        <v>0.0</v>
      </c>
      <c r="D37" s="27">
        <v>0.15</v>
      </c>
      <c r="E37" s="27">
        <v>0.0</v>
      </c>
      <c r="F37" s="27">
        <v>0.8</v>
      </c>
      <c r="G37" s="27">
        <v>0.9500000000000001</v>
      </c>
      <c r="H37" s="27">
        <v>0.05</v>
      </c>
      <c r="I37" s="27">
        <v>0.0</v>
      </c>
      <c r="J37" s="27">
        <v>0.0</v>
      </c>
      <c r="K37" s="30">
        <v>0.01</v>
      </c>
      <c r="L37" s="54" t="s">
        <v>32</v>
      </c>
      <c r="M37" s="33"/>
      <c r="N37" s="24"/>
      <c r="O37" s="24"/>
      <c r="P37" s="21"/>
      <c r="Q37" s="21"/>
      <c r="R37" s="21"/>
      <c r="S37" s="21"/>
      <c r="T37" s="21"/>
      <c r="U37" s="21"/>
      <c r="V37" s="21"/>
      <c r="W37" s="21"/>
      <c r="X37" s="21"/>
      <c r="Y37" s="42"/>
      <c r="Z37" s="24"/>
      <c r="AA37" s="24"/>
    </row>
    <row r="38" ht="15.75" customHeight="1">
      <c r="A38" s="45" t="s">
        <v>213</v>
      </c>
      <c r="B38" s="46">
        <v>0.0</v>
      </c>
      <c r="C38" s="47">
        <v>0.16</v>
      </c>
      <c r="D38" s="47">
        <v>0.0</v>
      </c>
      <c r="E38" s="47">
        <v>0.0</v>
      </c>
      <c r="F38" s="47">
        <v>0.02</v>
      </c>
      <c r="G38" s="47">
        <v>0.18</v>
      </c>
      <c r="H38" s="47">
        <v>0.82</v>
      </c>
      <c r="I38" s="47">
        <v>0.19</v>
      </c>
      <c r="J38" s="47">
        <v>0.23</v>
      </c>
      <c r="K38" s="48">
        <v>0.01</v>
      </c>
      <c r="L38" s="65" t="s">
        <v>32</v>
      </c>
      <c r="M38" s="33"/>
      <c r="N38" s="24"/>
      <c r="O38" s="24"/>
      <c r="P38" s="21"/>
      <c r="Q38" s="21"/>
      <c r="R38" s="21"/>
      <c r="S38" s="21"/>
      <c r="T38" s="21"/>
      <c r="U38" s="21"/>
      <c r="V38" s="21"/>
      <c r="W38" s="21"/>
      <c r="X38" s="21"/>
      <c r="Y38" s="42"/>
      <c r="Z38" s="24"/>
      <c r="AA38" s="24"/>
    </row>
    <row r="39" ht="15.75" customHeight="1">
      <c r="A39" s="25" t="s">
        <v>214</v>
      </c>
      <c r="B39" s="26">
        <v>0.0</v>
      </c>
      <c r="C39" s="27">
        <v>0.08</v>
      </c>
      <c r="D39" s="27">
        <v>0.0</v>
      </c>
      <c r="E39" s="27">
        <v>0.0</v>
      </c>
      <c r="F39" s="27">
        <v>0.06</v>
      </c>
      <c r="G39" s="27">
        <v>0.14</v>
      </c>
      <c r="H39" s="27">
        <v>0.86</v>
      </c>
      <c r="I39" s="27">
        <v>0.06</v>
      </c>
      <c r="J39" s="27">
        <v>0.075</v>
      </c>
      <c r="K39" s="30">
        <v>0.01</v>
      </c>
      <c r="L39" s="54" t="s">
        <v>32</v>
      </c>
      <c r="M39" s="33"/>
      <c r="N39" s="24"/>
      <c r="O39" s="24"/>
      <c r="P39" s="21"/>
      <c r="Q39" s="21"/>
      <c r="R39" s="21"/>
      <c r="S39" s="21"/>
      <c r="T39" s="21"/>
      <c r="U39" s="21"/>
      <c r="V39" s="21"/>
      <c r="W39" s="21"/>
      <c r="X39" s="21"/>
      <c r="Y39" s="42"/>
      <c r="Z39" s="24"/>
      <c r="AA39" s="24"/>
    </row>
    <row r="40" ht="15.75" customHeight="1">
      <c r="A40" s="45" t="s">
        <v>215</v>
      </c>
      <c r="B40" s="46">
        <v>0.0</v>
      </c>
      <c r="C40" s="47">
        <v>0.12</v>
      </c>
      <c r="D40" s="47">
        <v>0.0</v>
      </c>
      <c r="E40" s="47">
        <v>0.0</v>
      </c>
      <c r="F40" s="47">
        <v>0.035</v>
      </c>
      <c r="G40" s="47">
        <v>0.155</v>
      </c>
      <c r="H40" s="47">
        <v>0.845</v>
      </c>
      <c r="I40" s="47">
        <v>0.14</v>
      </c>
      <c r="J40" s="47">
        <v>0.17</v>
      </c>
      <c r="K40" s="48">
        <v>0.0</v>
      </c>
      <c r="L40" s="65" t="s">
        <v>32</v>
      </c>
      <c r="M40" s="33"/>
      <c r="N40" s="24"/>
      <c r="O40" s="24"/>
      <c r="P40" s="21"/>
      <c r="Q40" s="21"/>
      <c r="R40" s="21"/>
      <c r="S40" s="21"/>
      <c r="T40" s="21"/>
      <c r="U40" s="21"/>
      <c r="V40" s="21"/>
      <c r="W40" s="21"/>
      <c r="X40" s="21"/>
      <c r="Y40" s="42"/>
      <c r="Z40" s="24"/>
      <c r="AA40" s="24"/>
    </row>
    <row r="41" ht="15.75" customHeight="1">
      <c r="A41" s="25" t="s">
        <v>216</v>
      </c>
      <c r="B41" s="26">
        <v>0.0</v>
      </c>
      <c r="C41" s="27">
        <v>0.115</v>
      </c>
      <c r="D41" s="27">
        <v>0.005</v>
      </c>
      <c r="E41" s="27">
        <v>0.0</v>
      </c>
      <c r="F41" s="27">
        <v>0.025</v>
      </c>
      <c r="G41" s="27">
        <v>0.145</v>
      </c>
      <c r="H41" s="27">
        <v>0.855</v>
      </c>
      <c r="I41" s="27">
        <v>0.13</v>
      </c>
      <c r="J41" s="27">
        <v>0.16</v>
      </c>
      <c r="K41" s="30">
        <v>0.008</v>
      </c>
      <c r="L41" s="54" t="s">
        <v>32</v>
      </c>
      <c r="M41" s="33"/>
      <c r="N41" s="24"/>
      <c r="O41" s="24"/>
      <c r="P41" s="21"/>
      <c r="Q41" s="21"/>
      <c r="R41" s="21"/>
      <c r="S41" s="21"/>
      <c r="T41" s="21"/>
      <c r="U41" s="21"/>
      <c r="V41" s="21"/>
      <c r="W41" s="21"/>
      <c r="X41" s="21"/>
      <c r="Y41" s="42"/>
      <c r="Z41" s="24"/>
      <c r="AA41" s="24"/>
    </row>
    <row r="42" ht="15.75" customHeight="1">
      <c r="A42" s="45" t="s">
        <v>174</v>
      </c>
      <c r="B42" s="63">
        <v>95.0</v>
      </c>
      <c r="C42" s="47">
        <v>0.4</v>
      </c>
      <c r="D42" s="47">
        <v>0.35</v>
      </c>
      <c r="E42" s="47">
        <v>0.0</v>
      </c>
      <c r="F42" s="47">
        <v>0.25</v>
      </c>
      <c r="G42" s="47">
        <v>1.0</v>
      </c>
      <c r="H42" s="47">
        <v>0.0</v>
      </c>
      <c r="I42" s="47">
        <v>0.4</v>
      </c>
      <c r="J42" s="83">
        <v>0.4</v>
      </c>
      <c r="K42" s="48">
        <v>0.084</v>
      </c>
      <c r="L42" s="65" t="s">
        <v>32</v>
      </c>
      <c r="M42" s="33"/>
      <c r="N42" s="24"/>
      <c r="O42" s="24"/>
      <c r="P42" s="21"/>
      <c r="Q42" s="21"/>
      <c r="R42" s="21"/>
      <c r="S42" s="21"/>
      <c r="T42" s="21"/>
      <c r="U42" s="21"/>
      <c r="V42" s="21"/>
      <c r="W42" s="21"/>
      <c r="X42" s="21"/>
      <c r="Y42" s="42"/>
      <c r="Z42" s="24"/>
      <c r="AA42" s="24"/>
    </row>
    <row r="43" ht="15.75" customHeight="1">
      <c r="A43" s="25" t="s">
        <v>155</v>
      </c>
      <c r="B43" s="26">
        <v>175.0</v>
      </c>
      <c r="C43" s="27">
        <v>0.3</v>
      </c>
      <c r="D43" s="27">
        <v>0.38</v>
      </c>
      <c r="E43" s="27">
        <v>0.0</v>
      </c>
      <c r="F43" s="27">
        <v>0.32</v>
      </c>
      <c r="G43" s="27">
        <v>1.0</v>
      </c>
      <c r="H43" s="27">
        <v>0.0</v>
      </c>
      <c r="I43" s="27">
        <v>0.58</v>
      </c>
      <c r="J43" s="27">
        <v>0.0</v>
      </c>
      <c r="K43" s="30">
        <v>0.05</v>
      </c>
      <c r="L43" s="54" t="s">
        <v>32</v>
      </c>
      <c r="M43" s="33"/>
      <c r="N43" s="42"/>
      <c r="O43" s="112"/>
      <c r="P43" s="21"/>
      <c r="Q43" s="21"/>
      <c r="R43" s="21"/>
      <c r="S43" s="21"/>
      <c r="T43" s="21"/>
      <c r="U43" s="21"/>
      <c r="V43" s="21"/>
      <c r="W43" s="21"/>
      <c r="X43" s="21"/>
      <c r="Y43" s="42"/>
      <c r="Z43" s="24"/>
      <c r="AA43" s="24"/>
    </row>
    <row r="44" ht="15.75" customHeight="1">
      <c r="A44" s="45" t="s">
        <v>217</v>
      </c>
      <c r="B44" s="46">
        <v>0.0</v>
      </c>
      <c r="C44" s="47">
        <v>0.3</v>
      </c>
      <c r="D44" s="47">
        <v>0.38</v>
      </c>
      <c r="E44" s="47">
        <v>0.0</v>
      </c>
      <c r="F44" s="47">
        <v>0.32</v>
      </c>
      <c r="G44" s="47">
        <v>1.0</v>
      </c>
      <c r="H44" s="47">
        <v>0.0</v>
      </c>
      <c r="I44" s="47">
        <v>0.58</v>
      </c>
      <c r="J44" s="47">
        <v>0.0</v>
      </c>
      <c r="K44" s="48">
        <v>0.05</v>
      </c>
      <c r="L44" s="65" t="s">
        <v>32</v>
      </c>
      <c r="M44" s="33"/>
      <c r="N44" s="75"/>
      <c r="O44" s="113"/>
      <c r="P44" s="21"/>
      <c r="Q44" s="21"/>
      <c r="R44" s="21"/>
      <c r="S44" s="21"/>
      <c r="T44" s="21"/>
      <c r="U44" s="21"/>
      <c r="V44" s="21"/>
      <c r="W44" s="21"/>
      <c r="X44" s="21"/>
      <c r="Y44" s="42"/>
      <c r="Z44" s="24"/>
      <c r="AA44" s="24"/>
    </row>
    <row r="45" ht="15.75" customHeight="1">
      <c r="A45" s="80" t="s">
        <v>132</v>
      </c>
      <c r="B45" s="26">
        <v>185.0</v>
      </c>
      <c r="C45" s="27">
        <v>0.45</v>
      </c>
      <c r="D45" s="27">
        <v>0.36</v>
      </c>
      <c r="E45" s="27">
        <v>0.125</v>
      </c>
      <c r="F45" s="27">
        <v>0.065</v>
      </c>
      <c r="G45" s="27">
        <v>1.0</v>
      </c>
      <c r="H45" s="27">
        <v>0.0</v>
      </c>
      <c r="I45" s="27">
        <v>0.61</v>
      </c>
      <c r="J45" s="28">
        <v>0.51</v>
      </c>
      <c r="K45" s="30">
        <v>0.09</v>
      </c>
      <c r="L45" s="54" t="s">
        <v>79</v>
      </c>
      <c r="M45" s="33"/>
      <c r="N45" s="75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42"/>
      <c r="Z45" s="24"/>
      <c r="AA45" s="24"/>
    </row>
    <row r="46" ht="15.75" customHeight="1">
      <c r="A46" s="72" t="s">
        <v>218</v>
      </c>
      <c r="B46" s="63">
        <v>0.0</v>
      </c>
      <c r="C46" s="83">
        <v>0.4</v>
      </c>
      <c r="D46" s="83">
        <v>0.35</v>
      </c>
      <c r="E46" s="83">
        <v>0.18</v>
      </c>
      <c r="F46" s="83">
        <v>0.07</v>
      </c>
      <c r="G46" s="83">
        <v>1.0</v>
      </c>
      <c r="H46" s="83">
        <v>0.0</v>
      </c>
      <c r="I46" s="47">
        <v>0.41584</v>
      </c>
      <c r="J46" s="47">
        <v>0.499</v>
      </c>
      <c r="K46" s="48">
        <v>0.0594</v>
      </c>
      <c r="L46" s="65" t="s">
        <v>79</v>
      </c>
      <c r="M46" s="33"/>
      <c r="N46" s="75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42"/>
      <c r="Z46" s="24"/>
      <c r="AA46" s="24"/>
    </row>
    <row r="47" ht="15.75" customHeight="1">
      <c r="A47" s="25" t="s">
        <v>186</v>
      </c>
      <c r="B47" s="67">
        <v>160.0</v>
      </c>
      <c r="C47" s="27">
        <v>0.55</v>
      </c>
      <c r="D47" s="27">
        <v>0.2</v>
      </c>
      <c r="E47" s="27">
        <v>0.15</v>
      </c>
      <c r="F47" s="27">
        <v>0.1</v>
      </c>
      <c r="G47" s="27">
        <v>1.0</v>
      </c>
      <c r="H47" s="27">
        <v>0.0</v>
      </c>
      <c r="I47" s="27">
        <v>0.59</v>
      </c>
      <c r="J47" s="27">
        <v>0.25</v>
      </c>
      <c r="K47" s="30">
        <v>0.04</v>
      </c>
      <c r="L47" s="54" t="s">
        <v>79</v>
      </c>
      <c r="M47" s="33"/>
      <c r="N47" s="75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42"/>
      <c r="Z47" s="24"/>
      <c r="AA47" s="24"/>
    </row>
    <row r="48" ht="15.75" customHeight="1">
      <c r="A48" s="72" t="s">
        <v>219</v>
      </c>
      <c r="B48" s="46">
        <v>38.0</v>
      </c>
      <c r="C48" s="47">
        <v>0.53</v>
      </c>
      <c r="D48" s="47">
        <v>0.23</v>
      </c>
      <c r="E48" s="47">
        <v>0.0</v>
      </c>
      <c r="F48" s="47">
        <v>0.24</v>
      </c>
      <c r="G48" s="47">
        <v>1.0</v>
      </c>
      <c r="H48" s="47">
        <v>0.0</v>
      </c>
      <c r="I48" s="47">
        <v>0.53</v>
      </c>
      <c r="J48" s="47">
        <v>0.53</v>
      </c>
      <c r="K48" s="48">
        <v>0.18</v>
      </c>
      <c r="L48" s="65" t="s">
        <v>32</v>
      </c>
      <c r="M48" s="33"/>
      <c r="N48" s="75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42"/>
      <c r="Z48" s="24"/>
      <c r="AA48" s="24"/>
    </row>
    <row r="49" ht="15.75" customHeight="1">
      <c r="A49" s="80" t="s">
        <v>220</v>
      </c>
      <c r="B49" s="26">
        <v>26.0</v>
      </c>
      <c r="C49" s="27">
        <v>0.0</v>
      </c>
      <c r="D49" s="27">
        <v>0.0</v>
      </c>
      <c r="E49" s="27">
        <v>0.0</v>
      </c>
      <c r="F49" s="27">
        <v>0.12</v>
      </c>
      <c r="G49" s="27">
        <v>0.12</v>
      </c>
      <c r="H49" s="27">
        <v>0.88</v>
      </c>
      <c r="I49" s="27">
        <v>0.0</v>
      </c>
      <c r="J49" s="27">
        <v>0.0</v>
      </c>
      <c r="K49" s="30">
        <v>0.1</v>
      </c>
      <c r="L49" s="54" t="s">
        <v>79</v>
      </c>
      <c r="M49" s="33"/>
      <c r="N49" s="75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42"/>
      <c r="Z49" s="24"/>
      <c r="AA49" s="24"/>
    </row>
    <row r="50" ht="15.75" customHeight="1">
      <c r="A50" s="45" t="s">
        <v>149</v>
      </c>
      <c r="B50" s="46">
        <v>0.0</v>
      </c>
      <c r="C50" s="47">
        <v>0.09</v>
      </c>
      <c r="D50" s="47">
        <v>0.35</v>
      </c>
      <c r="E50" s="47">
        <v>0.0</v>
      </c>
      <c r="F50" s="47">
        <v>0.05</v>
      </c>
      <c r="G50" s="47">
        <v>0.4899999999999999</v>
      </c>
      <c r="H50" s="47">
        <v>0.51</v>
      </c>
      <c r="I50" s="47">
        <v>0.13</v>
      </c>
      <c r="J50" s="47">
        <v>0.16</v>
      </c>
      <c r="K50" s="48">
        <v>0.04</v>
      </c>
      <c r="L50" s="65" t="s">
        <v>32</v>
      </c>
      <c r="M50" s="33"/>
      <c r="N50" s="75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42"/>
      <c r="Z50" s="24"/>
      <c r="AA50" s="24"/>
    </row>
    <row r="51" ht="15.75" customHeight="1">
      <c r="A51" s="25" t="s">
        <v>153</v>
      </c>
      <c r="B51" s="26">
        <v>35.0</v>
      </c>
      <c r="C51" s="27">
        <v>0.0</v>
      </c>
      <c r="D51" s="27">
        <v>0.0</v>
      </c>
      <c r="E51" s="27">
        <v>0.0</v>
      </c>
      <c r="F51" s="27">
        <v>1.0</v>
      </c>
      <c r="G51" s="27">
        <v>1.0</v>
      </c>
      <c r="H51" s="27">
        <v>0.0</v>
      </c>
      <c r="I51" s="27">
        <v>0.0</v>
      </c>
      <c r="J51" s="27">
        <v>0.0</v>
      </c>
      <c r="K51" s="30">
        <v>0.0</v>
      </c>
      <c r="L51" s="54" t="s">
        <v>32</v>
      </c>
      <c r="M51" s="33"/>
      <c r="N51" s="75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42"/>
      <c r="Z51" s="24"/>
      <c r="AA51" s="24"/>
    </row>
    <row r="52" ht="15.75" customHeight="1">
      <c r="A52" s="72" t="s">
        <v>221</v>
      </c>
      <c r="B52" s="63">
        <v>230.0</v>
      </c>
      <c r="C52" s="47">
        <v>0.2</v>
      </c>
      <c r="D52" s="83">
        <v>0.0</v>
      </c>
      <c r="E52" s="83">
        <v>0.0</v>
      </c>
      <c r="F52" s="83">
        <v>0.0</v>
      </c>
      <c r="G52" s="83">
        <v>0.2</v>
      </c>
      <c r="H52" s="83">
        <v>0.8</v>
      </c>
      <c r="I52" s="83">
        <v>0.02</v>
      </c>
      <c r="J52" s="83">
        <v>3.8</v>
      </c>
      <c r="K52" s="48">
        <v>0.0</v>
      </c>
      <c r="L52" s="65" t="s">
        <v>32</v>
      </c>
      <c r="M52" s="33"/>
      <c r="N52" s="75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42"/>
      <c r="Z52" s="24"/>
      <c r="AA52" s="24"/>
    </row>
    <row r="53" ht="15.75" customHeight="1">
      <c r="A53" s="80" t="s">
        <v>178</v>
      </c>
      <c r="B53" s="26">
        <v>48.0</v>
      </c>
      <c r="C53" s="27">
        <v>0.0</v>
      </c>
      <c r="D53" s="27">
        <v>0.31</v>
      </c>
      <c r="E53" s="27">
        <v>0.1</v>
      </c>
      <c r="F53" s="27">
        <v>0.0</v>
      </c>
      <c r="G53" s="27">
        <v>0.41</v>
      </c>
      <c r="H53" s="27">
        <v>0.59</v>
      </c>
      <c r="I53" s="27">
        <v>0.0</v>
      </c>
      <c r="J53" s="27">
        <v>0.0</v>
      </c>
      <c r="K53" s="30">
        <v>0.086</v>
      </c>
      <c r="L53" s="54" t="s">
        <v>79</v>
      </c>
      <c r="M53" s="33"/>
      <c r="N53" s="75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42"/>
      <c r="Z53" s="24"/>
      <c r="AA53" s="24"/>
    </row>
    <row r="54" ht="15.75" customHeight="1">
      <c r="A54" s="72" t="s">
        <v>222</v>
      </c>
      <c r="B54" s="63">
        <v>0.0</v>
      </c>
      <c r="C54" s="47">
        <v>0.03</v>
      </c>
      <c r="D54" s="47">
        <v>0.22</v>
      </c>
      <c r="E54" s="47">
        <v>0.0</v>
      </c>
      <c r="F54" s="47">
        <v>0.21</v>
      </c>
      <c r="G54" s="47">
        <v>0.46</v>
      </c>
      <c r="H54" s="47">
        <v>0.54</v>
      </c>
      <c r="I54" s="83">
        <v>0.0</v>
      </c>
      <c r="J54" s="83">
        <v>0.0</v>
      </c>
      <c r="K54" s="85">
        <v>0.036</v>
      </c>
      <c r="L54" s="65" t="s">
        <v>79</v>
      </c>
      <c r="M54" s="33"/>
      <c r="N54" s="75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42"/>
      <c r="Z54" s="24"/>
      <c r="AA54" s="24"/>
    </row>
    <row r="55" ht="15.75" customHeight="1">
      <c r="A55" s="25" t="s">
        <v>134</v>
      </c>
      <c r="B55" s="114">
        <v>19.0</v>
      </c>
      <c r="C55" s="27">
        <v>0.0</v>
      </c>
      <c r="D55" s="27">
        <v>0.35</v>
      </c>
      <c r="E55" s="27">
        <v>0.06</v>
      </c>
      <c r="F55" s="27">
        <v>0.0</v>
      </c>
      <c r="G55" s="27">
        <v>0.41</v>
      </c>
      <c r="H55" s="27">
        <v>0.59</v>
      </c>
      <c r="I55" s="27">
        <v>0.0054</v>
      </c>
      <c r="J55" s="27">
        <v>0.03</v>
      </c>
      <c r="K55" s="30">
        <v>0.024</v>
      </c>
      <c r="L55" s="54" t="s">
        <v>79</v>
      </c>
      <c r="M55" s="33"/>
      <c r="N55" s="75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42"/>
      <c r="Z55" s="24"/>
      <c r="AA55" s="24"/>
    </row>
    <row r="56" ht="15.75" customHeight="1">
      <c r="A56" s="45" t="s">
        <v>223</v>
      </c>
      <c r="B56" s="46">
        <v>0.0</v>
      </c>
      <c r="C56" s="47">
        <v>0.0</v>
      </c>
      <c r="D56" s="47">
        <v>0.38</v>
      </c>
      <c r="E56" s="47">
        <v>0.06</v>
      </c>
      <c r="F56" s="47">
        <v>0.0</v>
      </c>
      <c r="G56" s="47">
        <v>0.44</v>
      </c>
      <c r="H56" s="47">
        <v>0.56</v>
      </c>
      <c r="I56" s="47">
        <v>0.005</v>
      </c>
      <c r="J56" s="47">
        <v>0.03</v>
      </c>
      <c r="K56" s="48">
        <v>0.024</v>
      </c>
      <c r="L56" s="65" t="s">
        <v>79</v>
      </c>
      <c r="M56" s="33"/>
      <c r="N56" s="75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42"/>
      <c r="Z56" s="24"/>
      <c r="AA56" s="24"/>
    </row>
    <row r="57" ht="15.75" customHeight="1">
      <c r="A57" s="80" t="s">
        <v>99</v>
      </c>
      <c r="B57" s="114">
        <v>12.5</v>
      </c>
      <c r="C57" s="28">
        <v>0.0</v>
      </c>
      <c r="D57" s="28">
        <v>0.17</v>
      </c>
      <c r="E57" s="28">
        <v>0.07</v>
      </c>
      <c r="F57" s="27">
        <v>0.0</v>
      </c>
      <c r="G57" s="28">
        <v>0.24</v>
      </c>
      <c r="H57" s="27">
        <f>1-G57</f>
        <v>0.76</v>
      </c>
      <c r="I57" s="27">
        <v>0.0054</v>
      </c>
      <c r="J57" s="27">
        <v>0.03</v>
      </c>
      <c r="K57" s="30">
        <v>0.024</v>
      </c>
      <c r="L57" s="54" t="s">
        <v>79</v>
      </c>
      <c r="M57" s="33"/>
      <c r="N57" s="75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42"/>
      <c r="Z57" s="24"/>
      <c r="AA57" s="24"/>
    </row>
    <row r="58" ht="15.75" customHeight="1">
      <c r="A58" s="72" t="s">
        <v>144</v>
      </c>
      <c r="B58" s="63">
        <v>24.0</v>
      </c>
      <c r="C58" s="47">
        <v>0.0</v>
      </c>
      <c r="D58" s="83">
        <v>0.25</v>
      </c>
      <c r="E58" s="47">
        <v>0.06</v>
      </c>
      <c r="F58" s="47">
        <v>0.0</v>
      </c>
      <c r="G58" s="83">
        <v>0.31</v>
      </c>
      <c r="H58" s="83">
        <v>0.69</v>
      </c>
      <c r="I58" s="83">
        <v>0.0054</v>
      </c>
      <c r="J58" s="83">
        <v>0.03</v>
      </c>
      <c r="K58" s="48">
        <v>0.024</v>
      </c>
      <c r="L58" s="65" t="s">
        <v>79</v>
      </c>
      <c r="M58" s="33"/>
      <c r="N58" s="75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42"/>
      <c r="Z58" s="24"/>
      <c r="AA58" s="24"/>
    </row>
    <row r="59" ht="15.75" customHeight="1">
      <c r="A59" s="80" t="s">
        <v>112</v>
      </c>
      <c r="B59" s="67">
        <f t="array" ref="B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$A59, 'Pré-preparos e Variegatos'!$C$2:$C$1000) * IFERROR(VLOOKUP($A59, 'Pré-preparos e Variegatos'!$M$2:$Q$100, 5, FALSE), 1), 0)</f>
        <v>16.06864508</v>
      </c>
      <c r="C59" s="28">
        <f t="array" ref="C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$A59, 'Pré-preparos e Variegatos'!$C$2:$C$1000) * IFERROR(VLOOKUP($A59, 'Pré-preparos e Variegatos'!$M$2:$Q$100, 5, FALSE), 1), 0)</f>
        <v>0.03747002398</v>
      </c>
      <c r="D59" s="28">
        <f t="array" ref="D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$A59, 'Pré-preparos e Variegatos'!$C$2:$C$1000) * IFERROR(VLOOKUP($A59, 'Pré-preparos e Variegatos'!$M$2:$Q$100, 5, FALSE), 1), 0)</f>
        <v>0.1639313549</v>
      </c>
      <c r="E59" s="28">
        <f t="array" ref="E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$A59, 'Pré-preparos e Variegatos'!$C$2:$C$1000) * IFERROR(VLOOKUP($A59, 'Pré-preparos e Variegatos'!$M$2:$Q$100, 5, FALSE), 1), 0)</f>
        <v>0.02060851319</v>
      </c>
      <c r="F59" s="28">
        <f t="array" ref="F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$A59, 'Pré-preparos e Variegatos'!$C$2:$C$1000) * IFERROR(VLOOKUP($A59, 'Pré-preparos e Variegatos'!$M$2:$Q$100, 5, FALSE), 1), 0)</f>
        <v>0.3893135492</v>
      </c>
      <c r="G59" s="28">
        <f>MIN(1, SUM(C59:F59))</f>
        <v>0.6113234412</v>
      </c>
      <c r="H59" s="28">
        <f>1-G59</f>
        <v>0.3886765588</v>
      </c>
      <c r="I59" s="28">
        <f t="array" ref="I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$A59, 'Pré-preparos e Variegatos'!$C$2:$C$1000) * IFERROR(VLOOKUP($A59, 'Pré-preparos e Variegatos'!$M$2:$Q$100, 5, FALSE), 1), 0)</f>
        <v>0.03893135492</v>
      </c>
      <c r="J59" s="28">
        <f t="array" ref="J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$A59, 'Pré-preparos e Variegatos'!$C$2:$C$1000) * IFERROR(VLOOKUP($A59, 'Pré-preparos e Variegatos'!$M$2:$Q$100, 5, FALSE), 1), 0)</f>
        <v>0.07194244604</v>
      </c>
      <c r="K59" s="30">
        <f t="array" ref="K59">IFERROR(SUMPRODUCT(('Pré-preparos e Variegatos'!$A$2:$A$1000=$A59)*'Pré-preparos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$A59, 'Pré-preparos e Variegatos'!$C$2:$C$1000) * IFERROR(VLOOKUP($A59, 'Pré-preparos e Variegatos'!$M$2:$Q$100, 5, FALSE), 1), 0)</f>
        <v>0.03278627098</v>
      </c>
      <c r="L59" s="54" t="str">
        <f t="array" ref="L59">IF(SUMPRODUCT(('Pré-preparos e Variegatos'!$A$2:$A$1000=$A59)*(IFERROR(VLOOKUP('Pré-preparos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59" s="33"/>
      <c r="N59" s="75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42"/>
      <c r="Z59" s="24"/>
      <c r="AA59" s="24"/>
    </row>
    <row r="60" ht="15.75" customHeight="1">
      <c r="A60" s="45" t="s">
        <v>287</v>
      </c>
      <c r="B60" s="46">
        <v>0.0</v>
      </c>
      <c r="C60" s="47">
        <v>0.125</v>
      </c>
      <c r="D60" s="47">
        <v>0.001</v>
      </c>
      <c r="E60" s="47">
        <v>0.0</v>
      </c>
      <c r="F60" s="47">
        <v>0.025</v>
      </c>
      <c r="G60" s="47">
        <v>0.151</v>
      </c>
      <c r="H60" s="47">
        <v>0.849</v>
      </c>
      <c r="I60" s="47">
        <v>0.15</v>
      </c>
      <c r="J60" s="47">
        <v>0.18</v>
      </c>
      <c r="K60" s="48">
        <v>0.009</v>
      </c>
      <c r="L60" s="65" t="s">
        <v>32</v>
      </c>
      <c r="M60" s="33"/>
      <c r="N60" s="75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42"/>
      <c r="Z60" s="24"/>
      <c r="AA60" s="24"/>
    </row>
    <row r="61" ht="15.75" customHeight="1">
      <c r="A61" s="80" t="s">
        <v>173</v>
      </c>
      <c r="B61" s="26">
        <v>48.0</v>
      </c>
      <c r="C61" s="28">
        <v>0.49</v>
      </c>
      <c r="D61" s="27">
        <v>0.06</v>
      </c>
      <c r="E61" s="27">
        <v>0.135</v>
      </c>
      <c r="F61" s="27">
        <v>0.0</v>
      </c>
      <c r="G61" s="27">
        <f>0.69</f>
        <v>0.69</v>
      </c>
      <c r="H61" s="28">
        <v>0.31</v>
      </c>
      <c r="I61" s="27">
        <v>0.47</v>
      </c>
      <c r="J61" s="27">
        <v>0.649</v>
      </c>
      <c r="K61" s="30">
        <v>0.086</v>
      </c>
      <c r="L61" s="54" t="s">
        <v>79</v>
      </c>
      <c r="M61" s="33"/>
      <c r="N61" s="75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42"/>
      <c r="Z61" s="24"/>
      <c r="AA61" s="24"/>
    </row>
    <row r="62" ht="15.75" customHeight="1">
      <c r="A62" s="72" t="s">
        <v>289</v>
      </c>
      <c r="B62" s="63">
        <v>43.0</v>
      </c>
      <c r="C62" s="83">
        <v>0.28</v>
      </c>
      <c r="D62" s="83">
        <v>0.11</v>
      </c>
      <c r="E62" s="83">
        <v>0.185</v>
      </c>
      <c r="F62" s="83">
        <v>0.0</v>
      </c>
      <c r="G62" s="83">
        <f t="shared" ref="G62:G63" si="4">SUM(C62:F62)</f>
        <v>0.575</v>
      </c>
      <c r="H62" s="47">
        <f t="shared" ref="H62:H63" si="5">1-G62</f>
        <v>0.425</v>
      </c>
      <c r="I62" s="83">
        <v>0.31</v>
      </c>
      <c r="J62" s="83">
        <v>0.37</v>
      </c>
      <c r="K62" s="48">
        <v>0.075</v>
      </c>
      <c r="L62" s="65" t="s">
        <v>79</v>
      </c>
      <c r="M62" s="33"/>
      <c r="N62" s="75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42"/>
      <c r="Z62" s="24"/>
      <c r="AA62" s="24"/>
    </row>
    <row r="63" ht="15.75" customHeight="1">
      <c r="A63" s="80" t="s">
        <v>290</v>
      </c>
      <c r="B63" s="67">
        <v>97.5</v>
      </c>
      <c r="C63" s="27">
        <v>0.4</v>
      </c>
      <c r="D63" s="27">
        <v>0.2</v>
      </c>
      <c r="E63" s="27">
        <v>0.32</v>
      </c>
      <c r="F63" s="27">
        <v>0.05</v>
      </c>
      <c r="G63" s="27">
        <f t="shared" si="4"/>
        <v>0.97</v>
      </c>
      <c r="H63" s="27">
        <f t="shared" si="5"/>
        <v>0.03</v>
      </c>
      <c r="I63" s="27">
        <v>0.4</v>
      </c>
      <c r="J63" s="27">
        <v>0.68</v>
      </c>
      <c r="K63" s="110">
        <v>0.115</v>
      </c>
      <c r="L63" s="54" t="s">
        <v>79</v>
      </c>
      <c r="M63" s="33"/>
      <c r="N63" s="75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42"/>
      <c r="Z63" s="24"/>
      <c r="AA63" s="24"/>
    </row>
    <row r="64" ht="15.75" customHeight="1">
      <c r="A64" s="72" t="s">
        <v>131</v>
      </c>
      <c r="B64" s="63">
        <v>30.0</v>
      </c>
      <c r="C64" s="47">
        <v>1.0</v>
      </c>
      <c r="D64" s="83">
        <v>0.0</v>
      </c>
      <c r="E64" s="47">
        <v>0.0</v>
      </c>
      <c r="F64" s="47">
        <v>0.0</v>
      </c>
      <c r="G64" s="47">
        <v>1.0</v>
      </c>
      <c r="H64" s="47">
        <v>0.0</v>
      </c>
      <c r="I64" s="83">
        <v>0.7</v>
      </c>
      <c r="J64" s="83">
        <v>2.8</v>
      </c>
      <c r="K64" s="48">
        <v>0.0</v>
      </c>
      <c r="L64" s="65" t="s">
        <v>32</v>
      </c>
      <c r="M64" s="33"/>
      <c r="N64" s="75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42"/>
      <c r="Z64" s="24"/>
      <c r="AA64" s="24"/>
    </row>
    <row r="65" ht="15.75" customHeight="1">
      <c r="A65" s="25" t="s">
        <v>291</v>
      </c>
      <c r="B65" s="26">
        <v>0.0</v>
      </c>
      <c r="C65" s="28">
        <v>0.034</v>
      </c>
      <c r="D65" s="28">
        <v>0.005</v>
      </c>
      <c r="E65" s="28">
        <v>0.0</v>
      </c>
      <c r="F65" s="28">
        <v>0.27</v>
      </c>
      <c r="G65" s="27">
        <v>0.31</v>
      </c>
      <c r="H65" s="27">
        <v>0.69</v>
      </c>
      <c r="I65" s="27">
        <v>0.0</v>
      </c>
      <c r="J65" s="27">
        <v>0.0</v>
      </c>
      <c r="K65" s="30">
        <v>0.0662</v>
      </c>
      <c r="L65" s="54" t="s">
        <v>32</v>
      </c>
      <c r="M65" s="33"/>
      <c r="N65" s="75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42"/>
      <c r="Z65" s="24"/>
      <c r="AA65" s="24"/>
    </row>
    <row r="66" ht="15.75" customHeight="1">
      <c r="A66" s="72" t="s">
        <v>292</v>
      </c>
      <c r="B66" s="63">
        <v>0.0</v>
      </c>
      <c r="C66" s="83">
        <v>0.08</v>
      </c>
      <c r="D66" s="83">
        <v>0.012</v>
      </c>
      <c r="E66" s="83">
        <v>0.0</v>
      </c>
      <c r="F66" s="83">
        <v>0.77</v>
      </c>
      <c r="G66" s="83">
        <f>SUM(C66:F66)</f>
        <v>0.862</v>
      </c>
      <c r="H66" s="83">
        <f>1-G66</f>
        <v>0.138</v>
      </c>
      <c r="I66" s="83">
        <v>0.0</v>
      </c>
      <c r="J66" s="83">
        <f>0.08*1.9</f>
        <v>0.152</v>
      </c>
      <c r="K66" s="146">
        <v>0.2455</v>
      </c>
      <c r="L66" s="65" t="s">
        <v>32</v>
      </c>
      <c r="M66" s="33"/>
      <c r="N66" s="75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42"/>
      <c r="Z66" s="24"/>
      <c r="AA66" s="24"/>
    </row>
    <row r="67" ht="15.75" customHeight="1">
      <c r="A67" s="25" t="s">
        <v>293</v>
      </c>
      <c r="B67" s="26">
        <v>0.0</v>
      </c>
      <c r="C67" s="27">
        <v>0.127</v>
      </c>
      <c r="D67" s="27">
        <v>6.0E-4</v>
      </c>
      <c r="E67" s="27">
        <v>0.0</v>
      </c>
      <c r="F67" s="27">
        <v>0.342</v>
      </c>
      <c r="G67" s="27">
        <v>0.4696</v>
      </c>
      <c r="H67" s="27">
        <v>0.53</v>
      </c>
      <c r="I67" s="27">
        <v>0.18</v>
      </c>
      <c r="J67" s="27">
        <v>0.15</v>
      </c>
      <c r="K67" s="30">
        <v>6.0E-4</v>
      </c>
      <c r="L67" s="54" t="s">
        <v>32</v>
      </c>
      <c r="M67" s="33"/>
      <c r="N67" s="75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42"/>
      <c r="Z67" s="24"/>
      <c r="AA67" s="24"/>
    </row>
    <row r="68" ht="15.75" customHeight="1">
      <c r="A68" s="45" t="s">
        <v>136</v>
      </c>
      <c r="B68" s="46">
        <v>0.0</v>
      </c>
      <c r="C68" s="47">
        <v>0.0</v>
      </c>
      <c r="D68" s="47">
        <v>0.0</v>
      </c>
      <c r="E68" s="47">
        <v>0.0</v>
      </c>
      <c r="F68" s="47">
        <v>1.0</v>
      </c>
      <c r="G68" s="47">
        <v>1.0</v>
      </c>
      <c r="H68" s="47">
        <v>0.0</v>
      </c>
      <c r="I68" s="47">
        <v>0.0</v>
      </c>
      <c r="J68" s="47">
        <v>3.0</v>
      </c>
      <c r="K68" s="48">
        <v>0.0</v>
      </c>
      <c r="L68" s="65" t="s">
        <v>32</v>
      </c>
      <c r="M68" s="33"/>
      <c r="N68" s="75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42"/>
      <c r="Z68" s="24"/>
      <c r="AA68" s="24"/>
    </row>
    <row r="69" ht="15.75" customHeight="1">
      <c r="A69" s="25" t="s">
        <v>294</v>
      </c>
      <c r="B69" s="26">
        <v>0.0</v>
      </c>
      <c r="C69" s="27">
        <v>0.0</v>
      </c>
      <c r="D69" s="27">
        <v>0.0</v>
      </c>
      <c r="E69" s="27">
        <v>0.0</v>
      </c>
      <c r="F69" s="27">
        <v>1.0</v>
      </c>
      <c r="G69" s="27">
        <v>1.0</v>
      </c>
      <c r="H69" s="27">
        <v>0.0</v>
      </c>
      <c r="I69" s="27">
        <v>0.0</v>
      </c>
      <c r="J69" s="27">
        <v>3.0</v>
      </c>
      <c r="K69" s="30">
        <v>0.0</v>
      </c>
      <c r="L69" s="54" t="s">
        <v>32</v>
      </c>
      <c r="M69" s="33"/>
      <c r="N69" s="75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42"/>
      <c r="Z69" s="24"/>
      <c r="AA69" s="24"/>
    </row>
    <row r="70" ht="15.75" customHeight="1">
      <c r="A70" s="45" t="s">
        <v>295</v>
      </c>
      <c r="B70" s="46">
        <v>0.0</v>
      </c>
      <c r="C70" s="47">
        <v>0.0</v>
      </c>
      <c r="D70" s="47">
        <v>0.0</v>
      </c>
      <c r="E70" s="47">
        <v>0.0</v>
      </c>
      <c r="F70" s="47">
        <v>1.0</v>
      </c>
      <c r="G70" s="47">
        <v>1.0</v>
      </c>
      <c r="H70" s="47">
        <v>0.0</v>
      </c>
      <c r="I70" s="47">
        <v>0.0</v>
      </c>
      <c r="J70" s="47">
        <v>3.0</v>
      </c>
      <c r="K70" s="48">
        <v>0.0</v>
      </c>
      <c r="L70" s="65" t="s">
        <v>32</v>
      </c>
      <c r="M70" s="33"/>
      <c r="N70" s="75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42"/>
      <c r="Z70" s="24"/>
      <c r="AA70" s="24"/>
    </row>
    <row r="71" ht="15.75" customHeight="1">
      <c r="A71" s="80" t="s">
        <v>152</v>
      </c>
      <c r="B71" s="67">
        <v>6.0</v>
      </c>
      <c r="C71" s="28">
        <v>0.0</v>
      </c>
      <c r="D71" s="28">
        <v>0.0</v>
      </c>
      <c r="E71" s="28">
        <v>0.0</v>
      </c>
      <c r="F71" s="28">
        <v>1.0</v>
      </c>
      <c r="G71" s="28">
        <v>1.0</v>
      </c>
      <c r="H71" s="28">
        <v>0.0</v>
      </c>
      <c r="I71" s="28">
        <v>0.0</v>
      </c>
      <c r="J71" s="28">
        <v>0.0</v>
      </c>
      <c r="K71" s="104">
        <v>0.05</v>
      </c>
      <c r="L71" s="54" t="s">
        <v>79</v>
      </c>
      <c r="M71" s="33"/>
      <c r="N71" s="75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42"/>
      <c r="Z71" s="24"/>
      <c r="AA71" s="24"/>
    </row>
    <row r="72" ht="15.75" customHeight="1">
      <c r="A72" s="45" t="s">
        <v>296</v>
      </c>
      <c r="B72" s="147">
        <v>10000.0</v>
      </c>
      <c r="C72" s="47">
        <v>0.127</v>
      </c>
      <c r="D72" s="47">
        <v>6.0E-4</v>
      </c>
      <c r="E72" s="47">
        <v>0.0</v>
      </c>
      <c r="F72" s="47">
        <v>0.59</v>
      </c>
      <c r="G72" s="47">
        <v>0.7176</v>
      </c>
      <c r="H72" s="47">
        <v>0.282</v>
      </c>
      <c r="I72" s="47">
        <v>0.0</v>
      </c>
      <c r="J72" s="47">
        <v>0.0</v>
      </c>
      <c r="K72" s="48">
        <v>6.0E-4</v>
      </c>
      <c r="L72" s="65" t="s">
        <v>32</v>
      </c>
      <c r="M72" s="33"/>
      <c r="N72" s="75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42"/>
      <c r="Z72" s="24"/>
      <c r="AA72" s="24"/>
    </row>
    <row r="73" ht="15.75" customHeight="1">
      <c r="A73" s="25" t="s">
        <v>297</v>
      </c>
      <c r="B73" s="26">
        <v>0.0</v>
      </c>
      <c r="C73" s="27">
        <v>0.11</v>
      </c>
      <c r="D73" s="27">
        <v>0.0</v>
      </c>
      <c r="E73" s="27">
        <v>0.0</v>
      </c>
      <c r="F73" s="27">
        <v>0.07</v>
      </c>
      <c r="G73" s="27">
        <v>0.18</v>
      </c>
      <c r="H73" s="27">
        <v>0.82</v>
      </c>
      <c r="I73" s="27">
        <v>0.18</v>
      </c>
      <c r="J73" s="27">
        <v>0.22</v>
      </c>
      <c r="K73" s="30">
        <v>0.01</v>
      </c>
      <c r="L73" s="54" t="s">
        <v>32</v>
      </c>
      <c r="M73" s="33"/>
      <c r="N73" s="75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42"/>
      <c r="Z73" s="24"/>
      <c r="AA73" s="24"/>
    </row>
    <row r="74" ht="15.75" customHeight="1">
      <c r="A74" s="45" t="s">
        <v>298</v>
      </c>
      <c r="B74" s="46">
        <v>0.0</v>
      </c>
      <c r="C74" s="47">
        <v>0.07</v>
      </c>
      <c r="D74" s="47">
        <v>0.01</v>
      </c>
      <c r="E74" s="47">
        <v>0.0</v>
      </c>
      <c r="F74" s="47">
        <v>0.08</v>
      </c>
      <c r="G74" s="47">
        <v>0.16</v>
      </c>
      <c r="H74" s="47">
        <v>0.84</v>
      </c>
      <c r="I74" s="47">
        <v>0.085</v>
      </c>
      <c r="J74" s="47">
        <v>0.105</v>
      </c>
      <c r="K74" s="48">
        <v>0.01</v>
      </c>
      <c r="L74" s="65" t="s">
        <v>32</v>
      </c>
      <c r="M74" s="33"/>
      <c r="N74" s="75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42"/>
      <c r="Z74" s="24"/>
      <c r="AA74" s="24"/>
    </row>
    <row r="75" ht="15.75" customHeight="1">
      <c r="A75" s="80" t="s">
        <v>299</v>
      </c>
      <c r="B75" s="26">
        <v>0.0</v>
      </c>
      <c r="C75" s="27">
        <v>0.07</v>
      </c>
      <c r="D75" s="27">
        <v>0.0</v>
      </c>
      <c r="E75" s="27">
        <v>0.0</v>
      </c>
      <c r="F75" s="27">
        <v>0.16</v>
      </c>
      <c r="G75" s="27">
        <v>0.23</v>
      </c>
      <c r="H75" s="27">
        <v>0.77</v>
      </c>
      <c r="I75" s="27">
        <v>0.09</v>
      </c>
      <c r="J75" s="27">
        <v>0.11</v>
      </c>
      <c r="K75" s="30">
        <v>0.01</v>
      </c>
      <c r="L75" s="54" t="s">
        <v>32</v>
      </c>
      <c r="M75" s="33"/>
      <c r="N75" s="75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42"/>
      <c r="Z75" s="24"/>
      <c r="AA75" s="24"/>
    </row>
    <row r="76" ht="15.75" customHeight="1">
      <c r="A76" s="72" t="s">
        <v>301</v>
      </c>
      <c r="B76" s="63">
        <v>0.0</v>
      </c>
      <c r="C76" s="83">
        <v>0.09</v>
      </c>
      <c r="D76" s="83">
        <v>0.01</v>
      </c>
      <c r="E76" s="83">
        <v>0.0</v>
      </c>
      <c r="F76" s="83">
        <v>0.143</v>
      </c>
      <c r="G76" s="83">
        <f>SUM(C76:F76)</f>
        <v>0.243</v>
      </c>
      <c r="H76" s="83">
        <f>1-G76</f>
        <v>0.757</v>
      </c>
      <c r="I76" s="83">
        <v>0.126</v>
      </c>
      <c r="J76" s="83">
        <v>0.171</v>
      </c>
      <c r="K76" s="146">
        <v>0.01</v>
      </c>
      <c r="L76" s="65" t="s">
        <v>32</v>
      </c>
      <c r="M76" s="33"/>
      <c r="N76" s="75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42"/>
      <c r="Z76" s="24"/>
      <c r="AA76" s="24"/>
    </row>
    <row r="77" ht="15.75" customHeight="1">
      <c r="A77" s="80" t="s">
        <v>302</v>
      </c>
      <c r="B77" s="67">
        <v>0.0</v>
      </c>
      <c r="C77" s="28">
        <v>0.11</v>
      </c>
      <c r="D77" s="28">
        <v>0.01</v>
      </c>
      <c r="E77" s="28">
        <v>0.0</v>
      </c>
      <c r="F77" s="28">
        <v>0.03</v>
      </c>
      <c r="G77" s="28">
        <v>0.15</v>
      </c>
      <c r="H77" s="28">
        <v>0.85</v>
      </c>
      <c r="I77" s="28">
        <v>0.154</v>
      </c>
      <c r="J77" s="28">
        <v>0.209</v>
      </c>
      <c r="K77" s="30">
        <v>0.008</v>
      </c>
      <c r="L77" s="54" t="s">
        <v>32</v>
      </c>
      <c r="M77" s="33"/>
      <c r="N77" s="75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42"/>
      <c r="Z77" s="24"/>
      <c r="AA77" s="24"/>
    </row>
    <row r="78" ht="15.75" customHeight="1">
      <c r="A78" s="72" t="s">
        <v>303</v>
      </c>
      <c r="B78" s="63">
        <v>0.0</v>
      </c>
      <c r="C78" s="83">
        <v>0.118</v>
      </c>
      <c r="D78" s="83">
        <v>0.02</v>
      </c>
      <c r="E78" s="83">
        <v>0.0</v>
      </c>
      <c r="F78" s="83">
        <v>0.094</v>
      </c>
      <c r="G78" s="83">
        <f>SUM(C78:F78)</f>
        <v>0.232</v>
      </c>
      <c r="H78" s="83">
        <f>1-G78</f>
        <v>0.768</v>
      </c>
      <c r="I78" s="83">
        <v>0.1652</v>
      </c>
      <c r="J78" s="83">
        <v>0.2242</v>
      </c>
      <c r="K78" s="146">
        <v>0.0085</v>
      </c>
      <c r="L78" s="65" t="s">
        <v>32</v>
      </c>
      <c r="M78" s="33"/>
      <c r="N78" s="75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42"/>
      <c r="Z78" s="24"/>
      <c r="AA78" s="24"/>
    </row>
    <row r="79" ht="15.75" customHeight="1">
      <c r="A79" s="80" t="s">
        <v>304</v>
      </c>
      <c r="B79" s="67">
        <v>0.0</v>
      </c>
      <c r="C79" s="27">
        <v>0.11</v>
      </c>
      <c r="D79" s="27">
        <v>0.01</v>
      </c>
      <c r="E79" s="27">
        <v>0.0</v>
      </c>
      <c r="F79" s="27">
        <v>0.054</v>
      </c>
      <c r="G79" s="27">
        <v>0.174</v>
      </c>
      <c r="H79" s="27">
        <v>0.8260000000000001</v>
      </c>
      <c r="I79" s="27">
        <v>0.154</v>
      </c>
      <c r="J79" s="27">
        <v>0.209</v>
      </c>
      <c r="K79" s="30">
        <v>0.0061</v>
      </c>
      <c r="L79" s="54" t="s">
        <v>32</v>
      </c>
      <c r="M79" s="33"/>
      <c r="N79" s="75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42"/>
      <c r="Z79" s="24"/>
      <c r="AA79" s="24"/>
    </row>
    <row r="80" ht="15.75" customHeight="1">
      <c r="A80" s="45" t="s">
        <v>305</v>
      </c>
      <c r="B80" s="46">
        <v>0.0</v>
      </c>
      <c r="C80" s="47">
        <v>0.07</v>
      </c>
      <c r="D80" s="47">
        <v>0.0</v>
      </c>
      <c r="E80" s="47">
        <v>0.0</v>
      </c>
      <c r="F80" s="47">
        <v>0.04</v>
      </c>
      <c r="G80" s="47">
        <v>0.11</v>
      </c>
      <c r="H80" s="47">
        <v>0.89</v>
      </c>
      <c r="I80" s="47">
        <v>0.08</v>
      </c>
      <c r="J80" s="47">
        <v>0.1</v>
      </c>
      <c r="K80" s="48">
        <v>0.01</v>
      </c>
      <c r="L80" s="65" t="s">
        <v>32</v>
      </c>
      <c r="M80" s="33"/>
      <c r="N80" s="75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42"/>
      <c r="Z80" s="24"/>
      <c r="AA80" s="24"/>
    </row>
    <row r="81" ht="15.75" customHeight="1">
      <c r="A81" s="25" t="s">
        <v>158</v>
      </c>
      <c r="B81" s="67">
        <v>25.0</v>
      </c>
      <c r="C81" s="27">
        <v>0.0</v>
      </c>
      <c r="D81" s="27">
        <v>0.32</v>
      </c>
      <c r="E81" s="27">
        <v>0.0</v>
      </c>
      <c r="F81" s="27">
        <v>0.18</v>
      </c>
      <c r="G81" s="27">
        <v>0.5</v>
      </c>
      <c r="H81" s="27">
        <v>0.5</v>
      </c>
      <c r="I81" s="27">
        <v>0.0</v>
      </c>
      <c r="J81" s="27">
        <v>0.0</v>
      </c>
      <c r="K81" s="30">
        <v>0.16</v>
      </c>
      <c r="L81" s="54" t="s">
        <v>79</v>
      </c>
      <c r="M81" s="33"/>
      <c r="N81" s="75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42"/>
      <c r="Z81" s="24"/>
      <c r="AA81" s="24"/>
    </row>
    <row r="82" ht="15.75" customHeight="1">
      <c r="A82" s="72" t="s">
        <v>306</v>
      </c>
      <c r="B82" s="46">
        <v>0.0</v>
      </c>
      <c r="C82" s="47">
        <v>0.01</v>
      </c>
      <c r="D82" s="47">
        <v>0.28</v>
      </c>
      <c r="E82" s="47">
        <v>0.0</v>
      </c>
      <c r="F82" s="47">
        <v>0.16</v>
      </c>
      <c r="G82" s="47">
        <v>0.4500000000000001</v>
      </c>
      <c r="H82" s="47">
        <v>0.55</v>
      </c>
      <c r="I82" s="47">
        <v>0.0</v>
      </c>
      <c r="J82" s="47">
        <v>0.01</v>
      </c>
      <c r="K82" s="48">
        <v>0.16</v>
      </c>
      <c r="L82" s="65" t="s">
        <v>79</v>
      </c>
      <c r="M82" s="33"/>
      <c r="N82" s="75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42"/>
      <c r="Z82" s="24"/>
      <c r="AA82" s="24"/>
    </row>
    <row r="83" ht="15.75" customHeight="1">
      <c r="A83" s="25" t="s">
        <v>307</v>
      </c>
      <c r="B83" s="26">
        <v>0.0</v>
      </c>
      <c r="C83" s="27">
        <v>0.04</v>
      </c>
      <c r="D83" s="27">
        <v>0.01</v>
      </c>
      <c r="E83" s="27">
        <v>0.0</v>
      </c>
      <c r="F83" s="27">
        <v>0.09</v>
      </c>
      <c r="G83" s="27">
        <v>0.14</v>
      </c>
      <c r="H83" s="27">
        <v>0.86</v>
      </c>
      <c r="I83" s="27">
        <v>0.09</v>
      </c>
      <c r="J83" s="27">
        <v>0.07</v>
      </c>
      <c r="K83" s="30">
        <v>0.01</v>
      </c>
      <c r="L83" s="54" t="s">
        <v>32</v>
      </c>
      <c r="M83" s="33"/>
      <c r="N83" s="75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42"/>
      <c r="Z83" s="24"/>
      <c r="AA83" s="24"/>
    </row>
    <row r="84" ht="15.75" customHeight="1">
      <c r="A84" s="72" t="s">
        <v>308</v>
      </c>
      <c r="B84" s="63">
        <v>15.0</v>
      </c>
      <c r="C84" s="83">
        <v>0.825</v>
      </c>
      <c r="D84" s="83">
        <v>0.0</v>
      </c>
      <c r="E84" s="83">
        <v>0.0</v>
      </c>
      <c r="F84" s="83">
        <v>0.12</v>
      </c>
      <c r="G84" s="47">
        <f>F84+C84</f>
        <v>0.945</v>
      </c>
      <c r="H84" s="47">
        <v>0.055</v>
      </c>
      <c r="I84" s="83">
        <v>0.925</v>
      </c>
      <c r="J84" s="83">
        <v>1.005</v>
      </c>
      <c r="K84" s="146">
        <v>0.008</v>
      </c>
      <c r="L84" s="65" t="s">
        <v>32</v>
      </c>
      <c r="M84" s="33"/>
      <c r="N84" s="75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42"/>
      <c r="Z84" s="24"/>
      <c r="AA84" s="24"/>
    </row>
    <row r="85" ht="15.75" customHeight="1">
      <c r="A85" s="25" t="s">
        <v>310</v>
      </c>
      <c r="B85" s="26">
        <v>0.0</v>
      </c>
      <c r="C85" s="27">
        <v>0.0</v>
      </c>
      <c r="D85" s="27">
        <v>0.0</v>
      </c>
      <c r="E85" s="27">
        <v>0.0</v>
      </c>
      <c r="F85" s="27">
        <v>1.0</v>
      </c>
      <c r="G85" s="27">
        <v>1.0</v>
      </c>
      <c r="H85" s="27">
        <v>0.0</v>
      </c>
      <c r="I85" s="27">
        <v>0.0</v>
      </c>
      <c r="J85" s="27">
        <v>3.0</v>
      </c>
      <c r="K85" s="30">
        <v>0.0</v>
      </c>
      <c r="L85" s="54" t="s">
        <v>32</v>
      </c>
      <c r="M85" s="33"/>
      <c r="N85" s="75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42"/>
      <c r="Z85" s="24"/>
      <c r="AA85" s="24"/>
    </row>
    <row r="86" ht="15.75" customHeight="1">
      <c r="A86" s="45" t="s">
        <v>311</v>
      </c>
      <c r="B86" s="46">
        <v>0.0</v>
      </c>
      <c r="C86" s="47">
        <v>0.002</v>
      </c>
      <c r="D86" s="47">
        <v>0.0</v>
      </c>
      <c r="E86" s="47">
        <v>0.0</v>
      </c>
      <c r="F86" s="47">
        <v>0.105</v>
      </c>
      <c r="G86" s="47">
        <v>0.107</v>
      </c>
      <c r="H86" s="47">
        <v>0.893</v>
      </c>
      <c r="I86" s="47">
        <v>0.0</v>
      </c>
      <c r="J86" s="47">
        <v>0.0</v>
      </c>
      <c r="K86" s="48">
        <v>0.033</v>
      </c>
      <c r="L86" s="65" t="s">
        <v>32</v>
      </c>
      <c r="M86" s="33"/>
      <c r="N86" s="75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42"/>
      <c r="Z86" s="24"/>
      <c r="AA86" s="24"/>
    </row>
    <row r="87" ht="15.75" customHeight="1">
      <c r="A87" s="80" t="s">
        <v>312</v>
      </c>
      <c r="B87" s="67">
        <v>56.0</v>
      </c>
      <c r="C87" s="27">
        <v>1.0</v>
      </c>
      <c r="D87" s="28">
        <v>0.0</v>
      </c>
      <c r="E87" s="27">
        <v>0.0</v>
      </c>
      <c r="F87" s="27">
        <v>0.0</v>
      </c>
      <c r="G87" s="27">
        <v>1.0</v>
      </c>
      <c r="H87" s="27">
        <v>0.0</v>
      </c>
      <c r="I87" s="28">
        <v>0.8</v>
      </c>
      <c r="J87" s="28">
        <v>0.8</v>
      </c>
      <c r="K87" s="30">
        <v>0.0</v>
      </c>
      <c r="L87" s="54" t="s">
        <v>32</v>
      </c>
      <c r="M87" s="33"/>
      <c r="N87" s="75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42"/>
      <c r="Z87" s="24"/>
      <c r="AA87" s="24"/>
    </row>
    <row r="88" ht="15.75" customHeight="1">
      <c r="A88" s="45" t="s">
        <v>170</v>
      </c>
      <c r="B88" s="63">
        <v>95.0</v>
      </c>
      <c r="C88" s="47">
        <v>0.0</v>
      </c>
      <c r="D88" s="47">
        <v>0.0</v>
      </c>
      <c r="E88" s="47">
        <v>0.0</v>
      </c>
      <c r="F88" s="47">
        <v>0.95</v>
      </c>
      <c r="G88" s="47">
        <v>0.95</v>
      </c>
      <c r="H88" s="47">
        <v>0.05</v>
      </c>
      <c r="I88" s="47">
        <v>0.0</v>
      </c>
      <c r="J88" s="83">
        <v>0.2</v>
      </c>
      <c r="K88" s="48">
        <v>0.0</v>
      </c>
      <c r="L88" s="65" t="s">
        <v>32</v>
      </c>
      <c r="M88" s="33"/>
      <c r="N88" s="75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42"/>
      <c r="Z88" s="24"/>
      <c r="AA88" s="24"/>
    </row>
    <row r="89" ht="15.75" customHeight="1">
      <c r="A89" s="80" t="s">
        <v>314</v>
      </c>
      <c r="B89" s="26">
        <v>0.0</v>
      </c>
      <c r="C89" s="27">
        <v>0.0</v>
      </c>
      <c r="D89" s="27">
        <v>0.009</v>
      </c>
      <c r="E89" s="27">
        <v>0.092</v>
      </c>
      <c r="F89" s="27">
        <v>0.0</v>
      </c>
      <c r="G89" s="27">
        <v>0.101</v>
      </c>
      <c r="H89" s="27">
        <v>0.899</v>
      </c>
      <c r="I89" s="27">
        <v>0.007</v>
      </c>
      <c r="J89" s="27">
        <v>0.045</v>
      </c>
      <c r="K89" s="30">
        <v>0.047</v>
      </c>
      <c r="L89" s="54" t="s">
        <v>79</v>
      </c>
      <c r="M89" s="33"/>
      <c r="N89" s="75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42"/>
      <c r="Z89" s="24"/>
      <c r="AA89" s="24"/>
    </row>
    <row r="90" ht="15.75" customHeight="1">
      <c r="A90" s="72" t="s">
        <v>315</v>
      </c>
      <c r="B90" s="63">
        <v>0.0</v>
      </c>
      <c r="C90" s="83">
        <v>0.0</v>
      </c>
      <c r="D90" s="83">
        <v>0.04</v>
      </c>
      <c r="E90" s="83">
        <v>0.21</v>
      </c>
      <c r="F90" s="83">
        <v>0.0</v>
      </c>
      <c r="G90" s="83">
        <v>0.25</v>
      </c>
      <c r="H90" s="83">
        <v>0.75</v>
      </c>
      <c r="I90" s="83">
        <v>0.0</v>
      </c>
      <c r="J90" s="83">
        <v>0.08</v>
      </c>
      <c r="K90" s="146">
        <v>0.052</v>
      </c>
      <c r="L90" s="65" t="s">
        <v>79</v>
      </c>
      <c r="M90" s="33"/>
      <c r="N90" s="75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42"/>
      <c r="Z90" s="24"/>
      <c r="AA90" s="24"/>
    </row>
    <row r="91" ht="15.75" customHeight="1">
      <c r="A91" s="80" t="s">
        <v>190</v>
      </c>
      <c r="B91" s="26">
        <v>0.0</v>
      </c>
      <c r="C91" s="27">
        <v>0.0</v>
      </c>
      <c r="D91" s="27">
        <v>0.039</v>
      </c>
      <c r="E91" s="27">
        <v>0.095</v>
      </c>
      <c r="F91" s="27">
        <v>0.0</v>
      </c>
      <c r="G91" s="27">
        <v>0.134</v>
      </c>
      <c r="H91" s="27">
        <v>0.866</v>
      </c>
      <c r="I91" s="27">
        <v>0.0072</v>
      </c>
      <c r="J91" s="27">
        <v>0.045</v>
      </c>
      <c r="K91" s="30">
        <v>0.047</v>
      </c>
      <c r="L91" s="54" t="s">
        <v>79</v>
      </c>
      <c r="M91" s="33"/>
      <c r="N91" s="75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42"/>
      <c r="Z91" s="24"/>
      <c r="AA91" s="24"/>
    </row>
    <row r="92" ht="15.75" customHeight="1">
      <c r="A92" s="72" t="s">
        <v>316</v>
      </c>
      <c r="B92" s="46">
        <v>0.0</v>
      </c>
      <c r="C92" s="47">
        <v>0.0</v>
      </c>
      <c r="D92" s="47">
        <v>0.017</v>
      </c>
      <c r="E92" s="47">
        <v>0.092</v>
      </c>
      <c r="F92" s="47">
        <v>0.0</v>
      </c>
      <c r="G92" s="47">
        <v>0.109</v>
      </c>
      <c r="H92" s="47">
        <v>0.891</v>
      </c>
      <c r="I92" s="47">
        <v>0.007</v>
      </c>
      <c r="J92" s="47">
        <v>0.045</v>
      </c>
      <c r="K92" s="48">
        <v>0.047</v>
      </c>
      <c r="L92" s="65" t="s">
        <v>79</v>
      </c>
      <c r="M92" s="33"/>
      <c r="N92" s="75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42"/>
      <c r="Z92" s="24"/>
      <c r="AA92" s="24"/>
    </row>
    <row r="93" ht="15.75" customHeight="1">
      <c r="A93" s="25" t="s">
        <v>317</v>
      </c>
      <c r="B93" s="26">
        <v>0.0</v>
      </c>
      <c r="C93" s="27">
        <v>0.09</v>
      </c>
      <c r="D93" s="27">
        <v>0.01</v>
      </c>
      <c r="E93" s="27">
        <v>0.0</v>
      </c>
      <c r="F93" s="27">
        <v>0.06</v>
      </c>
      <c r="G93" s="27">
        <v>0.16</v>
      </c>
      <c r="H93" s="27">
        <v>0.84</v>
      </c>
      <c r="I93" s="27">
        <v>0.09</v>
      </c>
      <c r="J93" s="27">
        <v>0.11</v>
      </c>
      <c r="K93" s="30">
        <v>0.01</v>
      </c>
      <c r="L93" s="54" t="s">
        <v>32</v>
      </c>
      <c r="M93" s="33"/>
      <c r="N93" s="75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42"/>
      <c r="Z93" s="24"/>
      <c r="AA93" s="24"/>
    </row>
    <row r="94" ht="15.75" customHeight="1">
      <c r="A94" s="45" t="s">
        <v>318</v>
      </c>
      <c r="B94" s="46">
        <v>0.0</v>
      </c>
      <c r="C94" s="47">
        <v>0.08</v>
      </c>
      <c r="D94" s="47">
        <v>0.0</v>
      </c>
      <c r="E94" s="47">
        <v>0.0</v>
      </c>
      <c r="F94" s="47">
        <v>0.03</v>
      </c>
      <c r="G94" s="47">
        <v>0.11</v>
      </c>
      <c r="H94" s="47">
        <v>0.89</v>
      </c>
      <c r="I94" s="47">
        <v>0.12</v>
      </c>
      <c r="J94" s="47">
        <v>0.14</v>
      </c>
      <c r="K94" s="48">
        <v>0.01</v>
      </c>
      <c r="L94" s="65" t="s">
        <v>32</v>
      </c>
      <c r="M94" s="33"/>
      <c r="N94" s="75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42"/>
      <c r="Z94" s="24"/>
      <c r="AA94" s="24"/>
    </row>
    <row r="95" ht="15.75" customHeight="1">
      <c r="A95" s="25" t="s">
        <v>71</v>
      </c>
      <c r="B95" s="114">
        <v>20.25</v>
      </c>
      <c r="C95" s="28">
        <v>0.44</v>
      </c>
      <c r="D95" s="28">
        <v>0.08</v>
      </c>
      <c r="E95" s="27">
        <f>0.11+0.072</f>
        <v>0.182</v>
      </c>
      <c r="F95" s="148">
        <v>0.018</v>
      </c>
      <c r="G95" s="28">
        <f>SUM(C95:F95)</f>
        <v>0.72</v>
      </c>
      <c r="H95" s="27">
        <f>1-G95</f>
        <v>0.28</v>
      </c>
      <c r="I95" s="28">
        <v>0.43</v>
      </c>
      <c r="J95" s="27">
        <v>0.55</v>
      </c>
      <c r="K95" s="30">
        <v>0.08</v>
      </c>
      <c r="L95" s="54" t="s">
        <v>79</v>
      </c>
      <c r="M95" s="33"/>
      <c r="N95" s="75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42"/>
      <c r="Z95" s="24"/>
      <c r="AA95" s="24"/>
    </row>
    <row r="96" ht="15.75" customHeight="1">
      <c r="A96" s="45" t="s">
        <v>319</v>
      </c>
      <c r="B96" s="46">
        <v>0.0</v>
      </c>
      <c r="C96" s="47">
        <v>0.0</v>
      </c>
      <c r="D96" s="47">
        <v>0.0</v>
      </c>
      <c r="E96" s="47">
        <v>0.6</v>
      </c>
      <c r="F96" s="47">
        <v>0.0</v>
      </c>
      <c r="G96" s="47">
        <v>0.6</v>
      </c>
      <c r="H96" s="47">
        <v>0.4</v>
      </c>
      <c r="I96" s="47">
        <v>0.083</v>
      </c>
      <c r="J96" s="47">
        <v>0.52</v>
      </c>
      <c r="K96" s="48">
        <v>0.08</v>
      </c>
      <c r="L96" s="65" t="s">
        <v>79</v>
      </c>
      <c r="M96" s="33"/>
      <c r="N96" s="75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42"/>
      <c r="Z96" s="24"/>
      <c r="AA96" s="24"/>
    </row>
    <row r="97" ht="15.75" customHeight="1">
      <c r="A97" s="80" t="s">
        <v>130</v>
      </c>
      <c r="B97" s="67">
        <f t="array" ref="B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$A97, 'Pré-preparos e Variegatos'!$C$2:$C$1000) * IFERROR(VLOOKUP($A97, 'Pré-preparos e Variegatos'!$M$2:$Q$100, 5, FALSE), 1), 0)</f>
        <v>1.813333333</v>
      </c>
      <c r="C97" s="27">
        <f t="array" ref="C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$A97, 'Pré-preparos e Variegatos'!$C$2:$C$1000) * IFERROR(VLOOKUP($A97, 'Pré-preparos e Variegatos'!$M$2:$Q$100, 5, FALSE), 1), 0)</f>
        <v>0.4669333333</v>
      </c>
      <c r="D97" s="27">
        <f t="array" ref="D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$A97, 'Pré-preparos e Variegatos'!$C$2:$C$1000) * IFERROR(VLOOKUP($A97, 'Pré-preparos e Variegatos'!$M$2:$Q$100, 5, FALSE), 1), 0)</f>
        <v>0.1530666667</v>
      </c>
      <c r="E97" s="27">
        <f t="array" ref="E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$A97, 'Pré-preparos e Variegatos'!$C$2:$C$1000) * IFERROR(VLOOKUP($A97, 'Pré-preparos e Variegatos'!$M$2:$Q$100, 5, FALSE), 1), 0)</f>
        <v>0</v>
      </c>
      <c r="F97" s="27">
        <f t="array" ref="F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$A97, 'Pré-preparos e Variegatos'!$C$2:$C$1000) * IFERROR(VLOOKUP($A97, 'Pré-preparos e Variegatos'!$M$2:$Q$100, 5, FALSE), 1), 0)</f>
        <v>0.0952</v>
      </c>
      <c r="G97" s="27">
        <f t="shared" ref="G97:G98" si="6">MIN(1, SUM(C97:F97))</f>
        <v>0.7152</v>
      </c>
      <c r="H97" s="27">
        <f t="shared" ref="H97:H99" si="7">1-G97</f>
        <v>0.2848</v>
      </c>
      <c r="I97" s="28">
        <f t="array" ref="I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$A97, 'Pré-preparos e Variegatos'!$C$2:$C$1000) * IFERROR(VLOOKUP($A97, 'Pré-preparos e Variegatos'!$M$2:$Q$100, 5, FALSE), 1), 0)</f>
        <v>0.4533333333</v>
      </c>
      <c r="J97" s="28">
        <f t="array" ref="J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$A97, 'Pré-preparos e Variegatos'!$C$2:$C$1000) * IFERROR(VLOOKUP($A97, 'Pré-preparos e Variegatos'!$M$2:$Q$100, 5, FALSE), 1), 0)</f>
        <v>0.4533333333</v>
      </c>
      <c r="K97" s="30">
        <f t="array" ref="K97">IFERROR(SUMPRODUCT(('Pré-preparos e Variegatos'!$A$2:$A$1000=$A97)*'Pré-preparos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$A97, 'Pré-preparos e Variegatos'!$C$2:$C$1000) * IFERROR(VLOOKUP($A97, 'Pré-preparos e Variegatos'!$M$2:$Q$100, 5, FALSE), 1), 0)</f>
        <v>0.0408</v>
      </c>
      <c r="L97" s="54" t="str">
        <f t="array" ref="L97">IF(SUMPRODUCT(('Pré-preparos e Variegatos'!$A$2:$A$1000=$A97)*(IFERROR(VLOOKUP('Pré-preparos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97" s="33"/>
      <c r="N97" s="75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42"/>
      <c r="Z97" s="24"/>
      <c r="AA97" s="24"/>
    </row>
    <row r="98" ht="15.75" customHeight="1">
      <c r="A98" s="72" t="s">
        <v>133</v>
      </c>
      <c r="B98" s="63">
        <f t="array" ref="B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$A98, 'Pré-preparos e Variegatos'!$C$2:$C$1000) * IFERROR(VLOOKUP($A98, 'Pré-preparos e Variegatos'!$M$2:$Q$100, 5, FALSE), 1), 0)</f>
        <v>0</v>
      </c>
      <c r="C98" s="47">
        <f t="array" ref="C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$A98, 'Pré-preparos e Variegatos'!$C$2:$C$1000) * IFERROR(VLOOKUP($A98, 'Pré-preparos e Variegatos'!$M$2:$Q$100, 5, FALSE), 1), 0)</f>
        <v>0.0100990099</v>
      </c>
      <c r="D98" s="47">
        <f t="array" ref="D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$A98, 'Pré-preparos e Variegatos'!$C$2:$C$1000) * IFERROR(VLOOKUP($A98, 'Pré-preparos e Variegatos'!$M$2:$Q$100, 5, FALSE), 1), 0)</f>
        <v>0.07405940594</v>
      </c>
      <c r="E98" s="47">
        <f t="array" ref="E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$A98, 'Pré-preparos e Variegatos'!$C$2:$C$1000) * IFERROR(VLOOKUP($A98, 'Pré-preparos e Variegatos'!$M$2:$Q$100, 5, FALSE), 1), 0)</f>
        <v>0</v>
      </c>
      <c r="F98" s="47">
        <f t="array" ref="F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$A98, 'Pré-preparos e Variegatos'!$C$2:$C$1000) * IFERROR(VLOOKUP($A98, 'Pré-preparos e Variegatos'!$M$2:$Q$100, 5, FALSE), 1), 0)</f>
        <v>0.07069306931</v>
      </c>
      <c r="G98" s="47">
        <f t="shared" si="6"/>
        <v>0.1548514851</v>
      </c>
      <c r="H98" s="47">
        <f t="shared" si="7"/>
        <v>0.8451485149</v>
      </c>
      <c r="I98" s="83">
        <f t="array" ref="I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$A98, 'Pré-preparos e Variegatos'!$C$2:$C$1000) * IFERROR(VLOOKUP($A98, 'Pré-preparos e Variegatos'!$M$2:$Q$100, 5, FALSE), 1), 0)</f>
        <v>0</v>
      </c>
      <c r="J98" s="83">
        <f t="array" ref="J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$A98, 'Pré-preparos e Variegatos'!$C$2:$C$1000) * IFERROR(VLOOKUP($A98, 'Pré-preparos e Variegatos'!$M$2:$Q$100, 5, FALSE), 1), 0)</f>
        <v>0</v>
      </c>
      <c r="K98" s="48">
        <f t="array" ref="K98">IFERROR(SUMPRODUCT(('Pré-preparos e Variegatos'!$A$2:$A$1000=$A98)*'Pré-preparos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$A98, 'Pré-preparos e Variegatos'!$C$2:$C$1000) * IFERROR(VLOOKUP($A98, 'Pré-preparos e Variegatos'!$M$2:$Q$100, 5, FALSE), 1), 0)</f>
        <v>0.0302970297</v>
      </c>
      <c r="L98" s="65" t="str">
        <f t="array" ref="L98">IF(SUMPRODUCT(('Pré-preparos e Variegatos'!$A$2:$A$1000=$A98)*(IFERROR(VLOOKUP('Pré-preparos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98" s="33"/>
      <c r="N98" s="75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42"/>
      <c r="Z98" s="24"/>
      <c r="AA98" s="24"/>
    </row>
    <row r="99" ht="15.75" customHeight="1">
      <c r="A99" s="80" t="s">
        <v>195</v>
      </c>
      <c r="B99" s="26">
        <v>0.0</v>
      </c>
      <c r="C99" s="27">
        <v>0.084</v>
      </c>
      <c r="D99" s="27">
        <v>0.05</v>
      </c>
      <c r="E99" s="27">
        <v>0.0</v>
      </c>
      <c r="F99" s="148">
        <v>0.035</v>
      </c>
      <c r="G99" s="27">
        <f>SUM(C99:F99)</f>
        <v>0.169</v>
      </c>
      <c r="H99" s="27">
        <f t="shared" si="7"/>
        <v>0.831</v>
      </c>
      <c r="I99" s="27">
        <v>0.13</v>
      </c>
      <c r="J99" s="27">
        <v>0.084</v>
      </c>
      <c r="K99" s="30">
        <v>0.0</v>
      </c>
      <c r="L99" s="54" t="s">
        <v>32</v>
      </c>
      <c r="M99" s="33"/>
      <c r="N99" s="75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42"/>
      <c r="Z99" s="24"/>
      <c r="AA99" s="24"/>
    </row>
    <row r="100" ht="15.75" customHeight="1">
      <c r="A100" s="72" t="s">
        <v>334</v>
      </c>
      <c r="B100" s="63">
        <v>120.0</v>
      </c>
      <c r="C100" s="47">
        <v>0.44</v>
      </c>
      <c r="D100" s="47">
        <v>0.07</v>
      </c>
      <c r="E100" s="47">
        <v>0.0</v>
      </c>
      <c r="F100" s="47">
        <v>0.44</v>
      </c>
      <c r="G100" s="47">
        <v>0.95</v>
      </c>
      <c r="H100" s="47">
        <v>0.05</v>
      </c>
      <c r="I100" s="83">
        <v>0.0</v>
      </c>
      <c r="J100" s="83">
        <v>0.044</v>
      </c>
      <c r="K100" s="48">
        <v>0.04</v>
      </c>
      <c r="L100" s="65" t="s">
        <v>32</v>
      </c>
      <c r="M100" s="33"/>
      <c r="N100" s="75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42"/>
      <c r="Z100" s="24"/>
      <c r="AA100" s="24"/>
    </row>
    <row r="101" ht="15.75" customHeight="1">
      <c r="A101" s="80" t="s">
        <v>336</v>
      </c>
      <c r="B101" s="67">
        <v>15.0</v>
      </c>
      <c r="C101" s="28">
        <v>0.02</v>
      </c>
      <c r="D101" s="28">
        <v>0.2</v>
      </c>
      <c r="E101" s="27">
        <v>0.0</v>
      </c>
      <c r="F101" s="27">
        <v>0.005</v>
      </c>
      <c r="G101" s="28">
        <f>SUM(C101:F101)</f>
        <v>0.225</v>
      </c>
      <c r="H101" s="27">
        <f>1-G101</f>
        <v>0.775</v>
      </c>
      <c r="I101" s="28">
        <v>0.0</v>
      </c>
      <c r="J101" s="28">
        <v>0.02</v>
      </c>
      <c r="K101" s="30">
        <v>0.0</v>
      </c>
      <c r="L101" s="54" t="s">
        <v>32</v>
      </c>
      <c r="M101" s="33"/>
      <c r="N101" s="75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42"/>
      <c r="Z101" s="24"/>
      <c r="AA101" s="24"/>
    </row>
    <row r="102" ht="15.75" customHeight="1">
      <c r="A102" s="72" t="s">
        <v>337</v>
      </c>
      <c r="B102" s="46">
        <v>0.0</v>
      </c>
      <c r="C102" s="47">
        <v>0.0</v>
      </c>
      <c r="D102" s="47">
        <v>0.0</v>
      </c>
      <c r="E102" s="47">
        <v>0.09</v>
      </c>
      <c r="F102" s="47">
        <v>0.0</v>
      </c>
      <c r="G102" s="47">
        <v>0.09</v>
      </c>
      <c r="H102" s="47">
        <v>0.91</v>
      </c>
      <c r="I102" s="47">
        <v>0.007</v>
      </c>
      <c r="J102" s="47">
        <v>0.045</v>
      </c>
      <c r="K102" s="48">
        <v>0.035</v>
      </c>
      <c r="L102" s="65" t="s">
        <v>79</v>
      </c>
      <c r="M102" s="33"/>
      <c r="N102" s="75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42"/>
      <c r="Z102" s="24"/>
      <c r="AA102" s="24"/>
    </row>
    <row r="103" ht="15.75" customHeight="1">
      <c r="A103" s="25" t="s">
        <v>135</v>
      </c>
      <c r="B103" s="67">
        <v>54.0</v>
      </c>
      <c r="C103" s="27">
        <v>0.0</v>
      </c>
      <c r="D103" s="27">
        <v>0.0</v>
      </c>
      <c r="E103" s="27">
        <v>0.97</v>
      </c>
      <c r="F103" s="27">
        <v>0.0</v>
      </c>
      <c r="G103" s="27">
        <v>0.97</v>
      </c>
      <c r="H103" s="27">
        <v>0.03</v>
      </c>
      <c r="I103" s="27">
        <v>0.08</v>
      </c>
      <c r="J103" s="27">
        <v>0.5</v>
      </c>
      <c r="K103" s="30">
        <v>0.36</v>
      </c>
      <c r="L103" s="54" t="s">
        <v>79</v>
      </c>
      <c r="M103" s="33"/>
      <c r="N103" s="75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42"/>
      <c r="Z103" s="24"/>
      <c r="AA103" s="24"/>
    </row>
    <row r="104" ht="15.75" customHeight="1">
      <c r="A104" s="45" t="s">
        <v>338</v>
      </c>
      <c r="B104" s="63">
        <v>42.0</v>
      </c>
      <c r="C104" s="47">
        <v>0.0</v>
      </c>
      <c r="D104" s="47">
        <v>0.26</v>
      </c>
      <c r="E104" s="47">
        <v>0.72</v>
      </c>
      <c r="F104" s="47">
        <v>0.0</v>
      </c>
      <c r="G104" s="47">
        <v>0.98</v>
      </c>
      <c r="H104" s="47">
        <v>0.02</v>
      </c>
      <c r="I104" s="47">
        <v>0.061</v>
      </c>
      <c r="J104" s="47">
        <v>0.39</v>
      </c>
      <c r="K104" s="48">
        <v>0.28</v>
      </c>
      <c r="L104" s="65" t="s">
        <v>79</v>
      </c>
      <c r="M104" s="33"/>
      <c r="N104" s="75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42"/>
      <c r="Z104" s="24"/>
      <c r="AA104" s="24"/>
    </row>
    <row r="105" ht="15.75" customHeight="1">
      <c r="A105" s="80" t="s">
        <v>58</v>
      </c>
      <c r="B105" s="114">
        <v>4.6</v>
      </c>
      <c r="C105" s="28">
        <v>0.0</v>
      </c>
      <c r="D105" s="27">
        <v>0.035</v>
      </c>
      <c r="E105" s="27">
        <v>0.09</v>
      </c>
      <c r="F105" s="27">
        <v>0.0</v>
      </c>
      <c r="G105" s="27">
        <v>0.125</v>
      </c>
      <c r="H105" s="27">
        <v>0.875</v>
      </c>
      <c r="I105" s="27">
        <v>0.0078</v>
      </c>
      <c r="J105" s="27">
        <v>0.04</v>
      </c>
      <c r="K105" s="30">
        <v>0.035</v>
      </c>
      <c r="L105" s="54" t="s">
        <v>79</v>
      </c>
      <c r="M105" s="33"/>
      <c r="N105" s="75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42"/>
      <c r="Z105" s="24"/>
      <c r="AA105" s="24"/>
    </row>
    <row r="106" ht="15.75" customHeight="1">
      <c r="A106" s="72" t="s">
        <v>339</v>
      </c>
      <c r="B106" s="46">
        <v>0.0</v>
      </c>
      <c r="C106" s="47">
        <v>0.0</v>
      </c>
      <c r="D106" s="47">
        <v>0.015</v>
      </c>
      <c r="E106" s="47">
        <v>0.09</v>
      </c>
      <c r="F106" s="47">
        <v>0.0</v>
      </c>
      <c r="G106" s="47">
        <v>0.105</v>
      </c>
      <c r="H106" s="47">
        <v>0.895</v>
      </c>
      <c r="I106" s="47">
        <v>0.007</v>
      </c>
      <c r="J106" s="47">
        <v>0.045</v>
      </c>
      <c r="K106" s="48">
        <v>0.035</v>
      </c>
      <c r="L106" s="65" t="s">
        <v>79</v>
      </c>
      <c r="M106" s="33"/>
      <c r="N106" s="75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42"/>
      <c r="Z106" s="24"/>
      <c r="AA106" s="24"/>
    </row>
    <row r="107" ht="15.75" customHeight="1">
      <c r="A107" s="25" t="s">
        <v>340</v>
      </c>
      <c r="B107" s="26">
        <v>0.0</v>
      </c>
      <c r="C107" s="27">
        <v>0.17</v>
      </c>
      <c r="D107" s="27">
        <v>0.0</v>
      </c>
      <c r="E107" s="27">
        <v>0.0</v>
      </c>
      <c r="F107" s="27">
        <v>0.02</v>
      </c>
      <c r="G107" s="27">
        <v>0.19</v>
      </c>
      <c r="H107" s="27">
        <v>0.81</v>
      </c>
      <c r="I107" s="27">
        <v>0.14</v>
      </c>
      <c r="J107" s="27">
        <v>0.18</v>
      </c>
      <c r="K107" s="30">
        <v>0.01</v>
      </c>
      <c r="L107" s="54" t="s">
        <v>32</v>
      </c>
      <c r="M107" s="33"/>
      <c r="N107" s="75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42"/>
      <c r="Z107" s="24"/>
      <c r="AA107" s="24"/>
    </row>
    <row r="108" ht="15.75" customHeight="1">
      <c r="A108" s="72" t="s">
        <v>341</v>
      </c>
      <c r="B108" s="63">
        <v>100.0</v>
      </c>
      <c r="C108" s="47">
        <v>0.2</v>
      </c>
      <c r="D108" s="47">
        <v>0.0</v>
      </c>
      <c r="E108" s="47">
        <v>0.0</v>
      </c>
      <c r="F108" s="47">
        <v>0.0</v>
      </c>
      <c r="G108" s="47">
        <v>0.2</v>
      </c>
      <c r="H108" s="47">
        <v>0.8</v>
      </c>
      <c r="I108" s="47">
        <v>0.2</v>
      </c>
      <c r="J108" s="47">
        <v>1.88</v>
      </c>
      <c r="K108" s="48">
        <v>0.0</v>
      </c>
      <c r="L108" s="65" t="s">
        <v>79</v>
      </c>
      <c r="M108" s="33"/>
      <c r="N108" s="75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42"/>
      <c r="Z108" s="24"/>
      <c r="AA108" s="24"/>
    </row>
    <row r="109" ht="15.75" customHeight="1">
      <c r="A109" s="25" t="s">
        <v>342</v>
      </c>
      <c r="B109" s="26">
        <v>0.0</v>
      </c>
      <c r="C109" s="27">
        <v>0.04</v>
      </c>
      <c r="D109" s="27">
        <v>0.0</v>
      </c>
      <c r="E109" s="27">
        <v>0.0</v>
      </c>
      <c r="F109" s="27">
        <v>0.045</v>
      </c>
      <c r="G109" s="27">
        <v>0.08499999999999999</v>
      </c>
      <c r="H109" s="27">
        <v>0.915</v>
      </c>
      <c r="I109" s="27">
        <v>0.048</v>
      </c>
      <c r="J109" s="27">
        <v>0.058</v>
      </c>
      <c r="K109" s="30">
        <v>0.0</v>
      </c>
      <c r="L109" s="54" t="s">
        <v>32</v>
      </c>
      <c r="M109" s="33"/>
      <c r="N109" s="75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42"/>
      <c r="Z109" s="24"/>
      <c r="AA109" s="24"/>
    </row>
    <row r="110" ht="15.75" customHeight="1">
      <c r="A110" s="45" t="s">
        <v>343</v>
      </c>
      <c r="B110" s="63">
        <v>19.0</v>
      </c>
      <c r="C110" s="47">
        <v>0.02</v>
      </c>
      <c r="D110" s="47">
        <v>0.0</v>
      </c>
      <c r="E110" s="47">
        <v>0.0</v>
      </c>
      <c r="F110" s="47">
        <v>0.06</v>
      </c>
      <c r="G110" s="47">
        <v>0.08</v>
      </c>
      <c r="H110" s="47">
        <v>0.92</v>
      </c>
      <c r="I110" s="47">
        <v>0.05</v>
      </c>
      <c r="J110" s="47">
        <v>0.06</v>
      </c>
      <c r="K110" s="48">
        <v>0.0</v>
      </c>
      <c r="L110" s="65" t="s">
        <v>32</v>
      </c>
      <c r="M110" s="33"/>
      <c r="N110" s="75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42"/>
      <c r="Z110" s="24"/>
      <c r="AA110" s="24"/>
    </row>
    <row r="111" ht="15.75" customHeight="1">
      <c r="A111" s="25" t="s">
        <v>344</v>
      </c>
      <c r="B111" s="67">
        <v>13.0</v>
      </c>
      <c r="C111" s="27">
        <v>0.0252</v>
      </c>
      <c r="D111" s="27">
        <v>0.0024</v>
      </c>
      <c r="E111" s="27">
        <v>0.0</v>
      </c>
      <c r="F111" s="27">
        <v>0.05</v>
      </c>
      <c r="G111" s="27">
        <v>0.0776</v>
      </c>
      <c r="H111" s="27">
        <v>0.922</v>
      </c>
      <c r="I111" s="27">
        <v>0.03</v>
      </c>
      <c r="J111" s="27">
        <v>0.036</v>
      </c>
      <c r="K111" s="30">
        <v>0.003</v>
      </c>
      <c r="L111" s="54" t="s">
        <v>32</v>
      </c>
      <c r="M111" s="33"/>
      <c r="N111" s="75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42"/>
      <c r="Z111" s="24"/>
      <c r="AA111" s="24"/>
    </row>
    <row r="112" ht="15.75" customHeight="1">
      <c r="A112" s="45" t="s">
        <v>345</v>
      </c>
      <c r="B112" s="46">
        <v>0.0</v>
      </c>
      <c r="C112" s="47">
        <v>0.1</v>
      </c>
      <c r="D112" s="47">
        <v>0.0</v>
      </c>
      <c r="E112" s="47">
        <v>0.0</v>
      </c>
      <c r="F112" s="47">
        <v>0.05</v>
      </c>
      <c r="G112" s="47">
        <v>0.15</v>
      </c>
      <c r="H112" s="47">
        <v>0.85</v>
      </c>
      <c r="I112" s="47">
        <v>0.13</v>
      </c>
      <c r="J112" s="47">
        <v>0.16</v>
      </c>
      <c r="K112" s="48">
        <v>0.0</v>
      </c>
      <c r="L112" s="65" t="s">
        <v>32</v>
      </c>
      <c r="M112" s="33"/>
      <c r="N112" s="75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42"/>
      <c r="Z112" s="24"/>
      <c r="AA112" s="24"/>
    </row>
    <row r="113" ht="15.75" customHeight="1">
      <c r="A113" s="80" t="s">
        <v>346</v>
      </c>
      <c r="B113" s="67">
        <v>25.0</v>
      </c>
      <c r="C113" s="27">
        <v>1.0</v>
      </c>
      <c r="D113" s="28">
        <v>0.0</v>
      </c>
      <c r="E113" s="27">
        <v>0.0</v>
      </c>
      <c r="F113" s="27">
        <v>0.0</v>
      </c>
      <c r="G113" s="27">
        <v>1.0</v>
      </c>
      <c r="H113" s="27">
        <v>0.0</v>
      </c>
      <c r="I113" s="28">
        <v>0.7</v>
      </c>
      <c r="J113" s="28">
        <v>1.0</v>
      </c>
      <c r="K113" s="30">
        <v>0.0</v>
      </c>
      <c r="L113" s="54" t="s">
        <v>32</v>
      </c>
      <c r="M113" s="33"/>
      <c r="N113" s="75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42"/>
      <c r="Z113" s="24"/>
      <c r="AA113" s="24"/>
    </row>
    <row r="114" ht="15.75" customHeight="1">
      <c r="A114" s="45" t="s">
        <v>347</v>
      </c>
      <c r="B114" s="46">
        <v>0.0</v>
      </c>
      <c r="C114" s="47">
        <v>0.07</v>
      </c>
      <c r="D114" s="47">
        <v>0.0</v>
      </c>
      <c r="E114" s="47">
        <v>0.0</v>
      </c>
      <c r="F114" s="47">
        <v>0.03</v>
      </c>
      <c r="G114" s="47">
        <v>0.1</v>
      </c>
      <c r="H114" s="47">
        <v>0.9</v>
      </c>
      <c r="I114" s="47">
        <v>0.095</v>
      </c>
      <c r="J114" s="47">
        <v>0.115</v>
      </c>
      <c r="K114" s="48">
        <v>0.0</v>
      </c>
      <c r="L114" s="65" t="s">
        <v>32</v>
      </c>
      <c r="M114" s="33"/>
      <c r="N114" s="75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42"/>
      <c r="Z114" s="24"/>
      <c r="AA114" s="24"/>
    </row>
    <row r="115" ht="15.75" customHeight="1">
      <c r="A115" s="25" t="s">
        <v>348</v>
      </c>
      <c r="B115" s="26">
        <v>0.0</v>
      </c>
      <c r="C115" s="27">
        <v>0.13</v>
      </c>
      <c r="D115" s="27">
        <v>0.0</v>
      </c>
      <c r="E115" s="27">
        <v>0.0</v>
      </c>
      <c r="F115" s="27">
        <v>0.04</v>
      </c>
      <c r="G115" s="27">
        <v>0.17</v>
      </c>
      <c r="H115" s="27">
        <v>0.83</v>
      </c>
      <c r="I115" s="27">
        <v>0.15</v>
      </c>
      <c r="J115" s="27">
        <v>0.18</v>
      </c>
      <c r="K115" s="30">
        <v>0.01</v>
      </c>
      <c r="L115" s="54" t="s">
        <v>32</v>
      </c>
      <c r="M115" s="33"/>
      <c r="N115" s="75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42"/>
      <c r="Z115" s="24"/>
      <c r="AA115" s="24"/>
    </row>
    <row r="116" ht="15.75" customHeight="1">
      <c r="A116" s="45" t="s">
        <v>124</v>
      </c>
      <c r="B116" s="63">
        <v>65.0</v>
      </c>
      <c r="C116" s="47">
        <v>0.0</v>
      </c>
      <c r="D116" s="47">
        <v>0.82</v>
      </c>
      <c r="E116" s="47">
        <v>0.02</v>
      </c>
      <c r="F116" s="47">
        <v>0.0</v>
      </c>
      <c r="G116" s="47">
        <v>0.84</v>
      </c>
      <c r="H116" s="47">
        <v>0.16</v>
      </c>
      <c r="I116" s="47">
        <v>0.0</v>
      </c>
      <c r="J116" s="47">
        <v>0.0</v>
      </c>
      <c r="K116" s="48">
        <v>0.01</v>
      </c>
      <c r="L116" s="65" t="s">
        <v>79</v>
      </c>
      <c r="M116" s="33"/>
      <c r="N116" s="75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42"/>
      <c r="Z116" s="24"/>
      <c r="AA116" s="24"/>
    </row>
    <row r="117" ht="15.75" customHeight="1">
      <c r="A117" s="25" t="s">
        <v>349</v>
      </c>
      <c r="B117" s="26">
        <v>0.0</v>
      </c>
      <c r="C117" s="27">
        <v>0.0</v>
      </c>
      <c r="D117" s="27">
        <v>1.0</v>
      </c>
      <c r="E117" s="27">
        <v>0.0</v>
      </c>
      <c r="F117" s="27">
        <v>0.0</v>
      </c>
      <c r="G117" s="27">
        <v>1.0</v>
      </c>
      <c r="H117" s="27">
        <v>0.0</v>
      </c>
      <c r="I117" s="27">
        <v>0.0</v>
      </c>
      <c r="J117" s="27">
        <v>0.0</v>
      </c>
      <c r="K117" s="30">
        <v>0.0</v>
      </c>
      <c r="L117" s="54" t="s">
        <v>32</v>
      </c>
      <c r="M117" s="33"/>
      <c r="N117" s="75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42"/>
      <c r="Z117" s="24"/>
      <c r="AA117" s="24"/>
    </row>
    <row r="118" ht="15.75" customHeight="1">
      <c r="A118" s="72" t="s">
        <v>350</v>
      </c>
      <c r="B118" s="46">
        <v>0.0</v>
      </c>
      <c r="C118" s="47">
        <v>0.0</v>
      </c>
      <c r="D118" s="47">
        <v>0.99</v>
      </c>
      <c r="E118" s="47">
        <v>0.01</v>
      </c>
      <c r="F118" s="47">
        <v>0.0</v>
      </c>
      <c r="G118" s="47">
        <v>1.0</v>
      </c>
      <c r="H118" s="47">
        <v>0.0</v>
      </c>
      <c r="I118" s="47">
        <v>0.0</v>
      </c>
      <c r="J118" s="47">
        <v>0.0</v>
      </c>
      <c r="K118" s="48">
        <v>0.0</v>
      </c>
      <c r="L118" s="65" t="s">
        <v>79</v>
      </c>
      <c r="M118" s="33"/>
      <c r="N118" s="75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42"/>
      <c r="Z118" s="24"/>
      <c r="AA118" s="24"/>
    </row>
    <row r="119" ht="15.75" customHeight="1">
      <c r="A119" s="25" t="s">
        <v>351</v>
      </c>
      <c r="B119" s="26">
        <v>0.0</v>
      </c>
      <c r="C119" s="27">
        <v>0.07</v>
      </c>
      <c r="D119" s="27">
        <v>0.0</v>
      </c>
      <c r="E119" s="27">
        <v>0.0</v>
      </c>
      <c r="F119" s="27">
        <v>0.04</v>
      </c>
      <c r="G119" s="27">
        <v>0.11</v>
      </c>
      <c r="H119" s="27">
        <v>0.89</v>
      </c>
      <c r="I119" s="28">
        <v>0.07</v>
      </c>
      <c r="J119" s="27">
        <v>0.16</v>
      </c>
      <c r="K119" s="30">
        <v>0.003</v>
      </c>
      <c r="L119" s="54" t="s">
        <v>32</v>
      </c>
      <c r="M119" s="33"/>
      <c r="N119" s="75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42"/>
      <c r="Z119" s="24"/>
      <c r="AA119" s="24"/>
    </row>
    <row r="120" ht="15.75" customHeight="1">
      <c r="A120" s="45" t="s">
        <v>352</v>
      </c>
      <c r="B120" s="46">
        <v>0.0</v>
      </c>
      <c r="C120" s="47">
        <v>0.0</v>
      </c>
      <c r="D120" s="47">
        <v>0.47</v>
      </c>
      <c r="E120" s="47">
        <v>0.085</v>
      </c>
      <c r="F120" s="47">
        <v>0.0</v>
      </c>
      <c r="G120" s="47">
        <v>0.5549999999999999</v>
      </c>
      <c r="H120" s="47">
        <v>0.445</v>
      </c>
      <c r="I120" s="47">
        <v>0.0</v>
      </c>
      <c r="J120" s="47">
        <v>0.0</v>
      </c>
      <c r="K120" s="48">
        <v>0.076</v>
      </c>
      <c r="L120" s="65" t="s">
        <v>79</v>
      </c>
      <c r="M120" s="33"/>
      <c r="N120" s="75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42"/>
      <c r="Z120" s="24"/>
      <c r="AA120" s="24"/>
    </row>
    <row r="121" ht="15.75" customHeight="1">
      <c r="A121" s="25" t="s">
        <v>353</v>
      </c>
      <c r="B121" s="26">
        <v>0.0</v>
      </c>
      <c r="C121" s="27">
        <v>0.85</v>
      </c>
      <c r="D121" s="27">
        <v>0.0</v>
      </c>
      <c r="E121" s="27">
        <v>0.0</v>
      </c>
      <c r="F121" s="27">
        <v>0.0</v>
      </c>
      <c r="G121" s="27">
        <v>0.85</v>
      </c>
      <c r="H121" s="27">
        <v>0.15</v>
      </c>
      <c r="I121" s="27">
        <v>1.28</v>
      </c>
      <c r="J121" s="27">
        <v>1.9</v>
      </c>
      <c r="K121" s="30">
        <v>0.0</v>
      </c>
      <c r="L121" s="54" t="s">
        <v>32</v>
      </c>
      <c r="M121" s="33"/>
      <c r="N121" s="75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42"/>
      <c r="Z121" s="24"/>
      <c r="AA121" s="24"/>
    </row>
    <row r="122" ht="15.75" customHeight="1">
      <c r="A122" s="45" t="s">
        <v>354</v>
      </c>
      <c r="B122" s="46">
        <v>0.0</v>
      </c>
      <c r="C122" s="47">
        <v>0.045</v>
      </c>
      <c r="D122" s="47">
        <v>0.0</v>
      </c>
      <c r="E122" s="47">
        <v>0.0</v>
      </c>
      <c r="F122" s="47">
        <v>0.025</v>
      </c>
      <c r="G122" s="47">
        <v>0.07</v>
      </c>
      <c r="H122" s="47">
        <v>0.93</v>
      </c>
      <c r="I122" s="47">
        <v>0.054</v>
      </c>
      <c r="J122" s="47">
        <v>0.065</v>
      </c>
      <c r="K122" s="48">
        <v>0.0</v>
      </c>
      <c r="L122" s="65" t="s">
        <v>32</v>
      </c>
      <c r="M122" s="33"/>
      <c r="N122" s="75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42"/>
      <c r="Z122" s="24"/>
      <c r="AA122" s="24"/>
    </row>
    <row r="123" ht="15.75" customHeight="1">
      <c r="A123" s="25" t="s">
        <v>355</v>
      </c>
      <c r="B123" s="26">
        <v>0.0</v>
      </c>
      <c r="C123" s="27">
        <v>0.05</v>
      </c>
      <c r="D123" s="27">
        <v>0.0</v>
      </c>
      <c r="E123" s="27">
        <v>0.0</v>
      </c>
      <c r="F123" s="27">
        <v>0.01</v>
      </c>
      <c r="G123" s="27">
        <v>0.06</v>
      </c>
      <c r="H123" s="27">
        <v>0.94</v>
      </c>
      <c r="I123" s="27">
        <v>0.09</v>
      </c>
      <c r="J123" s="27">
        <v>0.108</v>
      </c>
      <c r="K123" s="30">
        <v>0.01</v>
      </c>
      <c r="L123" s="54" t="s">
        <v>32</v>
      </c>
      <c r="M123" s="33"/>
      <c r="N123" s="75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42"/>
      <c r="Z123" s="24"/>
      <c r="AA123" s="24"/>
    </row>
    <row r="124" ht="15.75" customHeight="1">
      <c r="A124" s="45" t="s">
        <v>356</v>
      </c>
      <c r="B124" s="46">
        <v>0.0</v>
      </c>
      <c r="C124" s="47">
        <v>0.09</v>
      </c>
      <c r="D124" s="47">
        <v>0.0</v>
      </c>
      <c r="E124" s="47">
        <v>0.0</v>
      </c>
      <c r="F124" s="47">
        <v>0.04</v>
      </c>
      <c r="G124" s="47">
        <v>0.13</v>
      </c>
      <c r="H124" s="47">
        <v>0.87</v>
      </c>
      <c r="I124" s="47">
        <v>0.11</v>
      </c>
      <c r="J124" s="47">
        <v>0.13</v>
      </c>
      <c r="K124" s="48">
        <v>0.01</v>
      </c>
      <c r="L124" s="65" t="s">
        <v>32</v>
      </c>
      <c r="M124" s="33"/>
      <c r="N124" s="75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42"/>
      <c r="Z124" s="24"/>
      <c r="AA124" s="24"/>
    </row>
    <row r="125" ht="15.75" customHeight="1">
      <c r="A125" s="25" t="s">
        <v>357</v>
      </c>
      <c r="B125" s="26">
        <v>0.0</v>
      </c>
      <c r="C125" s="27">
        <v>0.05</v>
      </c>
      <c r="D125" s="27">
        <v>0.0</v>
      </c>
      <c r="E125" s="27">
        <v>0.0</v>
      </c>
      <c r="F125" s="27">
        <v>0.1</v>
      </c>
      <c r="G125" s="27">
        <v>0.15</v>
      </c>
      <c r="H125" s="27">
        <v>0.85</v>
      </c>
      <c r="I125" s="27">
        <v>0.16</v>
      </c>
      <c r="J125" s="27">
        <v>0.19</v>
      </c>
      <c r="K125" s="30">
        <v>0.01</v>
      </c>
      <c r="L125" s="54" t="s">
        <v>32</v>
      </c>
      <c r="M125" s="33"/>
      <c r="N125" s="75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42"/>
      <c r="Z125" s="24"/>
      <c r="AA125" s="24"/>
    </row>
    <row r="126" ht="15.75" customHeight="1">
      <c r="A126" s="45" t="s">
        <v>358</v>
      </c>
      <c r="B126" s="63">
        <v>25.0</v>
      </c>
      <c r="C126" s="47">
        <v>0.05</v>
      </c>
      <c r="D126" s="47">
        <v>0.0</v>
      </c>
      <c r="E126" s="47">
        <v>0.0</v>
      </c>
      <c r="F126" s="47">
        <v>0.04</v>
      </c>
      <c r="G126" s="47">
        <v>0.09</v>
      </c>
      <c r="H126" s="47">
        <v>0.91</v>
      </c>
      <c r="I126" s="47">
        <v>0.096</v>
      </c>
      <c r="J126" s="47">
        <v>0.116</v>
      </c>
      <c r="K126" s="48">
        <v>0.01</v>
      </c>
      <c r="L126" s="65" t="s">
        <v>32</v>
      </c>
      <c r="M126" s="33"/>
      <c r="N126" s="75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42"/>
      <c r="Z126" s="24"/>
      <c r="AA126" s="24"/>
    </row>
    <row r="127" ht="15.75" customHeight="1">
      <c r="A127" s="25" t="s">
        <v>359</v>
      </c>
      <c r="B127" s="67">
        <v>40.0</v>
      </c>
      <c r="C127" s="27">
        <v>0.0</v>
      </c>
      <c r="D127" s="27">
        <v>0.45</v>
      </c>
      <c r="E127" s="27">
        <v>0.01</v>
      </c>
      <c r="F127" s="27">
        <v>0.01</v>
      </c>
      <c r="G127" s="27">
        <v>0.47</v>
      </c>
      <c r="H127" s="27">
        <v>0.53</v>
      </c>
      <c r="I127" s="27">
        <v>0.0</v>
      </c>
      <c r="J127" s="27">
        <v>0.03</v>
      </c>
      <c r="K127" s="30">
        <v>0.01</v>
      </c>
      <c r="L127" s="54" t="s">
        <v>79</v>
      </c>
      <c r="M127" s="33"/>
      <c r="N127" s="75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42"/>
      <c r="Z127" s="24"/>
      <c r="AA127" s="24"/>
    </row>
    <row r="128" ht="15.75" customHeight="1">
      <c r="A128" s="45" t="s">
        <v>360</v>
      </c>
      <c r="B128" s="46">
        <v>0.0</v>
      </c>
      <c r="C128" s="47">
        <v>0.0</v>
      </c>
      <c r="D128" s="47">
        <v>0.48</v>
      </c>
      <c r="E128" s="47">
        <v>0.06</v>
      </c>
      <c r="F128" s="47">
        <v>0.0</v>
      </c>
      <c r="G128" s="47">
        <v>0.54</v>
      </c>
      <c r="H128" s="47">
        <v>0.46</v>
      </c>
      <c r="I128" s="47">
        <v>0.0</v>
      </c>
      <c r="J128" s="47">
        <v>0.03</v>
      </c>
      <c r="K128" s="48">
        <v>0.08</v>
      </c>
      <c r="L128" s="65" t="s">
        <v>79</v>
      </c>
      <c r="M128" s="33"/>
      <c r="N128" s="75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42"/>
      <c r="Z128" s="24"/>
      <c r="AA128" s="24"/>
    </row>
    <row r="129" ht="15.75" customHeight="1">
      <c r="A129" s="32" t="s">
        <v>139</v>
      </c>
      <c r="B129" s="114">
        <v>200.0</v>
      </c>
      <c r="C129" s="27">
        <v>0.0</v>
      </c>
      <c r="D129" s="27">
        <v>0.0</v>
      </c>
      <c r="E129" s="27">
        <v>0.0</v>
      </c>
      <c r="F129" s="27">
        <v>1.0</v>
      </c>
      <c r="G129" s="27">
        <v>1.0</v>
      </c>
      <c r="H129" s="27">
        <v>0.0</v>
      </c>
      <c r="I129" s="27">
        <v>0.0</v>
      </c>
      <c r="J129" s="27">
        <v>0.0</v>
      </c>
      <c r="K129" s="30">
        <v>0.0</v>
      </c>
      <c r="L129" s="54" t="s">
        <v>32</v>
      </c>
      <c r="M129" s="33"/>
      <c r="N129" s="75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42"/>
      <c r="Z129" s="24"/>
      <c r="AA129" s="24"/>
    </row>
    <row r="130" ht="15.75" customHeight="1">
      <c r="A130" s="72" t="s">
        <v>164</v>
      </c>
      <c r="B130" s="63">
        <v>125.0</v>
      </c>
      <c r="C130" s="47">
        <v>0.5</v>
      </c>
      <c r="D130" s="47">
        <v>0.31</v>
      </c>
      <c r="E130" s="47">
        <v>0.0843</v>
      </c>
      <c r="F130" s="47">
        <v>0.04</v>
      </c>
      <c r="G130" s="83">
        <v>0.93</v>
      </c>
      <c r="H130" s="47">
        <v>0.07</v>
      </c>
      <c r="I130" s="47">
        <v>0.5</v>
      </c>
      <c r="J130" s="47">
        <v>0.5</v>
      </c>
      <c r="K130" s="48">
        <v>0.063</v>
      </c>
      <c r="L130" s="65" t="s">
        <v>79</v>
      </c>
      <c r="M130" s="33"/>
      <c r="N130" s="75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42"/>
      <c r="Z130" s="24"/>
      <c r="AA130" s="24"/>
    </row>
    <row r="131" ht="15.75" customHeight="1">
      <c r="A131" s="80" t="s">
        <v>167</v>
      </c>
      <c r="B131" s="26">
        <v>0.0</v>
      </c>
      <c r="C131" s="27">
        <v>0.0</v>
      </c>
      <c r="D131" s="27">
        <v>1.0</v>
      </c>
      <c r="E131" s="27">
        <v>0.0</v>
      </c>
      <c r="F131" s="27">
        <v>0.0</v>
      </c>
      <c r="G131" s="27">
        <v>1.0</v>
      </c>
      <c r="H131" s="27">
        <v>0.0</v>
      </c>
      <c r="I131" s="27">
        <v>0.0</v>
      </c>
      <c r="J131" s="27">
        <v>0.0</v>
      </c>
      <c r="K131" s="30">
        <v>0.0</v>
      </c>
      <c r="L131" s="54" t="s">
        <v>32</v>
      </c>
      <c r="M131" s="33"/>
      <c r="N131" s="75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42"/>
      <c r="Z131" s="24"/>
      <c r="AA131" s="24"/>
    </row>
    <row r="132" ht="15.75" customHeight="1">
      <c r="A132" s="72" t="s">
        <v>361</v>
      </c>
      <c r="B132" s="46">
        <v>0.0</v>
      </c>
      <c r="C132" s="47">
        <v>0.0</v>
      </c>
      <c r="D132" s="47">
        <v>1.0</v>
      </c>
      <c r="E132" s="47">
        <v>0.0</v>
      </c>
      <c r="F132" s="47">
        <v>0.0</v>
      </c>
      <c r="G132" s="47">
        <v>1.0</v>
      </c>
      <c r="H132" s="47">
        <v>0.0</v>
      </c>
      <c r="I132" s="47">
        <v>0.0</v>
      </c>
      <c r="J132" s="47">
        <v>0.0</v>
      </c>
      <c r="K132" s="48">
        <v>0.0</v>
      </c>
      <c r="L132" s="65" t="s">
        <v>32</v>
      </c>
      <c r="M132" s="33"/>
      <c r="N132" s="75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42"/>
      <c r="Z132" s="24"/>
      <c r="AA132" s="24"/>
    </row>
    <row r="133" ht="15.75" customHeight="1">
      <c r="A133" s="25" t="s">
        <v>60</v>
      </c>
      <c r="B133" s="114">
        <v>16.0</v>
      </c>
      <c r="C133" s="27">
        <v>0.0</v>
      </c>
      <c r="D133" s="27">
        <v>0.1</v>
      </c>
      <c r="E133" s="27">
        <v>0.0</v>
      </c>
      <c r="F133" s="27">
        <v>0.15</v>
      </c>
      <c r="G133" s="27">
        <v>0.25</v>
      </c>
      <c r="H133" s="27">
        <v>0.75</v>
      </c>
      <c r="I133" s="27">
        <v>0.0</v>
      </c>
      <c r="J133" s="27">
        <v>0.0</v>
      </c>
      <c r="K133" s="30">
        <v>0.15</v>
      </c>
      <c r="L133" s="54" t="s">
        <v>79</v>
      </c>
      <c r="M133" s="33"/>
      <c r="N133" s="75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42"/>
      <c r="Z133" s="24"/>
      <c r="AA133" s="24"/>
    </row>
    <row r="134" ht="15.75" customHeight="1">
      <c r="A134" s="72" t="s">
        <v>362</v>
      </c>
      <c r="B134" s="63">
        <v>0.0</v>
      </c>
      <c r="C134" s="83">
        <v>0.48</v>
      </c>
      <c r="D134" s="83">
        <v>0.28</v>
      </c>
      <c r="E134" s="83">
        <v>0.0</v>
      </c>
      <c r="F134" s="150">
        <v>0.18</v>
      </c>
      <c r="G134" s="47">
        <f>SUM(C134:F134)</f>
        <v>0.94</v>
      </c>
      <c r="H134" s="83">
        <f t="shared" ref="H134:H135" si="8">1-G134</f>
        <v>0.06</v>
      </c>
      <c r="I134" s="83">
        <v>0.48</v>
      </c>
      <c r="J134" s="83">
        <v>0.48</v>
      </c>
      <c r="K134" s="48">
        <v>0.16</v>
      </c>
      <c r="L134" s="65" t="s">
        <v>79</v>
      </c>
      <c r="M134" s="33"/>
      <c r="N134" s="75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42"/>
      <c r="Z134" s="24"/>
      <c r="AA134" s="24"/>
    </row>
    <row r="135" ht="15.75" customHeight="1">
      <c r="A135" s="80" t="s">
        <v>181</v>
      </c>
      <c r="B135" s="67">
        <v>117.0</v>
      </c>
      <c r="C135" s="27">
        <v>0.0</v>
      </c>
      <c r="D135" s="27">
        <v>0.29</v>
      </c>
      <c r="E135" s="27">
        <v>0.38</v>
      </c>
      <c r="F135" s="27">
        <v>0.0</v>
      </c>
      <c r="G135" s="27">
        <f>SUM(C135:E135)</f>
        <v>0.67</v>
      </c>
      <c r="H135" s="27">
        <f t="shared" si="8"/>
        <v>0.33</v>
      </c>
      <c r="I135" s="27">
        <v>0.0</v>
      </c>
      <c r="J135" s="27">
        <v>0.0</v>
      </c>
      <c r="K135" s="30">
        <v>0.356</v>
      </c>
      <c r="L135" s="54" t="s">
        <v>79</v>
      </c>
      <c r="M135" s="33"/>
      <c r="N135" s="75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42"/>
      <c r="Z135" s="24"/>
      <c r="AA135" s="24"/>
    </row>
    <row r="136" ht="15.75" customHeight="1">
      <c r="A136" s="72" t="s">
        <v>159</v>
      </c>
      <c r="B136" s="63">
        <v>1000.0</v>
      </c>
      <c r="C136" s="47">
        <v>0.8</v>
      </c>
      <c r="D136" s="47">
        <v>0.0</v>
      </c>
      <c r="E136" s="47">
        <v>0.0</v>
      </c>
      <c r="F136" s="47">
        <v>0.0</v>
      </c>
      <c r="G136" s="47">
        <v>0.8</v>
      </c>
      <c r="H136" s="47">
        <v>0.2</v>
      </c>
      <c r="I136" s="47">
        <v>0.45</v>
      </c>
      <c r="J136" s="47">
        <v>0.75</v>
      </c>
      <c r="K136" s="48">
        <v>0.0</v>
      </c>
      <c r="L136" s="65" t="s">
        <v>32</v>
      </c>
      <c r="M136" s="33"/>
      <c r="N136" s="75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42"/>
      <c r="Z136" s="24"/>
      <c r="AA136" s="24"/>
    </row>
    <row r="137" ht="15.75" customHeight="1">
      <c r="A137" s="25" t="s">
        <v>364</v>
      </c>
      <c r="B137" s="26">
        <v>0.0</v>
      </c>
      <c r="C137" s="27">
        <v>0.045</v>
      </c>
      <c r="D137" s="27">
        <v>0.55</v>
      </c>
      <c r="E137" s="27">
        <v>0.0</v>
      </c>
      <c r="F137" s="27">
        <v>0.405</v>
      </c>
      <c r="G137" s="27">
        <v>1.0</v>
      </c>
      <c r="H137" s="27">
        <v>0.0</v>
      </c>
      <c r="I137" s="27">
        <v>0.0</v>
      </c>
      <c r="J137" s="27">
        <v>0.0</v>
      </c>
      <c r="K137" s="30">
        <v>0.0</v>
      </c>
      <c r="L137" s="54" t="s">
        <v>79</v>
      </c>
      <c r="M137" s="33"/>
      <c r="N137" s="75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42"/>
      <c r="Z137" s="24"/>
      <c r="AA137" s="24"/>
    </row>
    <row r="138" ht="15.75" customHeight="1">
      <c r="A138" s="72" t="s">
        <v>138</v>
      </c>
      <c r="B138" s="63">
        <f t="array" ref="B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$A138, 'Pré-preparos e Variegatos'!$C$2:$C$1000) * IFERROR(VLOOKUP($A138, 'Pré-preparos e Variegatos'!$M$2:$Q$100, 5, FALSE), 1), 0)</f>
        <v>13.96226415</v>
      </c>
      <c r="C138" s="47">
        <f t="array" ref="C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$A138, 'Pré-preparos e Variegatos'!$C$2:$C$1000) * IFERROR(VLOOKUP($A138, 'Pré-preparos e Variegatos'!$M$2:$Q$100, 5, FALSE), 1), 0)</f>
        <v>0.3943396226</v>
      </c>
      <c r="D138" s="47">
        <f t="array" ref="D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$A138, 'Pré-preparos e Variegatos'!$C$2:$C$1000) * IFERROR(VLOOKUP($A138, 'Pré-preparos e Variegatos'!$M$2:$Q$100, 5, FALSE), 1), 0)</f>
        <v>0.3396226415</v>
      </c>
      <c r="E138" s="47">
        <f t="array" ref="E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$A138, 'Pré-preparos e Variegatos'!$C$2:$C$1000) * IFERROR(VLOOKUP($A138, 'Pré-preparos e Variegatos'!$M$2:$Q$100, 5, FALSE), 1), 0)</f>
        <v>0</v>
      </c>
      <c r="F138" s="47">
        <f t="array" ref="F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$A138, 'Pré-preparos e Variegatos'!$C$2:$C$1000) * IFERROR(VLOOKUP($A138, 'Pré-preparos e Variegatos'!$M$2:$Q$100, 5, FALSE), 1), 0)</f>
        <v>0.2490566038</v>
      </c>
      <c r="G138" s="47">
        <f>MIN(1, SUM(C138:F138))</f>
        <v>0.9830188679</v>
      </c>
      <c r="H138" s="47">
        <f t="shared" ref="H138:H139" si="9">1-G138</f>
        <v>0.01698113208</v>
      </c>
      <c r="I138" s="83">
        <f t="array" ref="I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$A138, 'Pré-preparos e Variegatos'!$C$2:$C$1000) * IFERROR(VLOOKUP($A138, 'Pré-preparos e Variegatos'!$M$2:$Q$100, 5, FALSE), 1), 0)</f>
        <v>0.52</v>
      </c>
      <c r="J138" s="83">
        <f t="array" ref="J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$A138, 'Pré-preparos e Variegatos'!$C$2:$C$1000) * IFERROR(VLOOKUP($A138, 'Pré-preparos e Variegatos'!$M$2:$Q$100, 5, FALSE), 1), 0)</f>
        <v>0.5497169811</v>
      </c>
      <c r="K138" s="48">
        <f t="array" ref="K138">IFERROR(SUMPRODUCT(('Pré-preparos e Variegatos'!$A$2:$A$1000=$A138)*'Pré-preparos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$A138, 'Pré-preparos e Variegatos'!$C$2:$C$1000) * IFERROR(VLOOKUP($A138, 'Pré-preparos e Variegatos'!$M$2:$Q$100, 5, FALSE), 1), 0)</f>
        <v>0</v>
      </c>
      <c r="L138" s="65" t="str">
        <f t="array" ref="L138">IF(SUMPRODUCT(('Pré-preparos e Variegatos'!$A$2:$A$1000=$A138)*(IFERROR(VLOOKUP('Pré-preparos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138" s="33"/>
      <c r="N138" s="75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42"/>
      <c r="Z138" s="24"/>
      <c r="AA138" s="24"/>
    </row>
    <row r="139" ht="15.75" customHeight="1">
      <c r="A139" s="80" t="s">
        <v>329</v>
      </c>
      <c r="B139" s="26">
        <v>0.0</v>
      </c>
      <c r="C139" s="27">
        <v>0.084</v>
      </c>
      <c r="D139" s="27">
        <v>0.493</v>
      </c>
      <c r="E139" s="27">
        <v>0.0</v>
      </c>
      <c r="F139" s="148">
        <v>0.398</v>
      </c>
      <c r="G139" s="27">
        <f>SUM(C139:F139)</f>
        <v>0.975</v>
      </c>
      <c r="H139" s="27">
        <f t="shared" si="9"/>
        <v>0.025</v>
      </c>
      <c r="I139" s="27">
        <v>0.0</v>
      </c>
      <c r="J139" s="27">
        <v>0.0</v>
      </c>
      <c r="K139" s="30">
        <v>0.247</v>
      </c>
      <c r="L139" s="54" t="s">
        <v>79</v>
      </c>
      <c r="M139" s="33"/>
      <c r="N139" s="75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42"/>
      <c r="Z139" s="24"/>
      <c r="AA139" s="24"/>
    </row>
    <row r="140" ht="15.75" customHeight="1">
      <c r="A140" s="45" t="s">
        <v>331</v>
      </c>
      <c r="B140" s="46">
        <v>168.0</v>
      </c>
      <c r="C140" s="47">
        <v>0.04</v>
      </c>
      <c r="D140" s="47">
        <v>0.65</v>
      </c>
      <c r="E140" s="47">
        <v>0.0</v>
      </c>
      <c r="F140" s="47">
        <v>0.31</v>
      </c>
      <c r="G140" s="47">
        <v>1.0</v>
      </c>
      <c r="H140" s="47">
        <v>0.0</v>
      </c>
      <c r="I140" s="47">
        <v>0.0</v>
      </c>
      <c r="J140" s="47">
        <v>0.0</v>
      </c>
      <c r="K140" s="48">
        <v>0.14</v>
      </c>
      <c r="L140" s="65" t="s">
        <v>79</v>
      </c>
      <c r="M140" s="33"/>
      <c r="N140" s="75"/>
      <c r="O140" s="21"/>
      <c r="P140" s="151"/>
      <c r="Q140" s="152"/>
      <c r="R140" s="152"/>
      <c r="S140" s="21"/>
      <c r="T140" s="21"/>
      <c r="U140" s="21"/>
      <c r="V140" s="21"/>
      <c r="W140" s="21"/>
      <c r="X140" s="21"/>
      <c r="Y140" s="42"/>
      <c r="Z140" s="24"/>
      <c r="AA140" s="24"/>
    </row>
    <row r="141" ht="15.75" customHeight="1">
      <c r="A141" s="80" t="s">
        <v>142</v>
      </c>
      <c r="B141" s="26">
        <f t="array" ref="B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$A141, 'Pré-preparos e Variegatos'!$C$2:$C$1000) * IFERROR(VLOOKUP($A141, 'Pré-preparos e Variegatos'!$M$2:$Q$100, 5, FALSE), 1), 0)</f>
        <v>34.70833333</v>
      </c>
      <c r="C141" s="27">
        <f t="array" ref="C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$A141, 'Pré-preparos e Variegatos'!$C$2:$C$1000) * IFERROR(VLOOKUP($A141, 'Pré-preparos e Variegatos'!$M$2:$Q$100, 5, FALSE), 1), 0)</f>
        <v>0.1166666667</v>
      </c>
      <c r="D141" s="27">
        <f t="array" ref="D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$A141, 'Pré-preparos e Variegatos'!$C$2:$C$1000) * IFERROR(VLOOKUP($A141, 'Pré-preparos e Variegatos'!$M$2:$Q$100, 5, FALSE), 1), 0)</f>
        <v>0.1204166667</v>
      </c>
      <c r="E141" s="27">
        <f t="array" ref="E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$A141, 'Pré-preparos e Variegatos'!$C$2:$C$1000) * IFERROR(VLOOKUP($A141, 'Pré-preparos e Variegatos'!$M$2:$Q$100, 5, FALSE), 1), 0)</f>
        <v>0</v>
      </c>
      <c r="F141" s="27">
        <f t="array" ref="F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$A141, 'Pré-preparos e Variegatos'!$C$2:$C$1000) * IFERROR(VLOOKUP($A141, 'Pré-preparos e Variegatos'!$M$2:$Q$100, 5, FALSE), 1), 0)</f>
        <v>0.2129166667</v>
      </c>
      <c r="G141" s="27">
        <f>MIN(1, SUM(C141:F141))</f>
        <v>0.45</v>
      </c>
      <c r="H141" s="27">
        <f t="shared" ref="H141:H142" si="10">1-G141</f>
        <v>0.55</v>
      </c>
      <c r="I141" s="28">
        <f t="array" ref="I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$A141, 'Pré-preparos e Variegatos'!$C$2:$C$1000) * IFERROR(VLOOKUP($A141, 'Pré-preparos e Variegatos'!$M$2:$Q$100, 5, FALSE), 1), 0)</f>
        <v>0.1166666667</v>
      </c>
      <c r="J141" s="28">
        <f t="array" ref="J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$A141, 'Pré-preparos e Variegatos'!$C$2:$C$1000) * IFERROR(VLOOKUP($A141, 'Pré-preparos e Variegatos'!$M$2:$Q$100, 5, FALSE), 1), 0)</f>
        <v>0.1166666667</v>
      </c>
      <c r="K141" s="30">
        <f t="array" ref="K141">IFERROR(SUMPRODUCT(('Pré-preparos e Variegatos'!$A$2:$A$1000=$A141)*'Pré-preparos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$A141, 'Pré-preparos e Variegatos'!$C$2:$C$1000) * IFERROR(VLOOKUP($A141, 'Pré-preparos e Variegatos'!$M$2:$Q$100, 5, FALSE), 1), 0)</f>
        <v>0.0545</v>
      </c>
      <c r="L141" s="54" t="str">
        <f t="array" ref="L141">IF(SUMPRODUCT(('Pré-preparos e Variegatos'!$A$2:$A$1000=$A141)*(IFERROR(VLOOKUP('Pré-preparos e Variegatos'!$B$2:$B$1000, VSTACK($A$5:$L$23, $A$28:$L$31, $A$33:$L$58, $A$60:$L$96, $A$99:$L$137, $A$139:$L$140, $A$142:$L$151, $A$153:$L$168, $A$170:$L$188, $A$194:$L$500), 12, 0), "Não")="Sim"))&gt;0, "Sim", "Não")</f>
        <v>Não</v>
      </c>
      <c r="M141" s="33"/>
      <c r="N141" s="75"/>
      <c r="O141" s="153"/>
      <c r="P141" s="151"/>
      <c r="Q141" s="152"/>
      <c r="R141" s="152"/>
      <c r="S141" s="21"/>
      <c r="T141" s="21"/>
      <c r="U141" s="21"/>
      <c r="V141" s="21"/>
      <c r="W141" s="21"/>
      <c r="X141" s="21"/>
      <c r="Y141" s="42"/>
      <c r="Z141" s="24"/>
      <c r="AA141" s="24"/>
    </row>
    <row r="142" ht="15.75" customHeight="1">
      <c r="A142" s="72" t="s">
        <v>373</v>
      </c>
      <c r="B142" s="63">
        <v>15.0</v>
      </c>
      <c r="C142" s="83">
        <v>0.19</v>
      </c>
      <c r="D142" s="83">
        <v>0.026</v>
      </c>
      <c r="E142" s="83">
        <v>0.0</v>
      </c>
      <c r="F142" s="83">
        <v>0.2</v>
      </c>
      <c r="G142" s="83">
        <f>SUM(C142:F142)</f>
        <v>0.416</v>
      </c>
      <c r="H142" s="83">
        <f t="shared" si="10"/>
        <v>0.584</v>
      </c>
      <c r="I142" s="83">
        <f>0.7*C142</f>
        <v>0.133</v>
      </c>
      <c r="J142" s="83">
        <f>C142*1.9</f>
        <v>0.361</v>
      </c>
      <c r="K142" s="85">
        <v>0.05</v>
      </c>
      <c r="L142" s="65" t="s">
        <v>32</v>
      </c>
      <c r="M142" s="33"/>
      <c r="N142" s="75"/>
      <c r="O142" s="153"/>
      <c r="P142" s="151"/>
      <c r="Q142" s="21"/>
      <c r="R142" s="21"/>
      <c r="S142" s="21"/>
      <c r="T142" s="21"/>
      <c r="U142" s="21"/>
      <c r="V142" s="21"/>
      <c r="W142" s="21"/>
      <c r="X142" s="21"/>
      <c r="Y142" s="42"/>
      <c r="Z142" s="24"/>
      <c r="AA142" s="24"/>
    </row>
    <row r="143" ht="15.75" customHeight="1">
      <c r="A143" s="80" t="s">
        <v>163</v>
      </c>
      <c r="B143" s="26">
        <v>0.0</v>
      </c>
      <c r="C143" s="27">
        <v>0.06</v>
      </c>
      <c r="D143" s="27">
        <v>0.44</v>
      </c>
      <c r="E143" s="27">
        <v>0.0</v>
      </c>
      <c r="F143" s="27">
        <v>0.42</v>
      </c>
      <c r="G143" s="27">
        <v>0.9199999999999999</v>
      </c>
      <c r="H143" s="27">
        <v>0.08</v>
      </c>
      <c r="I143" s="27">
        <v>0.0</v>
      </c>
      <c r="J143" s="27">
        <v>0.0</v>
      </c>
      <c r="K143" s="30">
        <v>0.18</v>
      </c>
      <c r="L143" s="54" t="s">
        <v>79</v>
      </c>
      <c r="M143" s="33"/>
      <c r="N143" s="75"/>
      <c r="O143" s="153"/>
      <c r="P143" s="151"/>
      <c r="Q143" s="21"/>
      <c r="R143" s="21"/>
      <c r="S143" s="21"/>
      <c r="T143" s="21"/>
      <c r="U143" s="21"/>
      <c r="V143" s="21"/>
      <c r="W143" s="21"/>
      <c r="X143" s="21"/>
      <c r="Y143" s="42"/>
      <c r="Z143" s="24"/>
      <c r="AA143" s="24"/>
    </row>
    <row r="144" ht="15.75" customHeight="1">
      <c r="A144" s="72" t="s">
        <v>374</v>
      </c>
      <c r="B144" s="46">
        <v>0.0</v>
      </c>
      <c r="C144" s="47">
        <v>0.02</v>
      </c>
      <c r="D144" s="47">
        <v>0.66</v>
      </c>
      <c r="E144" s="47">
        <v>0.0</v>
      </c>
      <c r="F144" s="47">
        <v>0.26</v>
      </c>
      <c r="G144" s="47">
        <v>0.9400000000000001</v>
      </c>
      <c r="H144" s="47">
        <v>0.06</v>
      </c>
      <c r="I144" s="47">
        <v>0.0</v>
      </c>
      <c r="J144" s="47">
        <v>0.0</v>
      </c>
      <c r="K144" s="48">
        <v>0.14</v>
      </c>
      <c r="L144" s="65" t="s">
        <v>79</v>
      </c>
      <c r="M144" s="33"/>
      <c r="N144" s="75"/>
      <c r="O144" s="21"/>
      <c r="P144" s="151"/>
      <c r="Q144" s="21"/>
      <c r="R144" s="21"/>
      <c r="S144" s="21"/>
      <c r="T144" s="21"/>
      <c r="U144" s="21"/>
      <c r="V144" s="21"/>
      <c r="W144" s="21"/>
      <c r="X144" s="21"/>
      <c r="Y144" s="42"/>
      <c r="Z144" s="24"/>
      <c r="AA144" s="24"/>
    </row>
    <row r="145" ht="15.75" customHeight="1">
      <c r="A145" s="80" t="s">
        <v>375</v>
      </c>
      <c r="B145" s="26">
        <v>0.0</v>
      </c>
      <c r="C145" s="27">
        <v>0.43</v>
      </c>
      <c r="D145" s="27">
        <v>0.38</v>
      </c>
      <c r="E145" s="27">
        <v>0.0</v>
      </c>
      <c r="F145" s="27">
        <v>0.16</v>
      </c>
      <c r="G145" s="27">
        <v>0.9700000000000001</v>
      </c>
      <c r="H145" s="27">
        <v>0.03</v>
      </c>
      <c r="I145" s="27">
        <v>0.0</v>
      </c>
      <c r="J145" s="27">
        <v>0.0</v>
      </c>
      <c r="K145" s="30">
        <v>0.0</v>
      </c>
      <c r="L145" s="54" t="s">
        <v>79</v>
      </c>
      <c r="M145" s="33"/>
      <c r="N145" s="75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42"/>
      <c r="Z145" s="24"/>
      <c r="AA145" s="24"/>
    </row>
    <row r="146" ht="15.75" customHeight="1">
      <c r="A146" s="72" t="s">
        <v>206</v>
      </c>
      <c r="B146" s="63">
        <v>290.0</v>
      </c>
      <c r="C146" s="47">
        <v>0.045</v>
      </c>
      <c r="D146" s="47">
        <v>0.56</v>
      </c>
      <c r="E146" s="47">
        <v>0.0</v>
      </c>
      <c r="F146" s="47">
        <v>0.395</v>
      </c>
      <c r="G146" s="47">
        <v>1.0</v>
      </c>
      <c r="H146" s="47">
        <v>0.0</v>
      </c>
      <c r="I146" s="47">
        <v>0.0</v>
      </c>
      <c r="J146" s="47">
        <v>0.0</v>
      </c>
      <c r="K146" s="48">
        <v>0.13</v>
      </c>
      <c r="L146" s="65" t="s">
        <v>79</v>
      </c>
      <c r="M146" s="33"/>
      <c r="N146" s="75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42"/>
      <c r="Z146" s="24"/>
      <c r="AA146" s="24"/>
    </row>
    <row r="147" ht="15.75" customHeight="1">
      <c r="A147" s="80" t="s">
        <v>376</v>
      </c>
      <c r="B147" s="26">
        <v>0.0</v>
      </c>
      <c r="C147" s="27">
        <v>0.09</v>
      </c>
      <c r="D147" s="27">
        <v>0.0</v>
      </c>
      <c r="E147" s="27">
        <v>0.0</v>
      </c>
      <c r="F147" s="27">
        <v>0.03</v>
      </c>
      <c r="G147" s="27">
        <v>0.12</v>
      </c>
      <c r="H147" s="27">
        <v>0.88</v>
      </c>
      <c r="I147" s="27">
        <v>0.13</v>
      </c>
      <c r="J147" s="27">
        <v>0.16</v>
      </c>
      <c r="K147" s="30">
        <v>0.0</v>
      </c>
      <c r="L147" s="54" t="s">
        <v>32</v>
      </c>
      <c r="M147" s="33"/>
      <c r="N147" s="75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42"/>
      <c r="Z147" s="24"/>
      <c r="AA147" s="24"/>
    </row>
    <row r="148" ht="15.75" customHeight="1">
      <c r="A148" s="45" t="s">
        <v>377</v>
      </c>
      <c r="B148" s="46">
        <v>0.0</v>
      </c>
      <c r="C148" s="47">
        <v>0.06</v>
      </c>
      <c r="D148" s="47">
        <v>0.0</v>
      </c>
      <c r="E148" s="47">
        <v>0.0</v>
      </c>
      <c r="F148" s="47">
        <v>0.03</v>
      </c>
      <c r="G148" s="47">
        <v>0.09</v>
      </c>
      <c r="H148" s="47">
        <v>0.91</v>
      </c>
      <c r="I148" s="47">
        <v>0.13</v>
      </c>
      <c r="J148" s="47">
        <v>0.16</v>
      </c>
      <c r="K148" s="48">
        <v>0.01</v>
      </c>
      <c r="L148" s="65" t="s">
        <v>32</v>
      </c>
      <c r="M148" s="33"/>
      <c r="N148" s="75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42"/>
      <c r="Z148" s="24"/>
      <c r="AA148" s="24"/>
    </row>
    <row r="149" ht="15.75" customHeight="1">
      <c r="A149" s="25" t="s">
        <v>379</v>
      </c>
      <c r="B149" s="26">
        <v>0.0</v>
      </c>
      <c r="C149" s="27">
        <v>0.1</v>
      </c>
      <c r="D149" s="27">
        <v>0.004</v>
      </c>
      <c r="E149" s="27">
        <v>0.0</v>
      </c>
      <c r="F149" s="27">
        <v>0.032</v>
      </c>
      <c r="G149" s="27">
        <f>SUM(C149:F149)</f>
        <v>0.136</v>
      </c>
      <c r="H149" s="27">
        <f>1-G149</f>
        <v>0.864</v>
      </c>
      <c r="I149" s="27">
        <v>0.12</v>
      </c>
      <c r="J149" s="27">
        <v>0.14</v>
      </c>
      <c r="K149" s="30">
        <v>0.003</v>
      </c>
      <c r="L149" s="54" t="s">
        <v>32</v>
      </c>
      <c r="M149" s="33"/>
      <c r="N149" s="75"/>
      <c r="O149" s="154"/>
      <c r="P149" s="21"/>
      <c r="Q149" s="21"/>
      <c r="R149" s="21"/>
      <c r="S149" s="21"/>
      <c r="T149" s="21"/>
      <c r="U149" s="21"/>
      <c r="V149" s="21"/>
      <c r="W149" s="21"/>
      <c r="X149" s="21"/>
      <c r="Y149" s="42"/>
      <c r="Z149" s="24"/>
      <c r="AA149" s="24"/>
    </row>
    <row r="150" ht="15.75" customHeight="1">
      <c r="A150" s="72" t="s">
        <v>113</v>
      </c>
      <c r="B150" s="63">
        <v>38.0</v>
      </c>
      <c r="C150" s="83">
        <v>0.0</v>
      </c>
      <c r="D150" s="47">
        <v>0.0</v>
      </c>
      <c r="E150" s="47">
        <v>0.0</v>
      </c>
      <c r="F150" s="47">
        <v>0.95</v>
      </c>
      <c r="G150" s="47">
        <v>0.95</v>
      </c>
      <c r="H150" s="47">
        <v>0.05</v>
      </c>
      <c r="I150" s="83">
        <v>0.08</v>
      </c>
      <c r="J150" s="83">
        <v>0.6</v>
      </c>
      <c r="K150" s="48">
        <v>0.0</v>
      </c>
      <c r="L150" s="65" t="s">
        <v>32</v>
      </c>
      <c r="M150" s="33"/>
      <c r="N150" s="75"/>
      <c r="O150" s="154"/>
      <c r="P150" s="21"/>
      <c r="Q150" s="21"/>
      <c r="R150" s="21"/>
      <c r="S150" s="21"/>
      <c r="T150" s="21"/>
      <c r="U150" s="21"/>
      <c r="V150" s="21"/>
      <c r="W150" s="21"/>
      <c r="X150" s="21"/>
      <c r="Y150" s="42"/>
      <c r="Z150" s="24"/>
      <c r="AA150" s="24"/>
    </row>
    <row r="151" ht="15.75" customHeight="1">
      <c r="A151" s="80" t="s">
        <v>380</v>
      </c>
      <c r="B151" s="67">
        <v>40.0</v>
      </c>
      <c r="C151" s="28">
        <v>0.04</v>
      </c>
      <c r="D151" s="28">
        <v>0.07</v>
      </c>
      <c r="E151" s="28">
        <v>0.0</v>
      </c>
      <c r="F151" s="28">
        <v>0.04</v>
      </c>
      <c r="G151" s="28">
        <v>0.15</v>
      </c>
      <c r="H151" s="28">
        <v>0.85</v>
      </c>
      <c r="I151" s="28">
        <f>C151*1.2</f>
        <v>0.048</v>
      </c>
      <c r="J151" s="28">
        <f>C151*1.9</f>
        <v>0.076</v>
      </c>
      <c r="K151" s="30">
        <v>0.009</v>
      </c>
      <c r="L151" s="54" t="s">
        <v>32</v>
      </c>
      <c r="M151" s="33"/>
      <c r="N151" s="75"/>
      <c r="O151" s="154"/>
      <c r="P151" s="21"/>
      <c r="Q151" s="21"/>
      <c r="R151" s="21"/>
      <c r="S151" s="21"/>
      <c r="T151" s="21"/>
      <c r="U151" s="21"/>
      <c r="V151" s="21"/>
      <c r="W151" s="21"/>
      <c r="X151" s="21"/>
      <c r="Y151" s="42"/>
      <c r="Z151" s="24"/>
      <c r="AA151" s="24"/>
    </row>
    <row r="152" ht="15.75" customHeight="1">
      <c r="A152" s="72" t="s">
        <v>57</v>
      </c>
      <c r="B152" s="63">
        <f t="array" ref="B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$A152, 'Pré-preparos e Variegatos'!$C$2:$C$1000) * IFERROR(VLOOKUP($A152, 'Pré-preparos e Variegatos'!$M$2:$Q$100, 5, FALSE), 1), 0)</f>
        <v>12.37914692</v>
      </c>
      <c r="C152" s="83">
        <f t="array" ref="C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$A152, 'Pré-preparos e Variegatos'!$C$2:$C$1000) * IFERROR(VLOOKUP($A152, 'Pré-preparos e Variegatos'!$M$2:$Q$100, 5, FALSE), 1), 0)</f>
        <v>0.2426540284</v>
      </c>
      <c r="D152" s="47">
        <f t="array" ref="D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$A152, 'Pré-preparos e Variegatos'!$C$2:$C$1000) * IFERROR(VLOOKUP($A152, 'Pré-preparos e Variegatos'!$M$2:$Q$100, 5, FALSE), 1), 0)</f>
        <v>0.06018957346</v>
      </c>
      <c r="E152" s="47">
        <f t="array" ref="E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$A152, 'Pré-preparos e Variegatos'!$C$2:$C$1000) * IFERROR(VLOOKUP($A152, 'Pré-preparos e Variegatos'!$M$2:$Q$100, 5, FALSE), 1), 0)</f>
        <v>0.1031279621</v>
      </c>
      <c r="F152" s="47">
        <f t="array" ref="F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$A152, 'Pré-preparos e Variegatos'!$C$2:$C$1000) * IFERROR(VLOOKUP($A152, 'Pré-preparos e Variegatos'!$M$2:$Q$100, 5, FALSE), 1), 0)</f>
        <v>0.03170616114</v>
      </c>
      <c r="G152" s="47">
        <f>MIN(1, SUM(C152:F152))</f>
        <v>0.4376777251</v>
      </c>
      <c r="H152" s="47">
        <f t="shared" ref="H152:H153" si="11">1-G152</f>
        <v>0.5623222749</v>
      </c>
      <c r="I152" s="83">
        <f t="array" ref="I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$A152, 'Pré-preparos e Variegatos'!$C$2:$C$1000) * IFERROR(VLOOKUP($A152, 'Pré-preparos e Variegatos'!$M$2:$Q$100, 5, FALSE), 1), 0)</f>
        <v>0.2418199052</v>
      </c>
      <c r="J152" s="83">
        <f t="array" ref="J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$A152, 'Pré-preparos e Variegatos'!$C$2:$C$1000) * IFERROR(VLOOKUP($A152, 'Pré-preparos e Variegatos'!$M$2:$Q$100, 5, FALSE), 1), 0)</f>
        <v>0.2995260664</v>
      </c>
      <c r="K152" s="48">
        <f t="array" ref="K152">IFERROR(SUMPRODUCT(('Pré-preparos e Variegatos'!$A$2:$A$1000=$A152)*'Pré-preparos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$A152, 'Pré-preparos e Variegatos'!$C$2:$C$1000) * IFERROR(VLOOKUP($A152, 'Pré-preparos e Variegatos'!$M$2:$Q$100, 5, FALSE), 1), 0)</f>
        <v>0.06848341232</v>
      </c>
      <c r="L152" s="65" t="str">
        <f t="array" ref="L152">IF(SUMPRODUCT(('Pré-preparos e Variegatos'!$A$2:$A$1000=$A152)*(IFERROR(VLOOKUP('Pré-preparos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152" s="33"/>
      <c r="N152" s="75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42"/>
      <c r="Z152" s="24"/>
      <c r="AA152" s="24"/>
    </row>
    <row r="153" ht="15.75" customHeight="1">
      <c r="A153" s="25" t="s">
        <v>166</v>
      </c>
      <c r="B153" s="26">
        <v>0.0</v>
      </c>
      <c r="C153" s="27">
        <v>0.0</v>
      </c>
      <c r="D153" s="27">
        <v>0.0</v>
      </c>
      <c r="E153" s="27">
        <v>0.0</v>
      </c>
      <c r="F153" s="148">
        <v>0.18</v>
      </c>
      <c r="G153" s="27">
        <f>SUM(C153:F153)</f>
        <v>0.18</v>
      </c>
      <c r="H153" s="27">
        <f t="shared" si="11"/>
        <v>0.82</v>
      </c>
      <c r="I153" s="27">
        <v>0.05</v>
      </c>
      <c r="J153" s="27">
        <v>0.07</v>
      </c>
      <c r="K153" s="30">
        <v>0.0</v>
      </c>
      <c r="L153" s="54" t="s">
        <v>32</v>
      </c>
      <c r="M153" s="33"/>
      <c r="N153" s="75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42"/>
      <c r="Z153" s="24"/>
      <c r="AA153" s="24"/>
    </row>
    <row r="154" ht="15.75" customHeight="1">
      <c r="A154" s="45" t="s">
        <v>396</v>
      </c>
      <c r="B154" s="46">
        <v>0.0</v>
      </c>
      <c r="C154" s="47">
        <v>0.0</v>
      </c>
      <c r="D154" s="47">
        <v>0.24</v>
      </c>
      <c r="E154" s="47">
        <v>0.16</v>
      </c>
      <c r="F154" s="47">
        <v>0.0</v>
      </c>
      <c r="G154" s="47">
        <v>0.4</v>
      </c>
      <c r="H154" s="47">
        <v>0.6</v>
      </c>
      <c r="I154" s="47">
        <v>0.0072</v>
      </c>
      <c r="J154" s="47">
        <v>0.045</v>
      </c>
      <c r="K154" s="48">
        <v>0.085</v>
      </c>
      <c r="L154" s="65" t="s">
        <v>79</v>
      </c>
      <c r="M154" s="33"/>
      <c r="N154" s="75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42"/>
      <c r="Z154" s="24"/>
      <c r="AA154" s="24"/>
    </row>
    <row r="155" ht="15.75" customHeight="1">
      <c r="A155" s="25" t="s">
        <v>397</v>
      </c>
      <c r="B155" s="26">
        <v>0.0</v>
      </c>
      <c r="C155" s="27">
        <v>0.0</v>
      </c>
      <c r="D155" s="27">
        <v>0.13</v>
      </c>
      <c r="E155" s="27">
        <v>0.12</v>
      </c>
      <c r="F155" s="27">
        <v>0.0</v>
      </c>
      <c r="G155" s="27">
        <v>0.25</v>
      </c>
      <c r="H155" s="27">
        <v>0.75</v>
      </c>
      <c r="I155" s="27">
        <v>0.007</v>
      </c>
      <c r="J155" s="27">
        <v>0.045</v>
      </c>
      <c r="K155" s="30">
        <v>0.025</v>
      </c>
      <c r="L155" s="54" t="s">
        <v>79</v>
      </c>
      <c r="M155" s="33"/>
      <c r="N155" s="75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42"/>
      <c r="Z155" s="24"/>
      <c r="AA155" s="24"/>
    </row>
    <row r="156" ht="15.75" customHeight="1">
      <c r="A156" s="72" t="s">
        <v>398</v>
      </c>
      <c r="B156" s="46">
        <v>0.0</v>
      </c>
      <c r="C156" s="47">
        <v>0.16</v>
      </c>
      <c r="D156" s="47">
        <v>0.0</v>
      </c>
      <c r="E156" s="47">
        <v>0.0</v>
      </c>
      <c r="F156" s="47">
        <v>0.04</v>
      </c>
      <c r="G156" s="47">
        <v>0.2</v>
      </c>
      <c r="H156" s="47">
        <v>0.8</v>
      </c>
      <c r="I156" s="47">
        <v>0.16</v>
      </c>
      <c r="J156" s="47">
        <v>0.2</v>
      </c>
      <c r="K156" s="48">
        <v>0.01</v>
      </c>
      <c r="L156" s="65" t="s">
        <v>32</v>
      </c>
      <c r="M156" s="33"/>
      <c r="N156" s="75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42"/>
      <c r="Z156" s="24"/>
      <c r="AA156" s="24"/>
    </row>
    <row r="157" ht="15.75" customHeight="1">
      <c r="A157" s="80" t="s">
        <v>399</v>
      </c>
      <c r="B157" s="26">
        <v>0.0</v>
      </c>
      <c r="C157" s="27">
        <v>0.12</v>
      </c>
      <c r="D157" s="27">
        <v>0.0</v>
      </c>
      <c r="E157" s="27">
        <v>0.0</v>
      </c>
      <c r="F157" s="27">
        <v>0.0</v>
      </c>
      <c r="G157" s="27">
        <v>0.12</v>
      </c>
      <c r="H157" s="27">
        <v>0.88</v>
      </c>
      <c r="I157" s="27">
        <v>0.12</v>
      </c>
      <c r="J157" s="27">
        <v>1.3</v>
      </c>
      <c r="K157" s="30">
        <v>0.0</v>
      </c>
      <c r="L157" s="54" t="s">
        <v>32</v>
      </c>
      <c r="M157" s="33"/>
      <c r="N157" s="75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42"/>
      <c r="Z157" s="24"/>
      <c r="AA157" s="24"/>
    </row>
    <row r="158" ht="15.75" customHeight="1">
      <c r="A158" s="45" t="s">
        <v>141</v>
      </c>
      <c r="B158" s="63">
        <v>3.5</v>
      </c>
      <c r="C158" s="47">
        <v>0.0</v>
      </c>
      <c r="D158" s="47">
        <v>0.0</v>
      </c>
      <c r="E158" s="47">
        <v>0.0</v>
      </c>
      <c r="F158" s="47">
        <v>1.0</v>
      </c>
      <c r="G158" s="47">
        <v>1.0</v>
      </c>
      <c r="H158" s="47">
        <v>0.0</v>
      </c>
      <c r="I158" s="47">
        <v>0.0</v>
      </c>
      <c r="J158" s="47">
        <v>3.0</v>
      </c>
      <c r="K158" s="48">
        <v>0.0</v>
      </c>
      <c r="L158" s="65" t="s">
        <v>32</v>
      </c>
      <c r="M158" s="33"/>
      <c r="N158" s="75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42"/>
      <c r="Z158" s="24"/>
      <c r="AA158" s="24"/>
    </row>
    <row r="159" ht="15.75" customHeight="1">
      <c r="A159" s="80" t="s">
        <v>140</v>
      </c>
      <c r="B159" s="67">
        <v>120.0</v>
      </c>
      <c r="C159" s="27">
        <v>0.0</v>
      </c>
      <c r="D159" s="27">
        <v>0.0</v>
      </c>
      <c r="E159" s="27">
        <v>0.0</v>
      </c>
      <c r="F159" s="148">
        <v>1.0</v>
      </c>
      <c r="G159" s="27">
        <f>SUM(C159:F159)</f>
        <v>1</v>
      </c>
      <c r="H159" s="27">
        <f>1-G159</f>
        <v>0</v>
      </c>
      <c r="I159" s="28">
        <v>30.0</v>
      </c>
      <c r="J159" s="28">
        <v>0.0</v>
      </c>
      <c r="K159" s="104">
        <v>0.0</v>
      </c>
      <c r="L159" s="54" t="s">
        <v>32</v>
      </c>
      <c r="M159" s="33"/>
      <c r="N159" s="75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42"/>
      <c r="Z159" s="24"/>
      <c r="AA159" s="24"/>
    </row>
    <row r="160" ht="15.75" customHeight="1">
      <c r="A160" s="45" t="s">
        <v>162</v>
      </c>
      <c r="B160" s="63">
        <v>13.0</v>
      </c>
      <c r="C160" s="47">
        <v>0.02</v>
      </c>
      <c r="D160" s="47">
        <v>0.0</v>
      </c>
      <c r="E160" s="47">
        <v>0.0</v>
      </c>
      <c r="F160" s="47">
        <v>0.06</v>
      </c>
      <c r="G160" s="47">
        <v>0.08</v>
      </c>
      <c r="H160" s="47">
        <v>0.92</v>
      </c>
      <c r="I160" s="47">
        <v>0.03</v>
      </c>
      <c r="J160" s="47">
        <v>0.032</v>
      </c>
      <c r="K160" s="48">
        <v>0.0</v>
      </c>
      <c r="L160" s="65" t="s">
        <v>32</v>
      </c>
      <c r="M160" s="33"/>
      <c r="N160" s="75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42"/>
      <c r="Z160" s="24"/>
      <c r="AA160" s="24"/>
    </row>
    <row r="161" ht="15.75" customHeight="1">
      <c r="A161" s="80" t="s">
        <v>401</v>
      </c>
      <c r="B161" s="67">
        <v>220.0</v>
      </c>
      <c r="C161" s="27">
        <v>0.0</v>
      </c>
      <c r="D161" s="27">
        <v>0.0</v>
      </c>
      <c r="E161" s="27">
        <v>0.0</v>
      </c>
      <c r="F161" s="148">
        <v>1.0</v>
      </c>
      <c r="G161" s="27">
        <f>SUM(C161:F161)</f>
        <v>1</v>
      </c>
      <c r="H161" s="28">
        <f>1-G161</f>
        <v>0</v>
      </c>
      <c r="I161" s="28">
        <v>60.0</v>
      </c>
      <c r="J161" s="28">
        <v>0.0</v>
      </c>
      <c r="K161" s="30">
        <v>0.0</v>
      </c>
      <c r="L161" s="54" t="s">
        <v>32</v>
      </c>
      <c r="M161" s="33"/>
      <c r="N161" s="75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42"/>
      <c r="Z161" s="24"/>
      <c r="AA161" s="24"/>
    </row>
    <row r="162" ht="15.75" customHeight="1">
      <c r="A162" s="45" t="s">
        <v>402</v>
      </c>
      <c r="B162" s="46">
        <v>0.0</v>
      </c>
      <c r="C162" s="47">
        <v>0.63</v>
      </c>
      <c r="D162" s="47">
        <v>0.01</v>
      </c>
      <c r="E162" s="47">
        <v>0.0</v>
      </c>
      <c r="F162" s="47">
        <v>0.19</v>
      </c>
      <c r="G162" s="47">
        <v>0.8300000000000001</v>
      </c>
      <c r="H162" s="47">
        <v>0.17</v>
      </c>
      <c r="I162" s="47">
        <v>0.76</v>
      </c>
      <c r="J162" s="47">
        <v>0.92</v>
      </c>
      <c r="K162" s="48">
        <v>0.03</v>
      </c>
      <c r="L162" s="65" t="s">
        <v>32</v>
      </c>
      <c r="M162" s="33"/>
      <c r="N162" s="75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42"/>
      <c r="Z162" s="24"/>
      <c r="AA162" s="24"/>
    </row>
    <row r="163" ht="15.75" customHeight="1">
      <c r="A163" s="25" t="s">
        <v>403</v>
      </c>
      <c r="B163" s="26">
        <v>0.0</v>
      </c>
      <c r="C163" s="27">
        <v>0.04</v>
      </c>
      <c r="D163" s="27">
        <v>0.0</v>
      </c>
      <c r="E163" s="27">
        <v>0.0</v>
      </c>
      <c r="F163" s="27">
        <v>0.02</v>
      </c>
      <c r="G163" s="27">
        <v>0.06</v>
      </c>
      <c r="H163" s="27">
        <v>0.94</v>
      </c>
      <c r="I163" s="27">
        <v>0.05</v>
      </c>
      <c r="J163" s="27">
        <v>0.06</v>
      </c>
      <c r="K163" s="30">
        <v>0.0</v>
      </c>
      <c r="L163" s="54" t="s">
        <v>32</v>
      </c>
      <c r="M163" s="33"/>
      <c r="N163" s="75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42"/>
      <c r="Z163" s="24"/>
      <c r="AA163" s="24"/>
    </row>
    <row r="164" ht="15.75" customHeight="1">
      <c r="A164" s="45" t="s">
        <v>404</v>
      </c>
      <c r="B164" s="46">
        <v>0.0</v>
      </c>
      <c r="C164" s="47">
        <v>0.52</v>
      </c>
      <c r="D164" s="47">
        <v>0.26</v>
      </c>
      <c r="E164" s="47">
        <v>0.0</v>
      </c>
      <c r="F164" s="47">
        <v>0.15</v>
      </c>
      <c r="G164" s="47">
        <v>0.93</v>
      </c>
      <c r="H164" s="47">
        <v>0.07</v>
      </c>
      <c r="I164" s="47">
        <v>0.55</v>
      </c>
      <c r="J164" s="47">
        <v>0.55</v>
      </c>
      <c r="K164" s="48">
        <v>0.11</v>
      </c>
      <c r="L164" s="65" t="s">
        <v>79</v>
      </c>
      <c r="M164" s="33"/>
      <c r="N164" s="75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42"/>
      <c r="Z164" s="24"/>
      <c r="AA164" s="24"/>
    </row>
    <row r="165" ht="15.75" customHeight="1">
      <c r="A165" s="25" t="s">
        <v>405</v>
      </c>
      <c r="B165" s="26">
        <v>0.0</v>
      </c>
      <c r="C165" s="27">
        <v>0.16</v>
      </c>
      <c r="D165" s="27">
        <v>0.0</v>
      </c>
      <c r="E165" s="27">
        <v>0.0</v>
      </c>
      <c r="F165" s="27">
        <v>0.05</v>
      </c>
      <c r="G165" s="27">
        <v>0.21</v>
      </c>
      <c r="H165" s="27">
        <v>0.79</v>
      </c>
      <c r="I165" s="27">
        <v>0.21</v>
      </c>
      <c r="J165" s="27">
        <v>0.25</v>
      </c>
      <c r="K165" s="30">
        <v>0.01</v>
      </c>
      <c r="L165" s="54" t="s">
        <v>32</v>
      </c>
      <c r="M165" s="33"/>
      <c r="N165" s="75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42"/>
      <c r="Z165" s="24"/>
      <c r="AA165" s="24"/>
    </row>
    <row r="166" ht="15.75" customHeight="1">
      <c r="A166" s="72" t="s">
        <v>324</v>
      </c>
      <c r="B166" s="88">
        <v>180.0</v>
      </c>
      <c r="C166" s="83">
        <v>0.0</v>
      </c>
      <c r="D166" s="47">
        <v>0.06666666666666667</v>
      </c>
      <c r="E166" s="47">
        <v>0.9066666666666667</v>
      </c>
      <c r="F166" s="83">
        <v>0.0</v>
      </c>
      <c r="G166" s="83">
        <f>SUM(C166:F166)</f>
        <v>0.9733333333</v>
      </c>
      <c r="H166" s="83">
        <f t="shared" ref="H166:H167" si="12">1-G166</f>
        <v>0.02666666667</v>
      </c>
      <c r="I166" s="150">
        <v>0.01</v>
      </c>
      <c r="J166" s="83">
        <v>0.14</v>
      </c>
      <c r="K166" s="85">
        <v>0.8</v>
      </c>
      <c r="L166" s="65" t="s">
        <v>79</v>
      </c>
      <c r="M166" s="33"/>
      <c r="N166" s="75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42"/>
      <c r="Z166" s="24"/>
      <c r="AA166" s="24"/>
    </row>
    <row r="167" ht="15.75" customHeight="1">
      <c r="A167" s="80" t="s">
        <v>406</v>
      </c>
      <c r="B167" s="67">
        <v>0.0</v>
      </c>
      <c r="C167" s="28">
        <v>0.8</v>
      </c>
      <c r="D167" s="28">
        <v>0.0</v>
      </c>
      <c r="E167" s="28">
        <v>0.0</v>
      </c>
      <c r="F167" s="28">
        <v>0.0</v>
      </c>
      <c r="G167" s="27">
        <f>C167</f>
        <v>0.8</v>
      </c>
      <c r="H167" s="27">
        <f t="shared" si="12"/>
        <v>0.2</v>
      </c>
      <c r="I167" s="28">
        <v>0.8</v>
      </c>
      <c r="J167" s="28">
        <v>0.8</v>
      </c>
      <c r="K167" s="30">
        <v>0.0</v>
      </c>
      <c r="L167" s="54" t="s">
        <v>32</v>
      </c>
      <c r="M167" s="33"/>
      <c r="N167" s="75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42"/>
      <c r="Z167" s="24"/>
      <c r="AA167" s="24"/>
    </row>
    <row r="168" ht="15.75" customHeight="1">
      <c r="A168" s="72" t="s">
        <v>407</v>
      </c>
      <c r="B168" s="63">
        <v>30.0</v>
      </c>
      <c r="C168" s="47">
        <v>1.0</v>
      </c>
      <c r="D168" s="83">
        <v>0.0</v>
      </c>
      <c r="E168" s="47">
        <v>0.0</v>
      </c>
      <c r="F168" s="47">
        <v>0.0</v>
      </c>
      <c r="G168" s="47">
        <v>1.0</v>
      </c>
      <c r="H168" s="47">
        <v>0.0</v>
      </c>
      <c r="I168" s="83">
        <v>1.0</v>
      </c>
      <c r="J168" s="83">
        <v>2.25</v>
      </c>
      <c r="K168" s="48">
        <v>0.0</v>
      </c>
      <c r="L168" s="65" t="s">
        <v>32</v>
      </c>
      <c r="M168" s="33"/>
      <c r="N168" s="75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42"/>
      <c r="Z168" s="24"/>
      <c r="AA168" s="24"/>
    </row>
    <row r="169" ht="15.75" customHeight="1">
      <c r="A169" s="25" t="s">
        <v>103</v>
      </c>
      <c r="B169" s="26">
        <f t="array" ref="B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$A169, 'Pré-preparos e Variegatos'!$C$2:$C$1000) * IFERROR(VLOOKUP($A169, 'Pré-preparos e Variegatos'!$M$2:$Q$100, 5, FALSE), 1), 0)</f>
        <v>35.69</v>
      </c>
      <c r="C169" s="28">
        <f t="array" ref="C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$A169, 'Pré-preparos e Variegatos'!$C$2:$C$1000) * IFERROR(VLOOKUP($A169, 'Pré-preparos e Variegatos'!$M$2:$Q$100, 5, FALSE), 1), 0)</f>
        <v>0.245</v>
      </c>
      <c r="D169" s="28">
        <f t="array" ref="D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$A169, 'Pré-preparos e Variegatos'!$C$2:$C$1000) * IFERROR(VLOOKUP($A169, 'Pré-preparos e Variegatos'!$M$2:$Q$100, 5, FALSE), 1), 0)</f>
        <v>0</v>
      </c>
      <c r="E169" s="27">
        <f t="array" ref="E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$A169, 'Pré-preparos e Variegatos'!$C$2:$C$1000) * IFERROR(VLOOKUP($A169, 'Pré-preparos e Variegatos'!$M$2:$Q$100, 5, FALSE), 1), 0)</f>
        <v>0</v>
      </c>
      <c r="F169" s="28">
        <f t="array" ref="F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$A169, 'Pré-preparos e Variegatos'!$C$2:$C$1000) * IFERROR(VLOOKUP($A169, 'Pré-preparos e Variegatos'!$M$2:$Q$100, 5, FALSE), 1), 0)</f>
        <v>0.7185</v>
      </c>
      <c r="G169" s="27">
        <f>MIN(1, SUM(C169:F169))</f>
        <v>0.9635</v>
      </c>
      <c r="H169" s="28">
        <f>1-G169</f>
        <v>0.0365</v>
      </c>
      <c r="I169" s="27">
        <f t="array" ref="I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$A169, 'Pré-preparos e Variegatos'!$C$2:$C$1000) * IFERROR(VLOOKUP($A169, 'Pré-preparos e Variegatos'!$M$2:$Q$100, 5, FALSE), 1), 0)</f>
        <v>0.3799</v>
      </c>
      <c r="J169" s="27">
        <f t="array" ref="J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$A169, 'Pré-preparos e Variegatos'!$C$2:$C$1000) * IFERROR(VLOOKUP($A169, 'Pré-preparos e Variegatos'!$M$2:$Q$100, 5, FALSE), 1), 0)</f>
        <v>1.184</v>
      </c>
      <c r="K169" s="30">
        <f t="array" ref="K169">IFERROR(SUMPRODUCT(('Pré-preparos e Variegatos'!$A$2:$A$1000=$A169)*'Pré-preparos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$A169, 'Pré-preparos e Variegatos'!$C$2:$C$1000) * IFERROR(VLOOKUP($A169, 'Pré-preparos e Variegatos'!$M$2:$Q$100, 5, FALSE), 1), 0)</f>
        <v>0</v>
      </c>
      <c r="L169" s="54" t="str">
        <f t="array" ref="L169">IF(SUMPRODUCT(('Pré-preparos e Variegatos'!$A$2:$A$1000=$A169)*(IFERROR(VLOOKUP('Pré-preparos e Variegatos'!$B$2:$B$1000, VSTACK($A$5:$L$23, $A$28:$L$31, $A$33:$L$58, $A$60:$L$96, $A$99:$L$137, $A$139:$L$140, $A$142:$L$151, $A$153:$L$168, $A$170:$L$188, $A$194:$L$500), 12, 0), "Não")="Sim"))&gt;0, "Sim", "Não")</f>
        <v>Não</v>
      </c>
      <c r="M169" s="33"/>
      <c r="N169" s="75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42"/>
      <c r="Z169" s="24"/>
      <c r="AA169" s="24"/>
    </row>
    <row r="170" ht="15.75" customHeight="1">
      <c r="A170" s="45" t="s">
        <v>419</v>
      </c>
      <c r="B170" s="46">
        <v>30.0</v>
      </c>
      <c r="C170" s="47">
        <v>0.06</v>
      </c>
      <c r="D170" s="47">
        <v>0.01</v>
      </c>
      <c r="E170" s="47">
        <v>0.0</v>
      </c>
      <c r="F170" s="47">
        <v>0.04</v>
      </c>
      <c r="G170" s="47">
        <v>0.11</v>
      </c>
      <c r="H170" s="47">
        <v>0.89</v>
      </c>
      <c r="I170" s="47">
        <v>0.08</v>
      </c>
      <c r="J170" s="47">
        <v>0.1</v>
      </c>
      <c r="K170" s="48">
        <v>0.01</v>
      </c>
      <c r="L170" s="65" t="s">
        <v>32</v>
      </c>
      <c r="M170" s="33"/>
      <c r="N170" s="75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42"/>
      <c r="Z170" s="24"/>
      <c r="AA170" s="24"/>
    </row>
    <row r="171" ht="15.75" customHeight="1">
      <c r="A171" s="25" t="s">
        <v>420</v>
      </c>
      <c r="B171" s="26">
        <v>110.0</v>
      </c>
      <c r="C171" s="27">
        <v>0.18</v>
      </c>
      <c r="D171" s="27">
        <v>0.13</v>
      </c>
      <c r="E171" s="27">
        <v>0.03</v>
      </c>
      <c r="F171" s="27">
        <v>0.0</v>
      </c>
      <c r="G171" s="27">
        <v>0.34</v>
      </c>
      <c r="H171" s="27">
        <v>0.66</v>
      </c>
      <c r="I171" s="27">
        <v>0.18</v>
      </c>
      <c r="J171" s="27">
        <v>1.18</v>
      </c>
      <c r="K171" s="30">
        <v>0.03</v>
      </c>
      <c r="L171" s="54" t="s">
        <v>79</v>
      </c>
      <c r="M171" s="33"/>
      <c r="N171" s="75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42"/>
      <c r="Z171" s="24"/>
      <c r="AA171" s="24"/>
    </row>
    <row r="172" ht="15.75" customHeight="1">
      <c r="A172" s="45" t="s">
        <v>421</v>
      </c>
      <c r="B172" s="46">
        <v>100.0</v>
      </c>
      <c r="C172" s="47">
        <v>0.0</v>
      </c>
      <c r="D172" s="47">
        <v>0.0</v>
      </c>
      <c r="E172" s="47">
        <v>0.0</v>
      </c>
      <c r="F172" s="47">
        <v>0.0</v>
      </c>
      <c r="G172" s="47">
        <v>0.0</v>
      </c>
      <c r="H172" s="47">
        <v>1.0</v>
      </c>
      <c r="I172" s="47">
        <v>0.0</v>
      </c>
      <c r="J172" s="47">
        <v>2.0</v>
      </c>
      <c r="K172" s="48">
        <v>0.0</v>
      </c>
      <c r="L172" s="65" t="s">
        <v>32</v>
      </c>
      <c r="M172" s="33"/>
      <c r="N172" s="75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42"/>
      <c r="Z172" s="24"/>
      <c r="AA172" s="24"/>
    </row>
    <row r="173" ht="15.75" customHeight="1">
      <c r="A173" s="25" t="s">
        <v>422</v>
      </c>
      <c r="B173" s="26">
        <v>50.0</v>
      </c>
      <c r="C173" s="27">
        <v>0.01</v>
      </c>
      <c r="D173" s="27">
        <v>0.0</v>
      </c>
      <c r="E173" s="27">
        <v>0.0</v>
      </c>
      <c r="F173" s="27">
        <v>0.0</v>
      </c>
      <c r="G173" s="27">
        <v>0.01</v>
      </c>
      <c r="H173" s="27">
        <v>0.99</v>
      </c>
      <c r="I173" s="27">
        <v>0.01</v>
      </c>
      <c r="J173" s="27">
        <v>0.9</v>
      </c>
      <c r="K173" s="30">
        <v>0.0</v>
      </c>
      <c r="L173" s="54" t="s">
        <v>32</v>
      </c>
      <c r="M173" s="33"/>
      <c r="N173" s="75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42"/>
      <c r="Z173" s="24"/>
      <c r="AA173" s="24"/>
    </row>
    <row r="174" ht="15.75" customHeight="1">
      <c r="A174" s="45" t="s">
        <v>183</v>
      </c>
      <c r="B174" s="46">
        <v>90.0</v>
      </c>
      <c r="C174" s="47">
        <v>0.0</v>
      </c>
      <c r="D174" s="47">
        <v>0.32</v>
      </c>
      <c r="E174" s="47">
        <v>0.21</v>
      </c>
      <c r="F174" s="47">
        <v>0.02</v>
      </c>
      <c r="G174" s="47">
        <v>0.55</v>
      </c>
      <c r="H174" s="47">
        <v>0.45</v>
      </c>
      <c r="I174" s="47">
        <v>0.0</v>
      </c>
      <c r="J174" s="47">
        <v>0.05</v>
      </c>
      <c r="K174" s="48">
        <v>0.21</v>
      </c>
      <c r="L174" s="65" t="s">
        <v>79</v>
      </c>
      <c r="M174" s="33"/>
      <c r="N174" s="75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42"/>
      <c r="Z174" s="24"/>
      <c r="AA174" s="24"/>
    </row>
    <row r="175" ht="15.75" customHeight="1">
      <c r="A175" s="25" t="s">
        <v>309</v>
      </c>
      <c r="B175" s="26">
        <v>95.0</v>
      </c>
      <c r="C175" s="27">
        <v>0.0</v>
      </c>
      <c r="D175" s="27">
        <v>0.28</v>
      </c>
      <c r="E175" s="27">
        <v>0.2</v>
      </c>
      <c r="F175" s="27">
        <v>0.0</v>
      </c>
      <c r="G175" s="27">
        <v>0.48</v>
      </c>
      <c r="H175" s="27">
        <v>0.52</v>
      </c>
      <c r="I175" s="27">
        <v>0.0</v>
      </c>
      <c r="J175" s="27">
        <v>0.0</v>
      </c>
      <c r="K175" s="30">
        <v>0.2</v>
      </c>
      <c r="L175" s="54" t="s">
        <v>79</v>
      </c>
      <c r="M175" s="33"/>
      <c r="N175" s="75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42"/>
      <c r="Z175" s="24"/>
      <c r="AA175" s="24"/>
    </row>
    <row r="176" ht="15.75" customHeight="1">
      <c r="A176" s="45" t="s">
        <v>423</v>
      </c>
      <c r="B176" s="46">
        <v>12.0</v>
      </c>
      <c r="C176" s="47">
        <v>0.02</v>
      </c>
      <c r="D176" s="47">
        <v>0.01</v>
      </c>
      <c r="E176" s="47">
        <v>0.0</v>
      </c>
      <c r="F176" s="47">
        <v>0.07</v>
      </c>
      <c r="G176" s="47">
        <v>0.1</v>
      </c>
      <c r="H176" s="47">
        <v>0.9</v>
      </c>
      <c r="I176" s="47">
        <v>0.01</v>
      </c>
      <c r="J176" s="47">
        <v>0.02</v>
      </c>
      <c r="K176" s="48">
        <v>0.02</v>
      </c>
      <c r="L176" s="65" t="s">
        <v>79</v>
      </c>
      <c r="M176" s="33"/>
      <c r="N176" s="75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42"/>
      <c r="Z176" s="24"/>
      <c r="AA176" s="24"/>
    </row>
    <row r="177" ht="15.75" customHeight="1">
      <c r="A177" s="25" t="s">
        <v>424</v>
      </c>
      <c r="B177" s="26">
        <v>0.0</v>
      </c>
      <c r="C177" s="27">
        <v>0.13</v>
      </c>
      <c r="D177" s="27">
        <v>0.0</v>
      </c>
      <c r="E177" s="27">
        <v>0.0</v>
      </c>
      <c r="F177" s="27">
        <v>0.03</v>
      </c>
      <c r="G177" s="27">
        <v>0.16</v>
      </c>
      <c r="H177" s="27">
        <v>0.84</v>
      </c>
      <c r="I177" s="27">
        <v>0.15</v>
      </c>
      <c r="J177" s="27">
        <v>0.18</v>
      </c>
      <c r="K177" s="30">
        <v>0.01</v>
      </c>
      <c r="L177" s="54" t="s">
        <v>32</v>
      </c>
      <c r="M177" s="33"/>
      <c r="N177" s="75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42"/>
      <c r="Z177" s="24"/>
      <c r="AA177" s="24"/>
    </row>
    <row r="178" ht="15.75" customHeight="1">
      <c r="A178" s="45" t="s">
        <v>425</v>
      </c>
      <c r="B178" s="46">
        <v>0.0</v>
      </c>
      <c r="C178" s="47">
        <v>0.09</v>
      </c>
      <c r="D178" s="47">
        <v>0.0</v>
      </c>
      <c r="E178" s="47">
        <v>0.0</v>
      </c>
      <c r="F178" s="47">
        <v>0.04</v>
      </c>
      <c r="G178" s="47">
        <v>0.13</v>
      </c>
      <c r="H178" s="47">
        <v>0.87</v>
      </c>
      <c r="I178" s="47">
        <v>0.11</v>
      </c>
      <c r="J178" s="47">
        <v>0.14</v>
      </c>
      <c r="K178" s="48">
        <v>0.01</v>
      </c>
      <c r="L178" s="65" t="s">
        <v>32</v>
      </c>
      <c r="M178" s="33"/>
      <c r="N178" s="75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42"/>
      <c r="Z178" s="24"/>
      <c r="AA178" s="24"/>
    </row>
    <row r="179" ht="15.75" customHeight="1">
      <c r="A179" s="25" t="s">
        <v>327</v>
      </c>
      <c r="B179" s="26">
        <v>0.0</v>
      </c>
      <c r="C179" s="27">
        <v>0.04</v>
      </c>
      <c r="D179" s="27">
        <v>0.0</v>
      </c>
      <c r="E179" s="27">
        <v>0.0</v>
      </c>
      <c r="F179" s="27">
        <v>0.06</v>
      </c>
      <c r="G179" s="27">
        <v>0.1</v>
      </c>
      <c r="H179" s="27">
        <v>0.9</v>
      </c>
      <c r="I179" s="27">
        <v>0.04</v>
      </c>
      <c r="J179" s="27">
        <v>0.05</v>
      </c>
      <c r="K179" s="30">
        <v>0.01</v>
      </c>
      <c r="L179" s="54" t="s">
        <v>32</v>
      </c>
      <c r="M179" s="33"/>
      <c r="N179" s="75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42"/>
      <c r="Z179" s="24"/>
      <c r="AA179" s="24"/>
    </row>
    <row r="180" ht="15.75" customHeight="1">
      <c r="A180" s="45" t="s">
        <v>193</v>
      </c>
      <c r="B180" s="46">
        <v>15.0</v>
      </c>
      <c r="C180" s="47">
        <v>0.06</v>
      </c>
      <c r="D180" s="47">
        <v>0.01</v>
      </c>
      <c r="E180" s="47">
        <v>0.0</v>
      </c>
      <c r="F180" s="47">
        <v>0.18</v>
      </c>
      <c r="G180" s="47">
        <v>0.25</v>
      </c>
      <c r="H180" s="47">
        <v>0.75</v>
      </c>
      <c r="I180" s="47">
        <v>0.06</v>
      </c>
      <c r="J180" s="47">
        <v>0.06</v>
      </c>
      <c r="K180" s="48">
        <v>0.03</v>
      </c>
      <c r="L180" s="65" t="s">
        <v>32</v>
      </c>
      <c r="M180" s="33"/>
      <c r="N180" s="75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42"/>
      <c r="Z180" s="24"/>
      <c r="AA180" s="24"/>
    </row>
    <row r="181" ht="15.75" customHeight="1">
      <c r="A181" s="25" t="s">
        <v>426</v>
      </c>
      <c r="B181" s="26">
        <v>45.0</v>
      </c>
      <c r="C181" s="27">
        <v>0.38</v>
      </c>
      <c r="D181" s="27">
        <v>0.0</v>
      </c>
      <c r="E181" s="27">
        <v>0.0</v>
      </c>
      <c r="F181" s="27">
        <v>0.31</v>
      </c>
      <c r="G181" s="27">
        <v>0.69</v>
      </c>
      <c r="H181" s="27">
        <v>0.31</v>
      </c>
      <c r="I181" s="27">
        <v>0.45</v>
      </c>
      <c r="J181" s="27">
        <v>0.65</v>
      </c>
      <c r="K181" s="30">
        <v>0.02</v>
      </c>
      <c r="L181" s="54" t="s">
        <v>32</v>
      </c>
      <c r="M181" s="33"/>
      <c r="N181" s="75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42"/>
      <c r="Z181" s="24"/>
      <c r="AA181" s="24"/>
    </row>
    <row r="182" ht="15.75" customHeight="1">
      <c r="A182" s="45" t="s">
        <v>427</v>
      </c>
      <c r="B182" s="46">
        <v>15.0</v>
      </c>
      <c r="C182" s="47">
        <v>0.01</v>
      </c>
      <c r="D182" s="47">
        <v>0.07</v>
      </c>
      <c r="E182" s="47">
        <v>0.0</v>
      </c>
      <c r="F182" s="47">
        <v>0.82</v>
      </c>
      <c r="G182" s="47">
        <v>0.9</v>
      </c>
      <c r="H182" s="47">
        <v>0.1</v>
      </c>
      <c r="I182" s="47">
        <v>0.01</v>
      </c>
      <c r="J182" s="47">
        <v>0.01</v>
      </c>
      <c r="K182" s="48">
        <v>0.14</v>
      </c>
      <c r="L182" s="65" t="s">
        <v>79</v>
      </c>
      <c r="M182" s="33"/>
      <c r="N182" s="75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42"/>
      <c r="Z182" s="24"/>
      <c r="AA182" s="24"/>
    </row>
    <row r="183" ht="15.75" customHeight="1">
      <c r="A183" s="25" t="s">
        <v>197</v>
      </c>
      <c r="B183" s="26">
        <v>35.0</v>
      </c>
      <c r="C183" s="27">
        <v>0.37</v>
      </c>
      <c r="D183" s="27">
        <v>0.0</v>
      </c>
      <c r="E183" s="27">
        <v>0.0</v>
      </c>
      <c r="F183" s="27">
        <v>0.58</v>
      </c>
      <c r="G183" s="27">
        <v>0.95</v>
      </c>
      <c r="H183" s="27">
        <v>0.05</v>
      </c>
      <c r="I183" s="27">
        <v>0.37</v>
      </c>
      <c r="J183" s="27">
        <v>0.37</v>
      </c>
      <c r="K183" s="30">
        <v>0.05</v>
      </c>
      <c r="L183" s="54" t="s">
        <v>79</v>
      </c>
      <c r="M183" s="33"/>
      <c r="N183" s="75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42"/>
      <c r="Z183" s="24"/>
      <c r="AA183" s="24"/>
    </row>
    <row r="184" ht="15.75" customHeight="1">
      <c r="A184" s="45" t="s">
        <v>176</v>
      </c>
      <c r="B184" s="46">
        <v>35.0</v>
      </c>
      <c r="C184" s="47">
        <v>0.75</v>
      </c>
      <c r="D184" s="47">
        <v>0.03</v>
      </c>
      <c r="E184" s="47">
        <v>0.05</v>
      </c>
      <c r="F184" s="47">
        <v>0.14</v>
      </c>
      <c r="G184" s="47">
        <v>0.97</v>
      </c>
      <c r="H184" s="47">
        <v>0.03</v>
      </c>
      <c r="I184" s="47">
        <v>0.75</v>
      </c>
      <c r="J184" s="47">
        <v>0.8</v>
      </c>
      <c r="K184" s="48">
        <v>0.04</v>
      </c>
      <c r="L184" s="65" t="s">
        <v>79</v>
      </c>
      <c r="M184" s="33"/>
      <c r="N184" s="75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42"/>
      <c r="Z184" s="24"/>
      <c r="AA184" s="24"/>
    </row>
    <row r="185" ht="15.75" customHeight="1">
      <c r="A185" s="25" t="s">
        <v>188</v>
      </c>
      <c r="B185" s="26">
        <v>60.0</v>
      </c>
      <c r="C185" s="27">
        <v>0.06</v>
      </c>
      <c r="D185" s="27">
        <v>0.06</v>
      </c>
      <c r="E185" s="27">
        <v>0.0</v>
      </c>
      <c r="F185" s="27">
        <v>0.38</v>
      </c>
      <c r="G185" s="27">
        <v>0.5</v>
      </c>
      <c r="H185" s="27">
        <v>0.5</v>
      </c>
      <c r="I185" s="27">
        <v>0.06</v>
      </c>
      <c r="J185" s="27">
        <v>2.5</v>
      </c>
      <c r="K185" s="30">
        <v>0.12</v>
      </c>
      <c r="L185" s="54" t="s">
        <v>79</v>
      </c>
      <c r="M185" s="33"/>
      <c r="N185" s="75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42"/>
      <c r="Z185" s="24"/>
      <c r="AA185" s="24"/>
    </row>
    <row r="186" ht="15.75" customHeight="1">
      <c r="A186" s="45" t="s">
        <v>169</v>
      </c>
      <c r="B186" s="46">
        <v>18.0</v>
      </c>
      <c r="C186" s="47">
        <v>0.98</v>
      </c>
      <c r="D186" s="47">
        <v>0.0</v>
      </c>
      <c r="E186" s="47">
        <v>0.0</v>
      </c>
      <c r="F186" s="47">
        <v>0.0</v>
      </c>
      <c r="G186" s="47">
        <v>0.98</v>
      </c>
      <c r="H186" s="47">
        <v>0.02</v>
      </c>
      <c r="I186" s="47">
        <v>0.99</v>
      </c>
      <c r="J186" s="47">
        <v>1.03</v>
      </c>
      <c r="K186" s="48">
        <v>0.0</v>
      </c>
      <c r="L186" s="65" t="s">
        <v>32</v>
      </c>
      <c r="M186" s="33"/>
      <c r="N186" s="75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42"/>
      <c r="Z186" s="24"/>
      <c r="AA186" s="24"/>
    </row>
    <row r="187" ht="15.75" customHeight="1">
      <c r="A187" s="25" t="s">
        <v>431</v>
      </c>
      <c r="B187" s="26">
        <v>45.0</v>
      </c>
      <c r="C187" s="27">
        <v>0.22</v>
      </c>
      <c r="D187" s="27">
        <v>0.12</v>
      </c>
      <c r="E187" s="27">
        <v>0.04</v>
      </c>
      <c r="F187" s="27">
        <v>0.42</v>
      </c>
      <c r="G187" s="27">
        <v>0.8</v>
      </c>
      <c r="H187" s="27">
        <v>0.2</v>
      </c>
      <c r="I187" s="27">
        <v>0.22</v>
      </c>
      <c r="J187" s="27">
        <v>0.25</v>
      </c>
      <c r="K187" s="30">
        <v>0.07</v>
      </c>
      <c r="L187" s="54" t="s">
        <v>79</v>
      </c>
      <c r="M187" s="33"/>
      <c r="N187" s="75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42"/>
      <c r="Z187" s="24"/>
      <c r="AA187" s="24"/>
    </row>
    <row r="188" ht="15.75" customHeight="1">
      <c r="A188" s="45" t="s">
        <v>432</v>
      </c>
      <c r="B188" s="46">
        <v>180.0</v>
      </c>
      <c r="C188" s="47">
        <v>0.0</v>
      </c>
      <c r="D188" s="47">
        <v>0.0</v>
      </c>
      <c r="E188" s="47">
        <v>0.0</v>
      </c>
      <c r="F188" s="47">
        <v>1.0</v>
      </c>
      <c r="G188" s="47">
        <v>1.0</v>
      </c>
      <c r="H188" s="47">
        <v>0.0</v>
      </c>
      <c r="I188" s="47">
        <v>0.0</v>
      </c>
      <c r="J188" s="47">
        <v>0.0</v>
      </c>
      <c r="K188" s="48">
        <v>0.2</v>
      </c>
      <c r="L188" s="49" t="s">
        <v>32</v>
      </c>
      <c r="M188" s="33"/>
      <c r="N188" s="75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42"/>
      <c r="Z188" s="24"/>
      <c r="AA188" s="24"/>
    </row>
    <row r="189" ht="15.75" customHeight="1">
      <c r="A189" s="54" t="s">
        <v>69</v>
      </c>
      <c r="B189" s="26">
        <f t="array" ref="B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2, 0), 0))/SUMIF('Pré-preparos e Variegatos'!$G$2:$G$1000, $A189, 'Pré-preparos e Variegatos'!$I$2:$I$1000) * IFERROR(VLOOKUP($A189, 'Pré-preparos e Variegatos'!$M$2:$Q$100, 5, FALSE), 1), 0)</f>
        <v>26.07329843</v>
      </c>
      <c r="C189" s="27">
        <f t="array" ref="C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3, 0), 0))/SUMIF('Pré-preparos e Variegatos'!$G$2:$G$1000, $A189, 'Pré-preparos e Variegatos'!$I$2:$I$1000) * IFERROR(VLOOKUP($A189, 'Pré-preparos e Variegatos'!$M$2:$Q$100, 5, FALSE), 1), 0)</f>
        <v>0.3282722513</v>
      </c>
      <c r="D189" s="27">
        <f t="array" ref="D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4, 0), 0))/SUMIF('Pré-preparos e Variegatos'!$G$2:$G$1000, $A189, 'Pré-preparos e Variegatos'!$I$2:$I$1000) * IFERROR(VLOOKUP($A189, 'Pré-preparos e Variegatos'!$M$2:$Q$100, 5, FALSE), 1), 0)</f>
        <v>0.1435078534</v>
      </c>
      <c r="E189" s="27">
        <f t="array" ref="E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5, 0), 0))/SUMIF('Pré-preparos e Variegatos'!$G$2:$G$1000, $A189, 'Pré-preparos e Variegatos'!$I$2:$I$1000) * IFERROR(VLOOKUP($A189, 'Pré-preparos e Variegatos'!$M$2:$Q$100, 5, FALSE), 1), 0)</f>
        <v>0.1185863874</v>
      </c>
      <c r="F189" s="27">
        <f t="array" ref="F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6, 0), 0))/SUMIF('Pré-preparos e Variegatos'!$G$2:$G$1000, $A189, 'Pré-preparos e Variegatos'!$I$2:$I$1000) * IFERROR(VLOOKUP($A189, 'Pré-preparos e Variegatos'!$M$2:$Q$100, 5, FALSE), 1), 0)</f>
        <v>0.03345549738</v>
      </c>
      <c r="G189" s="27">
        <f t="shared" ref="G189:G193" si="13">MIN(1, SUM(C189:F189))</f>
        <v>0.6238219895</v>
      </c>
      <c r="H189" s="27">
        <f t="shared" ref="H189:H194" si="14">1-G189</f>
        <v>0.3761780105</v>
      </c>
      <c r="I189" s="27">
        <f t="array" ref="I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9, 0), 0))/SUMIF('Pré-preparos e Variegatos'!$G$2:$G$1000, $A189, 'Pré-preparos e Variegatos'!$I$2:$I$1000) * IFERROR(VLOOKUP($A189, 'Pré-preparos e Variegatos'!$M$2:$Q$100, 5, FALSE), 1), 0)</f>
        <v>0.2928272251</v>
      </c>
      <c r="J189" s="27">
        <f t="array" ref="J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10, 0), 0))/SUMIF('Pré-preparos e Variegatos'!$G$2:$G$1000, $A189, 'Pré-preparos e Variegatos'!$I$2:$I$1000) * IFERROR(VLOOKUP($A189, 'Pré-preparos e Variegatos'!$M$2:$Q$100, 5, FALSE), 1), 0)</f>
        <v>0.3903664921</v>
      </c>
      <c r="K189" s="30">
        <f t="array" ref="K189">IFERROR(SUMPRODUCT(('Pré-preparos e Variegatos'!$G$2:$G$1000=$A189)*'Pré-preparos e Variegatos'!$I$2:$I$1000*IFERROR(VLOOKUP('Pré-preparos e Variegatos'!$H$2:$H$1000, VSTACK($A$5:$K$23, $A$28:$K$31, $A$33:$K$58, $A$60:$K$96, $A$99:$K$137, $A$139:$K$140, $A$142:$K$151, $A$153:$K$168, $A$170:$K$188, $A$194:$K$500), 11, 0), 0))/SUMIF('Pré-preparos e Variegatos'!$G$2:$G$1000, $A189, 'Pré-preparos e Variegatos'!$I$2:$I$1000) * IFERROR(VLOOKUP($A189, 'Pré-preparos e Variegatos'!$M$2:$Q$100, 5, FALSE), 1), 0)</f>
        <v>0.05623036649</v>
      </c>
      <c r="L189" s="54" t="str">
        <f t="array" ref="L189">IF(SUMPRODUCT(('Pré-preparos e Variegatos'!$G$2:$G$1000=$A189)*(IFERROR(VLOOKUP('Pré-preparos e Variegatos'!$H$2:$H$1000, VSTACK($A$5:$L$23, $A$28:$L$31, $A$33:$L$58, $A$60:$L$96, $A$99:$L$137, $A$139:$L$140, $A$142:$L$151, $A$153:$L$168, $A$170:$L$188, $A$194:$L$500), 12, 0), "Não")="Sim"))&gt;0, "Sim", "Não")</f>
        <v>Sim</v>
      </c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24"/>
      <c r="AA189" s="24"/>
    </row>
    <row r="190" ht="15.75" customHeight="1">
      <c r="A190" s="65" t="s">
        <v>137</v>
      </c>
      <c r="B190" s="46">
        <f t="array" ref="B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2, 0), 0))/SUMIF('Pré-preparos e Variegatos'!$G$2:$G$1000, $A190, 'Pré-preparos e Variegatos'!$I$2:$I$1000) * IFERROR(VLOOKUP($A190, 'Pré-preparos e Variegatos'!$M$2:$Q$100, 5, FALSE), 1), 0)</f>
        <v>11.04703608</v>
      </c>
      <c r="C190" s="47">
        <f t="array" ref="C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3, 0), 0))/SUMIF('Pré-preparos e Variegatos'!$G$2:$G$1000, $A190, 'Pré-preparos e Variegatos'!$I$2:$I$1000) * IFERROR(VLOOKUP($A190, 'Pré-preparos e Variegatos'!$M$2:$Q$100, 5, FALSE), 1), 0)</f>
        <v>0.4505154639</v>
      </c>
      <c r="D190" s="47">
        <f t="array" ref="D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4, 0), 0))/SUMIF('Pré-preparos e Variegatos'!$G$2:$G$1000, $A190, 'Pré-preparos e Variegatos'!$I$2:$I$1000) * IFERROR(VLOOKUP($A190, 'Pré-preparos e Variegatos'!$M$2:$Q$100, 5, FALSE), 1), 0)</f>
        <v>0.1308376289</v>
      </c>
      <c r="E190" s="47">
        <f t="array" ref="E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5, 0), 0))/SUMIF('Pré-preparos e Variegatos'!$G$2:$G$1000, $A190, 'Pré-preparos e Variegatos'!$I$2:$I$1000) * IFERROR(VLOOKUP($A190, 'Pré-preparos e Variegatos'!$M$2:$Q$100, 5, FALSE), 1), 0)</f>
        <v>0.03899484536</v>
      </c>
      <c r="F190" s="47">
        <f t="array" ref="F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6, 0), 0))/SUMIF('Pré-preparos e Variegatos'!$G$2:$G$1000, $A190, 'Pré-preparos e Variegatos'!$I$2:$I$1000) * IFERROR(VLOOKUP($A190, 'Pré-preparos e Variegatos'!$M$2:$Q$100, 5, FALSE), 1), 0)</f>
        <v>0.002087628866</v>
      </c>
      <c r="G190" s="47">
        <f t="shared" si="13"/>
        <v>0.622435567</v>
      </c>
      <c r="H190" s="47">
        <f t="shared" si="14"/>
        <v>0.377564433</v>
      </c>
      <c r="I190" s="47">
        <f t="array" ref="I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9, 0), 0))/SUMIF('Pré-preparos e Variegatos'!$G$2:$G$1000, $A190, 'Pré-preparos e Variegatos'!$I$2:$I$1000) * IFERROR(VLOOKUP($A190, 'Pré-preparos e Variegatos'!$M$2:$Q$100, 5, FALSE), 1), 0)</f>
        <v>0.4509213918</v>
      </c>
      <c r="J190" s="47">
        <f t="array" ref="J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10, 0), 0))/SUMIF('Pré-preparos e Variegatos'!$G$2:$G$1000, $A190, 'Pré-preparos e Variegatos'!$I$2:$I$1000) * IFERROR(VLOOKUP($A190, 'Pré-preparos e Variegatos'!$M$2:$Q$100, 5, FALSE), 1), 0)</f>
        <v>0.4719716495</v>
      </c>
      <c r="K190" s="48">
        <f t="array" ref="K190">IFERROR(SUMPRODUCT(('Pré-preparos e Variegatos'!$G$2:$G$1000=$A190)*'Pré-preparos e Variegatos'!$I$2:$I$1000*IFERROR(VLOOKUP('Pré-preparos e Variegatos'!$H$2:$H$1000, VSTACK($A$5:$K$23, $A$28:$K$31, $A$33:$K$58, $A$60:$K$96, $A$99:$K$137, $A$139:$K$140, $A$142:$K$151, $A$153:$K$168, $A$170:$K$188, $A$194:$K$500), 11, 0), 0))/SUMIF('Pré-preparos e Variegatos'!$G$2:$G$1000, $A190, 'Pré-preparos e Variegatos'!$I$2:$I$1000) * IFERROR(VLOOKUP($A190, 'Pré-preparos e Variegatos'!$M$2:$Q$100, 5, FALSE), 1), 0)</f>
        <v>0.01648195876</v>
      </c>
      <c r="L190" s="65" t="str">
        <f t="array" ref="L190">IF(SUMPRODUCT(('Pré-preparos e Variegatos'!$G$2:$G$1000=$A190)*(IFERROR(VLOOKUP('Pré-preparos e Variegatos'!$H$2:$H$1000, VSTACK($A$5:$L$23, $A$28:$L$31, $A$33:$L$58, $A$60:$L$96, $A$99:$L$137, $A$139:$L$140, $A$142:$L$151, $A$153:$L$168, $A$170:$L$188, $A$194:$L$500), 12, 0), "Não")="Sim"))&gt;0, "Sim", "Não")</f>
        <v>Sim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24"/>
      <c r="AA190" s="24"/>
    </row>
    <row r="191" ht="15.75" customHeight="1">
      <c r="A191" s="54" t="s">
        <v>148</v>
      </c>
      <c r="B191" s="26">
        <f t="array" ref="B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2, 0), 0))/SUMIF('Pré-preparos e Variegatos'!$G$2:$G$1000, $A191, 'Pré-preparos e Variegatos'!$I$2:$I$1000) * IFERROR(VLOOKUP($A191, 'Pré-preparos e Variegatos'!$M$2:$Q$100, 5, FALSE), 1), 0)</f>
        <v>10.78891821</v>
      </c>
      <c r="C191" s="27">
        <f t="array" ref="C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3, 0), 0))/SUMIF('Pré-preparos e Variegatos'!$G$2:$G$1000, $A191, 'Pré-preparos e Variegatos'!$I$2:$I$1000) * IFERROR(VLOOKUP($A191, 'Pré-preparos e Variegatos'!$M$2:$Q$100, 5, FALSE), 1), 0)</f>
        <v>0.4726473175</v>
      </c>
      <c r="D191" s="27">
        <f t="array" ref="D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4, 0), 0))/SUMIF('Pré-preparos e Variegatos'!$G$2:$G$1000, $A191, 'Pré-preparos e Variegatos'!$I$2:$I$1000) * IFERROR(VLOOKUP($A191, 'Pré-preparos e Variegatos'!$M$2:$Q$100, 5, FALSE), 1), 0)</f>
        <v>0.1102022867</v>
      </c>
      <c r="E191" s="27">
        <f t="array" ref="E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5, 0), 0))/SUMIF('Pré-preparos e Variegatos'!$G$2:$G$1000, $A191, 'Pré-preparos e Variegatos'!$I$2:$I$1000) * IFERROR(VLOOKUP($A191, 'Pré-preparos e Variegatos'!$M$2:$Q$100, 5, FALSE), 1), 0)</f>
        <v>0.0162708883</v>
      </c>
      <c r="F191" s="27">
        <f t="array" ref="F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6, 0), 0))/SUMIF('Pré-preparos e Variegatos'!$G$2:$G$1000, $A191, 'Pré-preparos e Variegatos'!$I$2:$I$1000) * IFERROR(VLOOKUP($A191, 'Pré-preparos e Variegatos'!$M$2:$Q$100, 5, FALSE), 1), 0)</f>
        <v>0.1055408971</v>
      </c>
      <c r="G191" s="27">
        <f t="shared" si="13"/>
        <v>0.7046613896</v>
      </c>
      <c r="H191" s="27">
        <f t="shared" si="14"/>
        <v>0.2953386104</v>
      </c>
      <c r="I191" s="27">
        <f t="array" ref="I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9, 0), 0))/SUMIF('Pré-preparos e Variegatos'!$G$2:$G$1000, $A191, 'Pré-preparos e Variegatos'!$I$2:$I$1000) * IFERROR(VLOOKUP($A191, 'Pré-preparos e Variegatos'!$M$2:$Q$100, 5, FALSE), 1), 0)</f>
        <v>0.4284080915</v>
      </c>
      <c r="J191" s="27">
        <f t="array" ref="J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10, 0), 0))/SUMIF('Pré-preparos e Variegatos'!$G$2:$G$1000, $A191, 'Pré-preparos e Variegatos'!$I$2:$I$1000) * IFERROR(VLOOKUP($A191, 'Pré-preparos e Variegatos'!$M$2:$Q$100, 5, FALSE), 1), 0)</f>
        <v>0.5383817062</v>
      </c>
      <c r="K191" s="30">
        <f t="array" ref="K191">IFERROR(SUMPRODUCT(('Pré-preparos e Variegatos'!$G$2:$G$1000=$A191)*'Pré-preparos e Variegatos'!$I$2:$I$1000*IFERROR(VLOOKUP('Pré-preparos e Variegatos'!$H$2:$H$1000, VSTACK($A$5:$K$23, $A$28:$K$31, $A$33:$K$58, $A$60:$K$96, $A$99:$K$137, $A$139:$K$140, $A$142:$K$151, $A$153:$K$168, $A$170:$K$188, $A$194:$K$500), 11, 0), 0))/SUMIF('Pré-preparos e Variegatos'!$G$2:$G$1000, $A191, 'Pré-preparos e Variegatos'!$I$2:$I$1000) * IFERROR(VLOOKUP($A191, 'Pré-preparos e Variegatos'!$M$2:$Q$100, 5, FALSE), 1), 0)</f>
        <v>0.01772207564</v>
      </c>
      <c r="L191" s="54" t="str">
        <f t="array" ref="L191">IF(SUMPRODUCT(('Pré-preparos e Variegatos'!$G$2:$G$1000=$A191)*(IFERROR(VLOOKUP('Pré-preparos e Variegatos'!$H$2:$H$1000, VSTACK($A$5:$L$23, $A$28:$L$31, $A$33:$L$58, $A$60:$L$96, $A$99:$L$137, $A$139:$L$140, $A$142:$L$151, $A$153:$L$168, $A$170:$L$188, $A$194:$L$500), 12, 0), "Não")="Sim"))&gt;0, "Sim", "Não")</f>
        <v>Sim</v>
      </c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24"/>
      <c r="AA191" s="24"/>
    </row>
    <row r="192" ht="15.75" customHeight="1">
      <c r="A192" s="65" t="s">
        <v>157</v>
      </c>
      <c r="B192" s="46">
        <f t="array" ref="B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2, 0), 0))/SUMIF('Pré-preparos e Variegatos'!$G$2:$G$1000, $A192, 'Pré-preparos e Variegatos'!$I$2:$I$1000) * IFERROR(VLOOKUP($A192, 'Pré-preparos e Variegatos'!$M$2:$Q$100, 5, FALSE), 1), 0)</f>
        <v>80.10053929</v>
      </c>
      <c r="C192" s="47">
        <f t="array" ref="C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3, 0), 0))/SUMIF('Pré-preparos e Variegatos'!$G$2:$G$1000, $A192, 'Pré-preparos e Variegatos'!$I$2:$I$1000) * IFERROR(VLOOKUP($A192, 'Pré-preparos e Variegatos'!$M$2:$Q$100, 5, FALSE), 1), 0)</f>
        <v>0.3705701079</v>
      </c>
      <c r="D192" s="47">
        <f t="array" ref="D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4, 0), 0))/SUMIF('Pré-preparos e Variegatos'!$G$2:$G$1000, $A192, 'Pré-preparos e Variegatos'!$I$2:$I$1000) * IFERROR(VLOOKUP($A192, 'Pré-preparos e Variegatos'!$M$2:$Q$100, 5, FALSE), 1), 0)</f>
        <v>0.287403698</v>
      </c>
      <c r="E192" s="47">
        <f t="array" ref="E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5, 0), 0))/SUMIF('Pré-preparos e Variegatos'!$G$2:$G$1000, $A192, 'Pré-preparos e Variegatos'!$I$2:$I$1000) * IFERROR(VLOOKUP($A192, 'Pré-preparos e Variegatos'!$M$2:$Q$100, 5, FALSE), 1), 0)</f>
        <v>0.06719953775</v>
      </c>
      <c r="F192" s="47">
        <f t="array" ref="F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6, 0), 0))/SUMIF('Pré-preparos e Variegatos'!$G$2:$G$1000, $A192, 'Pré-preparos e Variegatos'!$I$2:$I$1000) * IFERROR(VLOOKUP($A192, 'Pré-preparos e Variegatos'!$M$2:$Q$100, 5, FALSE), 1), 0)</f>
        <v>0.02865947612</v>
      </c>
      <c r="G192" s="47">
        <f t="shared" si="13"/>
        <v>0.7538328197</v>
      </c>
      <c r="H192" s="47">
        <f t="shared" si="14"/>
        <v>0.2461671803</v>
      </c>
      <c r="I192" s="47">
        <f t="array" ref="I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9, 0), 0))/SUMIF('Pré-preparos e Variegatos'!$G$2:$G$1000, $A192, 'Pré-preparos e Variegatos'!$I$2:$I$1000) * IFERROR(VLOOKUP($A192, 'Pré-preparos e Variegatos'!$M$2:$Q$100, 5, FALSE), 1), 0)</f>
        <v>0.3770107858</v>
      </c>
      <c r="J192" s="47">
        <f t="array" ref="J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10, 0), 0))/SUMIF('Pré-preparos e Variegatos'!$G$2:$G$1000, $A192, 'Pré-preparos e Variegatos'!$I$2:$I$1000) * IFERROR(VLOOKUP($A192, 'Pré-preparos e Variegatos'!$M$2:$Q$100, 5, FALSE), 1), 0)</f>
        <v>0.4391371341</v>
      </c>
      <c r="K192" s="48">
        <f t="array" ref="K192">IFERROR(SUMPRODUCT(('Pré-preparos e Variegatos'!$G$2:$G$1000=$A192)*'Pré-preparos e Variegatos'!$I$2:$I$1000*IFERROR(VLOOKUP('Pré-preparos e Variegatos'!$H$2:$H$1000, VSTACK($A$5:$K$23, $A$28:$K$31, $A$33:$K$58, $A$60:$K$96, $A$99:$K$137, $A$139:$K$140, $A$142:$K$151, $A$153:$K$168, $A$170:$K$188, $A$194:$K$500), 11, 0), 0))/SUMIF('Pré-preparos e Variegatos'!$G$2:$G$1000, $A192, 'Pré-preparos e Variegatos'!$I$2:$I$1000) * IFERROR(VLOOKUP($A192, 'Pré-preparos e Variegatos'!$M$2:$Q$100, 5, FALSE), 1), 0)</f>
        <v>0.04449152542</v>
      </c>
      <c r="L192" s="65" t="str">
        <f t="array" ref="L192">IF(SUMPRODUCT(('Pré-preparos e Variegatos'!$G$2:$G$1000=$A192)*(IFERROR(VLOOKUP('Pré-preparos e Variegatos'!$H$2:$H$1000, VSTACK($A$5:$L$23, $A$28:$L$31, $A$33:$L$58, $A$60:$L$96, $A$99:$L$137, $A$139:$L$140, $A$142:$L$151, $A$153:$L$168, $A$170:$L$188, $A$194:$L$500), 12, 0), "Não")="Sim"))&gt;0, "Sim", "Não")</f>
        <v>Sim</v>
      </c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24"/>
      <c r="AA192" s="24"/>
    </row>
    <row r="193" ht="15.75" customHeight="1">
      <c r="A193" s="65" t="s">
        <v>154</v>
      </c>
      <c r="B193" s="46">
        <f t="array" ref="B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2, 0), 0))/SUMIF('Pré-preparos e Variegatos'!$A$2:$A$1000, $A193, 'Pré-preparos e Variegatos'!$C$2:$C$1000) * IFERROR(VLOOKUP($A193, 'Pré-preparos e Variegatos'!$M$2:$Q$100, 5, FALSE), 1), 0)</f>
        <v>6.770204741</v>
      </c>
      <c r="C193" s="47">
        <f t="array" ref="C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3, 0), 0))/SUMIF('Pré-preparos e Variegatos'!$A$2:$A$1000, $A193, 'Pré-preparos e Variegatos'!$C$2:$C$1000) * IFERROR(VLOOKUP($A193, 'Pré-preparos e Variegatos'!$M$2:$Q$100, 5, FALSE), 1), 0)</f>
        <v>0.4515948276</v>
      </c>
      <c r="D193" s="47">
        <f t="array" ref="D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4, 0), 0))/SUMIF('Pré-preparos e Variegatos'!$A$2:$A$1000, $A193, 'Pré-preparos e Variegatos'!$C$2:$C$1000) * IFERROR(VLOOKUP($A193, 'Pré-preparos e Variegatos'!$M$2:$Q$100, 5, FALSE), 1), 0)</f>
        <v>0.03831088362</v>
      </c>
      <c r="E193" s="47">
        <f t="array" ref="E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5, 0), 0))/SUMIF('Pré-preparos e Variegatos'!$A$2:$A$1000, $A193, 'Pré-preparos e Variegatos'!$C$2:$C$1000) * IFERROR(VLOOKUP($A193, 'Pré-preparos e Variegatos'!$M$2:$Q$100, 5, FALSE), 1), 0)</f>
        <v>0.04739116379</v>
      </c>
      <c r="F193" s="47">
        <f t="array" ref="F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6, 0), 0))/SUMIF('Pré-preparos e Variegatos'!$A$2:$A$1000, $A193, 'Pré-preparos e Variegatos'!$C$2:$C$1000) * IFERROR(VLOOKUP($A193, 'Pré-preparos e Variegatos'!$M$2:$Q$100, 5, FALSE), 1), 0)</f>
        <v>0.002075431034</v>
      </c>
      <c r="G193" s="47">
        <f t="shared" si="13"/>
        <v>0.539372306</v>
      </c>
      <c r="H193" s="47">
        <f t="shared" si="14"/>
        <v>0.460627694</v>
      </c>
      <c r="I193" s="47">
        <f t="array" ref="I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9, 0), 0))/SUMIF('Pré-preparos e Variegatos'!$A$2:$A$1000, $A193, 'Pré-preparos e Variegatos'!$C$2:$C$1000) * IFERROR(VLOOKUP($A193, 'Pré-preparos e Variegatos'!$M$2:$Q$100, 5, FALSE), 1), 0)</f>
        <v>0.452690194</v>
      </c>
      <c r="J193" s="47">
        <f t="array" ref="J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10, 0), 0))/SUMIF('Pré-preparos e Variegatos'!$A$2:$A$1000, $A193, 'Pré-preparos e Variegatos'!$C$2:$C$1000) * IFERROR(VLOOKUP($A193, 'Pré-preparos e Variegatos'!$M$2:$Q$100, 5, FALSE), 1), 0)</f>
        <v>0.4758081897</v>
      </c>
      <c r="K193" s="48">
        <f t="array" ref="K193">IFERROR(SUMPRODUCT(('Pré-preparos e Variegatos'!$A$2:$A$1000=$A193)*'Pré-preparos e Variegatos'!$C$2:$C$1000*IFERROR(VLOOKUP('Pré-preparos e Variegatos'!$B$2:$B$1000, VSTACK($A$5:$K$23, $A$28:$K$31, $A$33:$K$58, $A$60:$K$96, $A$99:$K$137, $A$139:$K$140, $A$142:$K$151, $A$153:$K$168, $A$170:$K$188, $A$194:$K$500), 11, 0), 0))/SUMIF('Pré-preparos e Variegatos'!$A$2:$A$1000, $A193, 'Pré-preparos e Variegatos'!$C$2:$C$1000) * IFERROR(VLOOKUP($A193, 'Pré-preparos e Variegatos'!$M$2:$Q$100, 5, FALSE), 1), 0)</f>
        <v>0.01954471983</v>
      </c>
      <c r="L193" s="65" t="str">
        <f t="array" ref="L193">IF(SUMPRODUCT(('Pré-preparos e Variegatos'!$A$2:$A$1000=$A193)*(IFERROR(VLOOKUP('Pré-preparos e Variegatos'!$B$2:$B$1000, VSTACK($A$5:$L$23, $A$28:$L$31, $A$33:$L$58, $A$60:$L$96, $A$99:$L$137, $A$139:$L$140, $A$142:$L$151, $A$153:$L$168, $A$170:$L$188, $A$194:$L$500), 12, 0), "Não")="Sim"))&gt;0, "Sim", "Não")</f>
        <v>Sim</v>
      </c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24"/>
      <c r="AA193" s="24"/>
    </row>
    <row r="194" ht="15.75" customHeight="1">
      <c r="A194" s="33" t="s">
        <v>478</v>
      </c>
      <c r="B194" s="255">
        <v>16.0</v>
      </c>
      <c r="C194" s="256">
        <v>0.0</v>
      </c>
      <c r="D194" s="256">
        <v>0.0</v>
      </c>
      <c r="E194" s="256">
        <v>0.0</v>
      </c>
      <c r="F194" s="256">
        <v>1.0</v>
      </c>
      <c r="G194" s="257">
        <f>SUM(C194:F194)</f>
        <v>1</v>
      </c>
      <c r="H194" s="257">
        <f t="shared" si="14"/>
        <v>0</v>
      </c>
      <c r="I194" s="256">
        <v>0.0</v>
      </c>
      <c r="J194" s="256">
        <v>0.0</v>
      </c>
      <c r="K194" s="258">
        <v>0.0</v>
      </c>
      <c r="L194" s="33" t="s">
        <v>32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24"/>
      <c r="AA194" s="24"/>
    </row>
    <row r="195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259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24"/>
      <c r="AA195" s="24"/>
    </row>
    <row r="19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259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24"/>
      <c r="AA196" s="24"/>
    </row>
    <row r="197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259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24"/>
      <c r="AA197" s="24"/>
    </row>
    <row r="19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259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24"/>
      <c r="AA198" s="24"/>
    </row>
    <row r="199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259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24"/>
      <c r="AA199" s="24"/>
    </row>
    <row r="200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259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24"/>
      <c r="AA200" s="24"/>
    </row>
    <row r="201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259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24"/>
      <c r="AA201" s="24"/>
    </row>
    <row r="202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259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24"/>
      <c r="AA202" s="24"/>
    </row>
    <row r="203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259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24"/>
      <c r="AA203" s="24"/>
    </row>
    <row r="204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259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24"/>
      <c r="AA204" s="24"/>
    </row>
    <row r="205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259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24"/>
      <c r="AA205" s="24"/>
    </row>
    <row r="20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259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24"/>
      <c r="AA206" s="24"/>
    </row>
    <row r="207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259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24"/>
      <c r="AA207" s="24"/>
    </row>
    <row r="20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259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24"/>
      <c r="AA208" s="24"/>
    </row>
    <row r="209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259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24"/>
      <c r="AA209" s="24"/>
    </row>
    <row r="210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259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24"/>
      <c r="AA210" s="24"/>
    </row>
    <row r="211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259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24"/>
      <c r="AA211" s="24"/>
    </row>
    <row r="212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259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24"/>
      <c r="AA212" s="24"/>
    </row>
    <row r="213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259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24"/>
      <c r="AA213" s="24"/>
    </row>
    <row r="214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259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24"/>
      <c r="AA214" s="24"/>
    </row>
    <row r="215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259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24"/>
      <c r="AA215" s="24"/>
    </row>
    <row r="21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259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24"/>
      <c r="AA216" s="24"/>
    </row>
    <row r="217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259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24"/>
      <c r="AA217" s="24"/>
    </row>
    <row r="21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259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24"/>
      <c r="AA218" s="24"/>
    </row>
    <row r="219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259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24"/>
      <c r="AA219" s="24"/>
    </row>
    <row r="220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259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24"/>
      <c r="AA220" s="24"/>
    </row>
    <row r="221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259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24"/>
      <c r="AA221" s="24"/>
    </row>
    <row r="222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259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24"/>
      <c r="AA222" s="24"/>
    </row>
    <row r="223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259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24"/>
      <c r="AA223" s="24"/>
    </row>
    <row r="224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9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24"/>
      <c r="AA224" s="24"/>
    </row>
    <row r="225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259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24"/>
      <c r="AA225" s="24"/>
    </row>
    <row r="2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259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24"/>
      <c r="AA226" s="24"/>
    </row>
    <row r="227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259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24"/>
      <c r="AA227" s="24"/>
    </row>
    <row r="228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259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24"/>
      <c r="AA228" s="24"/>
    </row>
    <row r="229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259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24"/>
      <c r="AA229" s="24"/>
    </row>
    <row r="230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259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24"/>
      <c r="AA230" s="24"/>
    </row>
    <row r="231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259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24"/>
      <c r="AA231" s="24"/>
    </row>
    <row r="232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259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24"/>
      <c r="AA232" s="24"/>
    </row>
    <row r="233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259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24"/>
      <c r="AA233" s="24"/>
    </row>
    <row r="234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259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24"/>
      <c r="AA234" s="24"/>
    </row>
    <row r="235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259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24"/>
      <c r="AA235" s="24"/>
    </row>
    <row r="23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259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24"/>
      <c r="AA236" s="24"/>
    </row>
    <row r="237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259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24"/>
      <c r="AA237" s="24"/>
    </row>
    <row r="23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259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24"/>
      <c r="AA238" s="24"/>
    </row>
    <row r="239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259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24"/>
      <c r="AA239" s="24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259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24"/>
      <c r="AA240" s="24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259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24"/>
      <c r="AA241" s="24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259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24"/>
      <c r="AA242" s="24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259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24"/>
      <c r="AA243" s="24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259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24"/>
      <c r="AA244" s="24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259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24"/>
      <c r="AA245" s="24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259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24"/>
      <c r="AA246" s="24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259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24"/>
      <c r="AA247" s="24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259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24"/>
      <c r="AA248" s="24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259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24"/>
      <c r="AA249" s="24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259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24"/>
      <c r="AA250" s="24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259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24"/>
      <c r="AA251" s="24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259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24"/>
      <c r="AA252" s="24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259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24"/>
      <c r="AA253" s="24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259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24"/>
      <c r="AA254" s="24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259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24"/>
      <c r="AA255" s="24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259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24"/>
      <c r="AA256" s="24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259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24"/>
      <c r="AA257" s="24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259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24"/>
      <c r="AA258" s="24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259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24"/>
      <c r="AA259" s="24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259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24"/>
      <c r="AA260" s="24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259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24"/>
      <c r="AA261" s="24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259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24"/>
      <c r="AA262" s="24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259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24"/>
      <c r="AA263" s="24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259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24"/>
      <c r="AA264" s="24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259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24"/>
      <c r="AA265" s="24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259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24"/>
      <c r="AA266" s="24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259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24"/>
      <c r="AA267" s="24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259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24"/>
      <c r="AA268" s="24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259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24"/>
      <c r="AA269" s="24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259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24"/>
      <c r="AA270" s="24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259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24"/>
      <c r="AA271" s="24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259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24"/>
      <c r="AA272" s="24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259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24"/>
      <c r="AA273" s="24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259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24"/>
      <c r="AA274" s="24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259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24"/>
      <c r="AA275" s="24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259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24"/>
      <c r="AA276" s="24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259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24"/>
      <c r="AA277" s="24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259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24"/>
      <c r="AA278" s="24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259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24"/>
      <c r="AA279" s="24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259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24"/>
      <c r="AA280" s="24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259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24"/>
      <c r="AA281" s="24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259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24"/>
      <c r="AA282" s="24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259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24"/>
      <c r="AA283" s="24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259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24"/>
      <c r="AA284" s="24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259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24"/>
      <c r="AA285" s="24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259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24"/>
      <c r="AA286" s="24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259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24"/>
      <c r="AA287" s="24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259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24"/>
      <c r="AA288" s="24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259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24"/>
      <c r="AA289" s="24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259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24"/>
      <c r="AA290" s="24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259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24"/>
      <c r="AA291" s="24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259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24"/>
      <c r="AA292" s="24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259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24"/>
      <c r="AA293" s="24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259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24"/>
      <c r="AA294" s="24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259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24"/>
      <c r="AA295" s="24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259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24"/>
      <c r="AA296" s="24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259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24"/>
      <c r="AA297" s="24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259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24"/>
      <c r="AA298" s="24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259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24"/>
      <c r="AA299" s="24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259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24"/>
      <c r="AA300" s="24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259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24"/>
      <c r="AA301" s="24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259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24"/>
      <c r="AA302" s="24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259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24"/>
      <c r="AA303" s="24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259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24"/>
      <c r="AA304" s="24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259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24"/>
      <c r="AA305" s="24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259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24"/>
      <c r="AA306" s="24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259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24"/>
      <c r="AA307" s="24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259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24"/>
      <c r="AA308" s="24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259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24"/>
      <c r="AA309" s="24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259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24"/>
      <c r="AA310" s="24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259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24"/>
      <c r="AA311" s="24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259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24"/>
      <c r="AA312" s="24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259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24"/>
      <c r="AA313" s="24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259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24"/>
      <c r="AA314" s="24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259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24"/>
      <c r="AA315" s="24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259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24"/>
      <c r="AA316" s="24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259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24"/>
      <c r="AA317" s="24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259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24"/>
      <c r="AA318" s="24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259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24"/>
      <c r="AA319" s="24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259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24"/>
      <c r="AA320" s="24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60"/>
      <c r="L321" s="115"/>
      <c r="M321" s="42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24"/>
      <c r="AA321" s="24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60"/>
      <c r="L322" s="115"/>
      <c r="M322" s="42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24"/>
      <c r="AA322" s="24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60"/>
      <c r="L323" s="115"/>
      <c r="M323" s="42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24"/>
      <c r="AA323" s="24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60"/>
      <c r="L324" s="115"/>
      <c r="M324" s="42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24"/>
      <c r="AA324" s="24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60"/>
      <c r="L325" s="115"/>
      <c r="M325" s="42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24"/>
      <c r="AA325" s="24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60"/>
      <c r="L326" s="115"/>
      <c r="M326" s="42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24"/>
      <c r="AA326" s="24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260"/>
      <c r="L327" s="115"/>
      <c r="M327" s="42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24"/>
      <c r="AA327" s="24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260"/>
      <c r="L328" s="115"/>
      <c r="M328" s="42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24"/>
      <c r="AA328" s="24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260"/>
      <c r="L329" s="115"/>
      <c r="M329" s="42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24"/>
      <c r="AA329" s="24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260"/>
      <c r="L330" s="115"/>
      <c r="M330" s="42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24"/>
      <c r="AA330" s="24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260"/>
      <c r="L331" s="115"/>
      <c r="M331" s="42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24"/>
      <c r="AA331" s="24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260"/>
      <c r="L332" s="115"/>
      <c r="M332" s="42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24"/>
      <c r="AA332" s="24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260"/>
      <c r="L333" s="115"/>
      <c r="M333" s="42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24"/>
      <c r="AA333" s="24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260"/>
      <c r="L334" s="115"/>
      <c r="M334" s="42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24"/>
      <c r="AA334" s="24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260"/>
      <c r="L335" s="115"/>
      <c r="M335" s="42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24"/>
      <c r="AA335" s="24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260"/>
      <c r="L336" s="115"/>
      <c r="M336" s="42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24"/>
      <c r="AA336" s="24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260"/>
      <c r="L337" s="115"/>
      <c r="M337" s="42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24"/>
      <c r="AA337" s="24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260"/>
      <c r="L338" s="115"/>
      <c r="M338" s="42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24"/>
      <c r="AA338" s="24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260"/>
      <c r="L339" s="115"/>
      <c r="M339" s="42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24"/>
      <c r="AA339" s="24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260"/>
      <c r="L340" s="115"/>
      <c r="M340" s="42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24"/>
      <c r="AA340" s="24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260"/>
      <c r="L341" s="115"/>
      <c r="M341" s="42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24"/>
      <c r="AA341" s="24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260"/>
      <c r="L342" s="115"/>
      <c r="M342" s="42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24"/>
      <c r="AA342" s="24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260"/>
      <c r="L343" s="115"/>
      <c r="M343" s="42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24"/>
      <c r="AA343" s="24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260"/>
      <c r="L344" s="115"/>
      <c r="M344" s="42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24"/>
      <c r="AA344" s="24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260"/>
      <c r="L345" s="115"/>
      <c r="M345" s="42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24"/>
      <c r="AA345" s="24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260"/>
      <c r="L346" s="115"/>
      <c r="M346" s="42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24"/>
      <c r="AA346" s="24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260"/>
      <c r="L347" s="115"/>
      <c r="M347" s="42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24"/>
      <c r="AA347" s="24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260"/>
      <c r="L348" s="115"/>
      <c r="M348" s="42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24"/>
      <c r="AA348" s="24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260"/>
      <c r="L349" s="115"/>
      <c r="M349" s="42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24"/>
      <c r="AA349" s="24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260"/>
      <c r="L350" s="115"/>
      <c r="M350" s="42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24"/>
      <c r="AA350" s="24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260"/>
      <c r="L351" s="115"/>
      <c r="M351" s="42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24"/>
      <c r="AA351" s="24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260"/>
      <c r="L352" s="115"/>
      <c r="M352" s="42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24"/>
      <c r="AA352" s="24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260"/>
      <c r="L353" s="115"/>
      <c r="M353" s="42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24"/>
      <c r="AA353" s="24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260"/>
      <c r="L354" s="115"/>
      <c r="M354" s="42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24"/>
      <c r="AA354" s="24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260"/>
      <c r="L355" s="115"/>
      <c r="M355" s="42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24"/>
      <c r="AA355" s="24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260"/>
      <c r="L356" s="115"/>
      <c r="M356" s="42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24"/>
      <c r="AA356" s="24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260"/>
      <c r="L357" s="115"/>
      <c r="M357" s="42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24"/>
      <c r="AA357" s="24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260"/>
      <c r="L358" s="115"/>
      <c r="M358" s="42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24"/>
      <c r="AA358" s="24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260"/>
      <c r="L359" s="115"/>
      <c r="M359" s="42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24"/>
      <c r="AA359" s="24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260"/>
      <c r="L360" s="115"/>
      <c r="M360" s="42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24"/>
      <c r="AA360" s="24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260"/>
      <c r="L361" s="115"/>
      <c r="M361" s="42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24"/>
      <c r="AA361" s="24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260"/>
      <c r="L362" s="115"/>
      <c r="M362" s="42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24"/>
      <c r="AA362" s="24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260"/>
      <c r="L363" s="115"/>
      <c r="M363" s="42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24"/>
      <c r="AA363" s="24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260"/>
      <c r="L364" s="115"/>
      <c r="M364" s="42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24"/>
      <c r="AA364" s="24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260"/>
      <c r="L365" s="115"/>
      <c r="M365" s="42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24"/>
      <c r="AA365" s="24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260"/>
      <c r="L366" s="115"/>
      <c r="M366" s="42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24"/>
      <c r="AA366" s="24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260"/>
      <c r="L367" s="115"/>
      <c r="M367" s="42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24"/>
      <c r="AA367" s="24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260"/>
      <c r="L368" s="115"/>
      <c r="M368" s="42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24"/>
      <c r="AA368" s="24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260"/>
      <c r="L369" s="115"/>
      <c r="M369" s="42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24"/>
      <c r="AA369" s="24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260"/>
      <c r="L370" s="115"/>
      <c r="M370" s="42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24"/>
      <c r="AA370" s="24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260"/>
      <c r="L371" s="115"/>
      <c r="M371" s="42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24"/>
      <c r="AA371" s="24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260"/>
      <c r="L372" s="115"/>
      <c r="M372" s="42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24"/>
      <c r="AA372" s="24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260"/>
      <c r="L373" s="115"/>
      <c r="M373" s="42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24"/>
      <c r="AA373" s="24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260"/>
      <c r="L374" s="115"/>
      <c r="M374" s="42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24"/>
      <c r="AA374" s="24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260"/>
      <c r="L375" s="115"/>
      <c r="M375" s="42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24"/>
      <c r="AA375" s="24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260"/>
      <c r="L376" s="115"/>
      <c r="M376" s="42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24"/>
      <c r="AA376" s="24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260"/>
      <c r="L377" s="115"/>
      <c r="M377" s="42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24"/>
      <c r="AA377" s="24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260"/>
      <c r="L378" s="115"/>
      <c r="M378" s="42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24"/>
      <c r="AA378" s="24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260"/>
      <c r="L379" s="115"/>
      <c r="M379" s="42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24"/>
      <c r="AA379" s="24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260"/>
      <c r="L380" s="115"/>
      <c r="M380" s="42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24"/>
      <c r="AA380" s="24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260"/>
      <c r="L381" s="115"/>
      <c r="M381" s="42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24"/>
      <c r="AA381" s="24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260"/>
      <c r="L382" s="115"/>
      <c r="M382" s="42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24"/>
      <c r="AA382" s="24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260"/>
      <c r="L383" s="115"/>
      <c r="M383" s="42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24"/>
      <c r="AA383" s="24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260"/>
      <c r="L384" s="115"/>
      <c r="M384" s="42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24"/>
      <c r="AA384" s="24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260"/>
      <c r="L385" s="115"/>
      <c r="M385" s="42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24"/>
      <c r="AA385" s="24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260"/>
      <c r="L386" s="115"/>
      <c r="M386" s="42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24"/>
      <c r="AA386" s="24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260"/>
      <c r="L387" s="115"/>
      <c r="M387" s="42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24"/>
      <c r="AA387" s="24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260"/>
      <c r="L388" s="115"/>
      <c r="M388" s="42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24"/>
      <c r="AA388" s="24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260"/>
      <c r="L389" s="115"/>
      <c r="M389" s="42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24"/>
      <c r="AA389" s="24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260"/>
      <c r="L390" s="115"/>
      <c r="M390" s="42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24"/>
      <c r="AA390" s="24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260"/>
      <c r="L391" s="115"/>
      <c r="M391" s="42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24"/>
      <c r="AA391" s="24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260"/>
      <c r="L392" s="115"/>
      <c r="M392" s="42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24"/>
      <c r="AA392" s="24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260"/>
      <c r="L393" s="115"/>
      <c r="M393" s="42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24"/>
      <c r="AA393" s="24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260"/>
      <c r="L394" s="115"/>
      <c r="M394" s="42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24"/>
      <c r="AA394" s="24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260"/>
      <c r="L395" s="115"/>
      <c r="M395" s="42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24"/>
      <c r="AA395" s="24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260"/>
      <c r="L396" s="115"/>
      <c r="M396" s="42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24"/>
      <c r="AA396" s="24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260"/>
      <c r="L397" s="115"/>
      <c r="M397" s="42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24"/>
      <c r="AA397" s="24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260"/>
      <c r="L398" s="115"/>
      <c r="M398" s="42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24"/>
      <c r="AA398" s="24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260"/>
      <c r="L399" s="115"/>
      <c r="M399" s="42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24"/>
      <c r="AA399" s="24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260"/>
      <c r="L400" s="115"/>
      <c r="M400" s="42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24"/>
      <c r="AA400" s="24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260"/>
      <c r="L401" s="115"/>
      <c r="M401" s="42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24"/>
      <c r="AA401" s="24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260"/>
      <c r="L402" s="115"/>
      <c r="M402" s="42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24"/>
      <c r="AA402" s="24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260"/>
      <c r="L403" s="115"/>
      <c r="M403" s="42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24"/>
      <c r="AA403" s="24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260"/>
      <c r="L404" s="115"/>
      <c r="M404" s="42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24"/>
      <c r="AA404" s="24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260"/>
      <c r="L405" s="115"/>
      <c r="M405" s="42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24"/>
      <c r="AA405" s="24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260"/>
      <c r="L406" s="115"/>
      <c r="M406" s="42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24"/>
      <c r="AA406" s="24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260"/>
      <c r="L407" s="115"/>
      <c r="M407" s="42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24"/>
      <c r="AA407" s="24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260"/>
      <c r="L408" s="115"/>
      <c r="M408" s="42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24"/>
      <c r="AA408" s="24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260"/>
      <c r="L409" s="115"/>
      <c r="M409" s="42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24"/>
      <c r="AA409" s="24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260"/>
      <c r="L410" s="115"/>
      <c r="M410" s="42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24"/>
      <c r="AA410" s="24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260"/>
      <c r="L411" s="115"/>
      <c r="M411" s="42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24"/>
      <c r="AA411" s="24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260"/>
      <c r="L412" s="115"/>
      <c r="M412" s="42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24"/>
      <c r="AA412" s="24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260"/>
      <c r="L413" s="115"/>
      <c r="M413" s="42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24"/>
      <c r="AA413" s="24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260"/>
      <c r="L414" s="115"/>
      <c r="M414" s="42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24"/>
      <c r="AA414" s="24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260"/>
      <c r="L415" s="115"/>
      <c r="M415" s="42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24"/>
      <c r="AA415" s="24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260"/>
      <c r="L416" s="115"/>
      <c r="M416" s="42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24"/>
      <c r="AA416" s="24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260"/>
      <c r="L417" s="115"/>
      <c r="M417" s="42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24"/>
      <c r="AA417" s="24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260"/>
      <c r="L418" s="115"/>
      <c r="M418" s="42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24"/>
      <c r="AA418" s="24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260"/>
      <c r="L419" s="115"/>
      <c r="M419" s="42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24"/>
      <c r="AA419" s="24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260"/>
      <c r="L420" s="115"/>
      <c r="M420" s="42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24"/>
      <c r="AA420" s="24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260"/>
      <c r="L421" s="115"/>
      <c r="M421" s="42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24"/>
      <c r="AA421" s="24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260"/>
      <c r="L422" s="115"/>
      <c r="M422" s="42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24"/>
      <c r="AA422" s="24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260"/>
      <c r="L423" s="115"/>
      <c r="M423" s="42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24"/>
      <c r="AA423" s="24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260"/>
      <c r="L424" s="115"/>
      <c r="M424" s="42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24"/>
      <c r="AA424" s="24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260"/>
      <c r="L425" s="115"/>
      <c r="M425" s="42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24"/>
      <c r="AA425" s="24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260"/>
      <c r="L426" s="115"/>
      <c r="M426" s="42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24"/>
      <c r="AA426" s="24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260"/>
      <c r="L427" s="115"/>
      <c r="M427" s="42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24"/>
      <c r="AA427" s="24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260"/>
      <c r="L428" s="115"/>
      <c r="M428" s="42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24"/>
      <c r="AA428" s="24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260"/>
      <c r="L429" s="115"/>
      <c r="M429" s="42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24"/>
      <c r="AA429" s="24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260"/>
      <c r="L430" s="115"/>
      <c r="M430" s="42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24"/>
      <c r="AA430" s="24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260"/>
      <c r="L431" s="115"/>
      <c r="M431" s="42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24"/>
      <c r="AA431" s="24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260"/>
      <c r="L432" s="115"/>
      <c r="M432" s="42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24"/>
      <c r="AA432" s="24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260"/>
      <c r="L433" s="115"/>
      <c r="M433" s="42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24"/>
      <c r="AA433" s="24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260"/>
      <c r="L434" s="115"/>
      <c r="M434" s="42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24"/>
      <c r="AA434" s="24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260"/>
      <c r="L435" s="115"/>
      <c r="M435" s="42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24"/>
      <c r="AA435" s="24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260"/>
      <c r="L436" s="115"/>
      <c r="M436" s="42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24"/>
      <c r="AA436" s="24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260"/>
      <c r="L437" s="115"/>
      <c r="M437" s="42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24"/>
      <c r="AA437" s="24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260"/>
      <c r="L438" s="115"/>
      <c r="M438" s="42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24"/>
      <c r="AA438" s="24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260"/>
      <c r="L439" s="115"/>
      <c r="M439" s="42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24"/>
      <c r="AA439" s="24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260"/>
      <c r="L440" s="115"/>
      <c r="M440" s="42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24"/>
      <c r="AA440" s="24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260"/>
      <c r="L441" s="115"/>
      <c r="M441" s="42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24"/>
      <c r="AA441" s="24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260"/>
      <c r="L442" s="115"/>
      <c r="M442" s="42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24"/>
      <c r="AA442" s="24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260"/>
      <c r="L443" s="115"/>
      <c r="M443" s="42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24"/>
      <c r="AA443" s="24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260"/>
      <c r="L444" s="115"/>
      <c r="M444" s="42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24"/>
      <c r="AA444" s="24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260"/>
      <c r="L445" s="115"/>
      <c r="M445" s="42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24"/>
      <c r="AA445" s="24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260"/>
      <c r="L446" s="115"/>
      <c r="M446" s="42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24"/>
      <c r="AA446" s="24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260"/>
      <c r="L447" s="115"/>
      <c r="M447" s="42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24"/>
      <c r="AA447" s="24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260"/>
      <c r="L448" s="115"/>
      <c r="M448" s="42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24"/>
      <c r="AA448" s="24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260"/>
      <c r="L449" s="115"/>
      <c r="M449" s="42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24"/>
      <c r="AA449" s="24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260"/>
      <c r="L450" s="115"/>
      <c r="M450" s="42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24"/>
      <c r="AA450" s="24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260"/>
      <c r="L451" s="115"/>
      <c r="M451" s="42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24"/>
      <c r="AA451" s="24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260"/>
      <c r="L452" s="115"/>
      <c r="M452" s="42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24"/>
      <c r="AA452" s="24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260"/>
      <c r="L453" s="115"/>
      <c r="M453" s="42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24"/>
      <c r="AA453" s="24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260"/>
      <c r="L454" s="115"/>
      <c r="M454" s="42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24"/>
      <c r="AA454" s="24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260"/>
      <c r="L455" s="115"/>
      <c r="M455" s="42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24"/>
      <c r="AA455" s="24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260"/>
      <c r="L456" s="115"/>
      <c r="M456" s="42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24"/>
      <c r="AA456" s="24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260"/>
      <c r="L457" s="115"/>
      <c r="M457" s="42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24"/>
      <c r="AA457" s="24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260"/>
      <c r="L458" s="115"/>
      <c r="M458" s="42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24"/>
      <c r="AA458" s="24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260"/>
      <c r="L459" s="115"/>
      <c r="M459" s="42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24"/>
      <c r="AA459" s="24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260"/>
      <c r="L460" s="115"/>
      <c r="M460" s="42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24"/>
      <c r="AA460" s="24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260"/>
      <c r="L461" s="115"/>
      <c r="M461" s="42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24"/>
      <c r="AA461" s="24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260"/>
      <c r="L462" s="115"/>
      <c r="M462" s="42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24"/>
      <c r="AA462" s="24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260"/>
      <c r="L463" s="115"/>
      <c r="M463" s="42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24"/>
      <c r="AA463" s="24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260"/>
      <c r="L464" s="115"/>
      <c r="M464" s="42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24"/>
      <c r="AA464" s="24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260"/>
      <c r="L465" s="115"/>
      <c r="M465" s="42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24"/>
      <c r="AA465" s="24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260"/>
      <c r="L466" s="115"/>
      <c r="M466" s="42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24"/>
      <c r="AA466" s="24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260"/>
      <c r="L467" s="115"/>
      <c r="M467" s="42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24"/>
      <c r="AA467" s="24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260"/>
      <c r="L468" s="115"/>
      <c r="M468" s="42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24"/>
      <c r="AA468" s="24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260"/>
      <c r="L469" s="115"/>
      <c r="M469" s="42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24"/>
      <c r="AA469" s="24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260"/>
      <c r="L470" s="115"/>
      <c r="M470" s="42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24"/>
      <c r="AA470" s="24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260"/>
      <c r="L471" s="115"/>
      <c r="M471" s="42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24"/>
      <c r="AA471" s="24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260"/>
      <c r="L472" s="115"/>
      <c r="M472" s="42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24"/>
      <c r="AA472" s="24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260"/>
      <c r="L473" s="115"/>
      <c r="M473" s="42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24"/>
      <c r="AA473" s="24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260"/>
      <c r="L474" s="115"/>
      <c r="M474" s="42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24"/>
      <c r="AA474" s="24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260"/>
      <c r="L475" s="115"/>
      <c r="M475" s="42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24"/>
      <c r="AA475" s="24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260"/>
      <c r="L476" s="115"/>
      <c r="M476" s="42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24"/>
      <c r="AA476" s="24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260"/>
      <c r="L477" s="115"/>
      <c r="M477" s="42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24"/>
      <c r="AA477" s="24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260"/>
      <c r="L478" s="115"/>
      <c r="M478" s="42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24"/>
      <c r="AA478" s="24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260"/>
      <c r="L479" s="115"/>
      <c r="M479" s="42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24"/>
      <c r="AA479" s="24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260"/>
      <c r="L480" s="115"/>
      <c r="M480" s="42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24"/>
      <c r="AA480" s="24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260"/>
      <c r="L481" s="115"/>
      <c r="M481" s="42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24"/>
      <c r="AA481" s="24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260"/>
      <c r="L482" s="115"/>
      <c r="M482" s="42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24"/>
      <c r="AA482" s="24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260"/>
      <c r="L483" s="115"/>
      <c r="M483" s="42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24"/>
      <c r="AA483" s="24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260"/>
      <c r="L484" s="115"/>
      <c r="M484" s="42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24"/>
      <c r="AA484" s="24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260"/>
      <c r="L485" s="115"/>
      <c r="M485" s="42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24"/>
      <c r="AA485" s="24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260"/>
      <c r="L486" s="115"/>
      <c r="M486" s="42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24"/>
      <c r="AA486" s="24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260"/>
      <c r="L487" s="115"/>
      <c r="M487" s="42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24"/>
      <c r="AA487" s="24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260"/>
      <c r="L488" s="115"/>
      <c r="M488" s="42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24"/>
      <c r="AA488" s="24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260"/>
      <c r="L489" s="115"/>
      <c r="M489" s="42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24"/>
      <c r="AA489" s="24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260"/>
      <c r="L490" s="115"/>
      <c r="M490" s="42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24"/>
      <c r="AA490" s="24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260"/>
      <c r="L491" s="115"/>
      <c r="M491" s="42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24"/>
      <c r="AA491" s="24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260"/>
      <c r="L492" s="115"/>
      <c r="M492" s="42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24"/>
      <c r="AA492" s="24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260"/>
      <c r="L493" s="115"/>
      <c r="M493" s="42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24"/>
      <c r="AA493" s="24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260"/>
      <c r="L494" s="115"/>
      <c r="M494" s="42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24"/>
      <c r="AA494" s="24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260"/>
      <c r="L495" s="115"/>
      <c r="M495" s="42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24"/>
      <c r="AA495" s="24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260"/>
      <c r="L496" s="115"/>
      <c r="M496" s="42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24"/>
      <c r="AA496" s="24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260"/>
      <c r="L497" s="115"/>
      <c r="M497" s="42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24"/>
      <c r="AA497" s="24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260"/>
      <c r="L498" s="115"/>
      <c r="M498" s="42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24"/>
      <c r="AA498" s="24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260"/>
      <c r="L499" s="115"/>
      <c r="M499" s="42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24"/>
      <c r="AA499" s="24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260"/>
      <c r="L500" s="115"/>
      <c r="M500" s="42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24"/>
      <c r="AA500" s="24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260"/>
      <c r="L501" s="115"/>
      <c r="M501" s="42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24"/>
      <c r="AA501" s="24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260"/>
      <c r="L502" s="115"/>
      <c r="M502" s="42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24"/>
      <c r="AA502" s="24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260"/>
      <c r="L503" s="115"/>
      <c r="M503" s="42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24"/>
      <c r="AA503" s="24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260"/>
      <c r="L504" s="115"/>
      <c r="M504" s="42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24"/>
      <c r="AA504" s="24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260"/>
      <c r="L505" s="115"/>
      <c r="M505" s="42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24"/>
      <c r="AA505" s="24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260"/>
      <c r="L506" s="115"/>
      <c r="M506" s="42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24"/>
      <c r="AA506" s="24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260"/>
      <c r="L507" s="115"/>
      <c r="M507" s="42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24"/>
      <c r="AA507" s="24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260"/>
      <c r="L508" s="115"/>
      <c r="M508" s="42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24"/>
      <c r="AA508" s="24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260"/>
      <c r="L509" s="115"/>
      <c r="M509" s="42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24"/>
      <c r="AA509" s="24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260"/>
      <c r="L510" s="115"/>
      <c r="M510" s="42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24"/>
      <c r="AA510" s="24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260"/>
      <c r="L511" s="115"/>
      <c r="M511" s="42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24"/>
      <c r="AA511" s="24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260"/>
      <c r="L512" s="115"/>
      <c r="M512" s="42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24"/>
      <c r="AA512" s="24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260"/>
      <c r="L513" s="115"/>
      <c r="M513" s="42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24"/>
      <c r="AA513" s="24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260"/>
      <c r="L514" s="115"/>
      <c r="M514" s="42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24"/>
      <c r="AA514" s="24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260"/>
      <c r="L515" s="115"/>
      <c r="M515" s="42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24"/>
      <c r="AA515" s="24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260"/>
      <c r="L516" s="115"/>
      <c r="M516" s="42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24"/>
      <c r="AA516" s="24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260"/>
      <c r="L517" s="115"/>
      <c r="M517" s="42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24"/>
      <c r="AA517" s="24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260"/>
      <c r="L518" s="115"/>
      <c r="M518" s="42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24"/>
      <c r="AA518" s="24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260"/>
      <c r="L519" s="115"/>
      <c r="M519" s="42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24"/>
      <c r="AA519" s="24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260"/>
      <c r="L520" s="115"/>
      <c r="M520" s="42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24"/>
      <c r="AA520" s="24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260"/>
      <c r="L521" s="115"/>
      <c r="M521" s="42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24"/>
      <c r="AA521" s="24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260"/>
      <c r="L522" s="115"/>
      <c r="M522" s="42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24"/>
      <c r="AA522" s="24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260"/>
      <c r="L523" s="115"/>
      <c r="M523" s="42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24"/>
      <c r="AA523" s="24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260"/>
      <c r="L524" s="115"/>
      <c r="M524" s="42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24"/>
      <c r="AA524" s="24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260"/>
      <c r="L525" s="115"/>
      <c r="M525" s="42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24"/>
      <c r="AA525" s="24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260"/>
      <c r="L526" s="115"/>
      <c r="M526" s="42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24"/>
      <c r="AA526" s="24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260"/>
      <c r="L527" s="115"/>
      <c r="M527" s="42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24"/>
      <c r="AA527" s="24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260"/>
      <c r="L528" s="115"/>
      <c r="M528" s="42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24"/>
      <c r="AA528" s="24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260"/>
      <c r="L529" s="115"/>
      <c r="M529" s="42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24"/>
      <c r="AA529" s="24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260"/>
      <c r="L530" s="115"/>
      <c r="M530" s="42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24"/>
      <c r="AA530" s="24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260"/>
      <c r="L531" s="115"/>
      <c r="M531" s="42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24"/>
      <c r="AA531" s="24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260"/>
      <c r="L532" s="115"/>
      <c r="M532" s="42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24"/>
      <c r="AA532" s="24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260"/>
      <c r="L533" s="115"/>
      <c r="M533" s="42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24"/>
      <c r="AA533" s="24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260"/>
      <c r="L534" s="115"/>
      <c r="M534" s="42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24"/>
      <c r="AA534" s="24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260"/>
      <c r="L535" s="115"/>
      <c r="M535" s="42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24"/>
      <c r="AA535" s="24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260"/>
      <c r="L536" s="115"/>
      <c r="M536" s="42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24"/>
      <c r="AA536" s="24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260"/>
      <c r="L537" s="115"/>
      <c r="M537" s="42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24"/>
      <c r="AA537" s="24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260"/>
      <c r="L538" s="115"/>
      <c r="M538" s="42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24"/>
      <c r="AA538" s="24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260"/>
      <c r="L539" s="115"/>
      <c r="M539" s="42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24"/>
      <c r="AA539" s="24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260"/>
      <c r="L540" s="115"/>
      <c r="M540" s="42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24"/>
      <c r="AA540" s="24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260"/>
      <c r="L541" s="115"/>
      <c r="M541" s="42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24"/>
      <c r="AA541" s="24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260"/>
      <c r="L542" s="115"/>
      <c r="M542" s="42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24"/>
      <c r="AA542" s="24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260"/>
      <c r="L543" s="115"/>
      <c r="M543" s="42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24"/>
      <c r="AA543" s="24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260"/>
      <c r="L544" s="115"/>
      <c r="M544" s="42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24"/>
      <c r="AA544" s="24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260"/>
      <c r="L545" s="115"/>
      <c r="M545" s="42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24"/>
      <c r="AA545" s="24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260"/>
      <c r="L546" s="115"/>
      <c r="M546" s="42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24"/>
      <c r="AA546" s="24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260"/>
      <c r="L547" s="115"/>
      <c r="M547" s="42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24"/>
      <c r="AA547" s="24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260"/>
      <c r="L548" s="115"/>
      <c r="M548" s="42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24"/>
      <c r="AA548" s="24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260"/>
      <c r="L549" s="115"/>
      <c r="M549" s="42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24"/>
      <c r="AA549" s="24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260"/>
      <c r="L550" s="115"/>
      <c r="M550" s="42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24"/>
      <c r="AA550" s="24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260"/>
      <c r="L551" s="115"/>
      <c r="M551" s="42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24"/>
      <c r="AA551" s="24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260"/>
      <c r="L552" s="115"/>
      <c r="M552" s="42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24"/>
      <c r="AA552" s="24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260"/>
      <c r="L553" s="115"/>
      <c r="M553" s="42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24"/>
      <c r="AA553" s="24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260"/>
      <c r="L554" s="115"/>
      <c r="M554" s="42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24"/>
      <c r="AA554" s="24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260"/>
      <c r="L555" s="115"/>
      <c r="M555" s="42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24"/>
      <c r="AA555" s="24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260"/>
      <c r="L556" s="115"/>
      <c r="M556" s="42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24"/>
      <c r="AA556" s="24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260"/>
      <c r="L557" s="115"/>
      <c r="M557" s="42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24"/>
      <c r="AA557" s="24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260"/>
      <c r="L558" s="115"/>
      <c r="M558" s="42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24"/>
      <c r="AA558" s="24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260"/>
      <c r="L559" s="115"/>
      <c r="M559" s="42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24"/>
      <c r="AA559" s="24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260"/>
      <c r="L560" s="115"/>
      <c r="M560" s="42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24"/>
      <c r="AA560" s="24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260"/>
      <c r="L561" s="115"/>
      <c r="M561" s="42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24"/>
      <c r="AA561" s="24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260"/>
      <c r="L562" s="115"/>
      <c r="M562" s="42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24"/>
      <c r="AA562" s="24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260"/>
      <c r="L563" s="115"/>
      <c r="M563" s="42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24"/>
      <c r="AA563" s="24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260"/>
      <c r="L564" s="115"/>
      <c r="M564" s="42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24"/>
      <c r="AA564" s="24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260"/>
      <c r="L565" s="115"/>
      <c r="M565" s="42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24"/>
      <c r="AA565" s="24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260"/>
      <c r="L566" s="115"/>
      <c r="M566" s="42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24"/>
      <c r="AA566" s="24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260"/>
      <c r="L567" s="115"/>
      <c r="M567" s="42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24"/>
      <c r="AA567" s="24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260"/>
      <c r="L568" s="115"/>
      <c r="M568" s="42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24"/>
      <c r="AA568" s="24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260"/>
      <c r="L569" s="115"/>
      <c r="M569" s="42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24"/>
      <c r="AA569" s="24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260"/>
      <c r="L570" s="115"/>
      <c r="M570" s="42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24"/>
      <c r="AA570" s="24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260"/>
      <c r="L571" s="115"/>
      <c r="M571" s="42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24"/>
      <c r="AA571" s="24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260"/>
      <c r="L572" s="115"/>
      <c r="M572" s="42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24"/>
      <c r="AA572" s="24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260"/>
      <c r="L573" s="115"/>
      <c r="M573" s="42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24"/>
      <c r="AA573" s="24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260"/>
      <c r="L574" s="115"/>
      <c r="M574" s="42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24"/>
      <c r="AA574" s="24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260"/>
      <c r="L575" s="115"/>
      <c r="M575" s="42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24"/>
      <c r="AA575" s="24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260"/>
      <c r="L576" s="115"/>
      <c r="M576" s="42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24"/>
      <c r="AA576" s="24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260"/>
      <c r="L577" s="115"/>
      <c r="M577" s="42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24"/>
      <c r="AA577" s="24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260"/>
      <c r="L578" s="115"/>
      <c r="M578" s="42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24"/>
      <c r="AA578" s="24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260"/>
      <c r="L579" s="115"/>
      <c r="M579" s="42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24"/>
      <c r="AA579" s="24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260"/>
      <c r="L580" s="115"/>
      <c r="M580" s="42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24"/>
      <c r="AA580" s="24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260"/>
      <c r="L581" s="115"/>
      <c r="M581" s="42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24"/>
      <c r="AA581" s="24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260"/>
      <c r="L582" s="115"/>
      <c r="M582" s="42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24"/>
      <c r="AA582" s="24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260"/>
      <c r="L583" s="115"/>
      <c r="M583" s="42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24"/>
      <c r="AA583" s="24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260"/>
      <c r="L584" s="115"/>
      <c r="M584" s="42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24"/>
      <c r="AA584" s="24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260"/>
      <c r="L585" s="115"/>
      <c r="M585" s="42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24"/>
      <c r="AA585" s="24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260"/>
      <c r="L586" s="115"/>
      <c r="M586" s="42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24"/>
      <c r="AA586" s="24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260"/>
      <c r="L587" s="115"/>
      <c r="M587" s="42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24"/>
      <c r="AA587" s="24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260"/>
      <c r="L588" s="115"/>
      <c r="M588" s="42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24"/>
      <c r="AA588" s="24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260"/>
      <c r="L589" s="115"/>
      <c r="M589" s="42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24"/>
      <c r="AA589" s="24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260"/>
      <c r="L590" s="115"/>
      <c r="M590" s="42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24"/>
      <c r="AA590" s="24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260"/>
      <c r="L591" s="115"/>
      <c r="M591" s="42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24"/>
      <c r="AA591" s="24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260"/>
      <c r="L592" s="115"/>
      <c r="M592" s="42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24"/>
      <c r="AA592" s="24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260"/>
      <c r="L593" s="115"/>
      <c r="M593" s="42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24"/>
      <c r="AA593" s="24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260"/>
      <c r="L594" s="115"/>
      <c r="M594" s="42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24"/>
      <c r="AA594" s="24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260"/>
      <c r="L595" s="115"/>
      <c r="M595" s="42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24"/>
      <c r="AA595" s="24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260"/>
      <c r="L596" s="115"/>
      <c r="M596" s="42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24"/>
      <c r="AA596" s="24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260"/>
      <c r="L597" s="115"/>
      <c r="M597" s="42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24"/>
      <c r="AA597" s="24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260"/>
      <c r="L598" s="115"/>
      <c r="M598" s="42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24"/>
      <c r="AA598" s="24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260"/>
      <c r="L599" s="115"/>
      <c r="M599" s="42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24"/>
      <c r="AA599" s="24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260"/>
      <c r="L600" s="115"/>
      <c r="M600" s="42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24"/>
      <c r="AA600" s="24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260"/>
      <c r="L601" s="115"/>
      <c r="M601" s="42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24"/>
      <c r="AA601" s="24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260"/>
      <c r="L602" s="115"/>
      <c r="M602" s="42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24"/>
      <c r="AA602" s="24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260"/>
      <c r="L603" s="115"/>
      <c r="M603" s="42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24"/>
      <c r="AA603" s="24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260"/>
      <c r="L604" s="115"/>
      <c r="M604" s="42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24"/>
      <c r="AA604" s="24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260"/>
      <c r="L605" s="115"/>
      <c r="M605" s="42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24"/>
      <c r="AA605" s="24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260"/>
      <c r="L606" s="115"/>
      <c r="M606" s="42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24"/>
      <c r="AA606" s="24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260"/>
      <c r="L607" s="115"/>
      <c r="M607" s="42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24"/>
      <c r="AA607" s="24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260"/>
      <c r="L608" s="115"/>
      <c r="M608" s="42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24"/>
      <c r="AA608" s="24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260"/>
      <c r="L609" s="115"/>
      <c r="M609" s="42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24"/>
      <c r="AA609" s="24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260"/>
      <c r="L610" s="115"/>
      <c r="M610" s="42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24"/>
      <c r="AA610" s="24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260"/>
      <c r="L611" s="115"/>
      <c r="M611" s="42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24"/>
      <c r="AA611" s="24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260"/>
      <c r="L612" s="115"/>
      <c r="M612" s="42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24"/>
      <c r="AA612" s="24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260"/>
      <c r="L613" s="115"/>
      <c r="M613" s="42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24"/>
      <c r="AA613" s="24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260"/>
      <c r="L614" s="115"/>
      <c r="M614" s="42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24"/>
      <c r="AA614" s="24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260"/>
      <c r="L615" s="115"/>
      <c r="M615" s="42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24"/>
      <c r="AA615" s="24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260"/>
      <c r="L616" s="115"/>
      <c r="M616" s="42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24"/>
      <c r="AA616" s="24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260"/>
      <c r="L617" s="115"/>
      <c r="M617" s="42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24"/>
      <c r="AA617" s="24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260"/>
      <c r="L618" s="115"/>
      <c r="M618" s="42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24"/>
      <c r="AA618" s="24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260"/>
      <c r="L619" s="115"/>
      <c r="M619" s="42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24"/>
      <c r="AA619" s="24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260"/>
      <c r="L620" s="115"/>
      <c r="M620" s="42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24"/>
      <c r="AA620" s="24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260"/>
      <c r="L621" s="115"/>
      <c r="M621" s="42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24"/>
      <c r="AA621" s="24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260"/>
      <c r="L622" s="115"/>
      <c r="M622" s="42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24"/>
      <c r="AA622" s="24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260"/>
      <c r="L623" s="115"/>
      <c r="M623" s="42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24"/>
      <c r="AA623" s="24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260"/>
      <c r="L624" s="115"/>
      <c r="M624" s="42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24"/>
      <c r="AA624" s="24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260"/>
      <c r="L625" s="115"/>
      <c r="M625" s="42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24"/>
      <c r="AA625" s="24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260"/>
      <c r="L626" s="115"/>
      <c r="M626" s="42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24"/>
      <c r="AA626" s="24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260"/>
      <c r="L627" s="115"/>
      <c r="M627" s="42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24"/>
      <c r="AA627" s="24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260"/>
      <c r="L628" s="115"/>
      <c r="M628" s="42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24"/>
      <c r="AA628" s="24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260"/>
      <c r="L629" s="115"/>
      <c r="M629" s="42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24"/>
      <c r="AA629" s="24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260"/>
      <c r="L630" s="115"/>
      <c r="M630" s="42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24"/>
      <c r="AA630" s="24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260"/>
      <c r="L631" s="115"/>
      <c r="M631" s="42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24"/>
      <c r="AA631" s="24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260"/>
      <c r="L632" s="115"/>
      <c r="M632" s="42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24"/>
      <c r="AA632" s="24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260"/>
      <c r="L633" s="115"/>
      <c r="M633" s="42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24"/>
      <c r="AA633" s="24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260"/>
      <c r="L634" s="115"/>
      <c r="M634" s="42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24"/>
      <c r="AA634" s="24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260"/>
      <c r="L635" s="115"/>
      <c r="M635" s="42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24"/>
      <c r="AA635" s="24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260"/>
      <c r="L636" s="115"/>
      <c r="M636" s="42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24"/>
      <c r="AA636" s="24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260"/>
      <c r="L637" s="115"/>
      <c r="M637" s="42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24"/>
      <c r="AA637" s="24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260"/>
      <c r="L638" s="115"/>
      <c r="M638" s="42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24"/>
      <c r="AA638" s="24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260"/>
      <c r="L639" s="115"/>
      <c r="M639" s="42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24"/>
      <c r="AA639" s="24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260"/>
      <c r="L640" s="115"/>
      <c r="M640" s="42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24"/>
      <c r="AA640" s="24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260"/>
      <c r="L641" s="115"/>
      <c r="M641" s="42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24"/>
      <c r="AA641" s="24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260"/>
      <c r="L642" s="115"/>
      <c r="M642" s="42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24"/>
      <c r="AA642" s="24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260"/>
      <c r="L643" s="115"/>
      <c r="M643" s="42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24"/>
      <c r="AA643" s="24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260"/>
      <c r="L644" s="115"/>
      <c r="M644" s="42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24"/>
      <c r="AA644" s="24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260"/>
      <c r="L645" s="115"/>
      <c r="M645" s="42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24"/>
      <c r="AA645" s="24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260"/>
      <c r="L646" s="115"/>
      <c r="M646" s="42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24"/>
      <c r="AA646" s="24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260"/>
      <c r="L647" s="115"/>
      <c r="M647" s="42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24"/>
      <c r="AA647" s="24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260"/>
      <c r="L648" s="115"/>
      <c r="M648" s="42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24"/>
      <c r="AA648" s="24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260"/>
      <c r="L649" s="115"/>
      <c r="M649" s="42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24"/>
      <c r="AA649" s="24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260"/>
      <c r="L650" s="115"/>
      <c r="M650" s="42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24"/>
      <c r="AA650" s="24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260"/>
      <c r="L651" s="115"/>
      <c r="M651" s="42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24"/>
      <c r="AA651" s="24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260"/>
      <c r="L652" s="115"/>
      <c r="M652" s="42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24"/>
      <c r="AA652" s="24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260"/>
      <c r="L653" s="115"/>
      <c r="M653" s="42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24"/>
      <c r="AA653" s="24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260"/>
      <c r="L654" s="115"/>
      <c r="M654" s="42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24"/>
      <c r="AA654" s="24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260"/>
      <c r="L655" s="115"/>
      <c r="M655" s="42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24"/>
      <c r="AA655" s="24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260"/>
      <c r="L656" s="115"/>
      <c r="M656" s="42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24"/>
      <c r="AA656" s="24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260"/>
      <c r="L657" s="115"/>
      <c r="M657" s="42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24"/>
      <c r="AA657" s="24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260"/>
      <c r="L658" s="115"/>
      <c r="M658" s="42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24"/>
      <c r="AA658" s="24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260"/>
      <c r="L659" s="115"/>
      <c r="M659" s="42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24"/>
      <c r="AA659" s="24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260"/>
      <c r="L660" s="115"/>
      <c r="M660" s="42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24"/>
      <c r="AA660" s="24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260"/>
      <c r="L661" s="115"/>
      <c r="M661" s="42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24"/>
      <c r="AA661" s="24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260"/>
      <c r="L662" s="115"/>
      <c r="M662" s="42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24"/>
      <c r="AA662" s="24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260"/>
      <c r="L663" s="115"/>
      <c r="M663" s="42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24"/>
      <c r="AA663" s="24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260"/>
      <c r="L664" s="115"/>
      <c r="M664" s="42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24"/>
      <c r="AA664" s="24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260"/>
      <c r="L665" s="115"/>
      <c r="M665" s="42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24"/>
      <c r="AA665" s="24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260"/>
      <c r="L666" s="115"/>
      <c r="M666" s="42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24"/>
      <c r="AA666" s="24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260"/>
      <c r="L667" s="115"/>
      <c r="M667" s="42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24"/>
      <c r="AA667" s="24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260"/>
      <c r="L668" s="115"/>
      <c r="M668" s="42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24"/>
      <c r="AA668" s="24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260"/>
      <c r="L669" s="115"/>
      <c r="M669" s="42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24"/>
      <c r="AA669" s="24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260"/>
      <c r="L670" s="115"/>
      <c r="M670" s="42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24"/>
      <c r="AA670" s="24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260"/>
      <c r="L671" s="115"/>
      <c r="M671" s="42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24"/>
      <c r="AA671" s="24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260"/>
      <c r="L672" s="115"/>
      <c r="M672" s="42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24"/>
      <c r="AA672" s="24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260"/>
      <c r="L673" s="115"/>
      <c r="M673" s="42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24"/>
      <c r="AA673" s="24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260"/>
      <c r="L674" s="115"/>
      <c r="M674" s="42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24"/>
      <c r="AA674" s="24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260"/>
      <c r="L675" s="115"/>
      <c r="M675" s="42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24"/>
      <c r="AA675" s="24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260"/>
      <c r="L676" s="115"/>
      <c r="M676" s="42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24"/>
      <c r="AA676" s="24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260"/>
      <c r="L677" s="115"/>
      <c r="M677" s="42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24"/>
      <c r="AA677" s="24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260"/>
      <c r="L678" s="115"/>
      <c r="M678" s="42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24"/>
      <c r="AA678" s="24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260"/>
      <c r="L679" s="115"/>
      <c r="M679" s="42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24"/>
      <c r="AA679" s="24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260"/>
      <c r="L680" s="115"/>
      <c r="M680" s="42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24"/>
      <c r="AA680" s="24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260"/>
      <c r="L681" s="115"/>
      <c r="M681" s="42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24"/>
      <c r="AA681" s="24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260"/>
      <c r="L682" s="115"/>
      <c r="M682" s="42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24"/>
      <c r="AA682" s="24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260"/>
      <c r="L683" s="115"/>
      <c r="M683" s="42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24"/>
      <c r="AA683" s="24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260"/>
      <c r="L684" s="115"/>
      <c r="M684" s="42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24"/>
      <c r="AA684" s="24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260"/>
      <c r="L685" s="115"/>
      <c r="M685" s="42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24"/>
      <c r="AA685" s="24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260"/>
      <c r="L686" s="115"/>
      <c r="M686" s="42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24"/>
      <c r="AA686" s="24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260"/>
      <c r="L687" s="115"/>
      <c r="M687" s="42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24"/>
      <c r="AA687" s="24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260"/>
      <c r="L688" s="115"/>
      <c r="M688" s="42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24"/>
      <c r="AA688" s="24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260"/>
      <c r="L689" s="115"/>
      <c r="M689" s="42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24"/>
      <c r="AA689" s="24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260"/>
      <c r="L690" s="115"/>
      <c r="M690" s="42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24"/>
      <c r="AA690" s="24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260"/>
      <c r="L691" s="115"/>
      <c r="M691" s="42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24"/>
      <c r="AA691" s="24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260"/>
      <c r="L692" s="115"/>
      <c r="M692" s="42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24"/>
      <c r="AA692" s="24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260"/>
      <c r="L693" s="115"/>
      <c r="M693" s="42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24"/>
      <c r="AA693" s="24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260"/>
      <c r="L694" s="115"/>
      <c r="M694" s="42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24"/>
      <c r="AA694" s="24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260"/>
      <c r="L695" s="115"/>
      <c r="M695" s="42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24"/>
      <c r="AA695" s="24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260"/>
      <c r="L696" s="115"/>
      <c r="M696" s="42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24"/>
      <c r="AA696" s="24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260"/>
      <c r="L697" s="115"/>
      <c r="M697" s="42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24"/>
      <c r="AA697" s="24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260"/>
      <c r="L698" s="115"/>
      <c r="M698" s="42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24"/>
      <c r="AA698" s="24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260"/>
      <c r="L699" s="115"/>
      <c r="M699" s="42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24"/>
      <c r="AA699" s="24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260"/>
      <c r="L700" s="115"/>
      <c r="M700" s="42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24"/>
      <c r="AA700" s="24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260"/>
      <c r="L701" s="115"/>
      <c r="M701" s="42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24"/>
      <c r="AA701" s="24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260"/>
      <c r="L702" s="115"/>
      <c r="M702" s="42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24"/>
      <c r="AA702" s="24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260"/>
      <c r="L703" s="115"/>
      <c r="M703" s="42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24"/>
      <c r="AA703" s="24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260"/>
      <c r="L704" s="115"/>
      <c r="M704" s="42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24"/>
      <c r="AA704" s="24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260"/>
      <c r="L705" s="115"/>
      <c r="M705" s="42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24"/>
      <c r="AA705" s="24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260"/>
      <c r="L706" s="115"/>
      <c r="M706" s="42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24"/>
      <c r="AA706" s="24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260"/>
      <c r="L707" s="115"/>
      <c r="M707" s="42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24"/>
      <c r="AA707" s="24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260"/>
      <c r="L708" s="115"/>
      <c r="M708" s="42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24"/>
      <c r="AA708" s="24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260"/>
      <c r="L709" s="115"/>
      <c r="M709" s="42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24"/>
      <c r="AA709" s="24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260"/>
      <c r="L710" s="115"/>
      <c r="M710" s="42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24"/>
      <c r="AA710" s="24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260"/>
      <c r="L711" s="115"/>
      <c r="M711" s="42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24"/>
      <c r="AA711" s="24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260"/>
      <c r="L712" s="115"/>
      <c r="M712" s="42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24"/>
      <c r="AA712" s="24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260"/>
      <c r="L713" s="115"/>
      <c r="M713" s="42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24"/>
      <c r="AA713" s="24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260"/>
      <c r="L714" s="115"/>
      <c r="M714" s="42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24"/>
      <c r="AA714" s="24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260"/>
      <c r="L715" s="115"/>
      <c r="M715" s="42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24"/>
      <c r="AA715" s="24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260"/>
      <c r="L716" s="115"/>
      <c r="M716" s="42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24"/>
      <c r="AA716" s="24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260"/>
      <c r="L717" s="115"/>
      <c r="M717" s="42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24"/>
      <c r="AA717" s="24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260"/>
      <c r="L718" s="115"/>
      <c r="M718" s="42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24"/>
      <c r="AA718" s="24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260"/>
      <c r="L719" s="115"/>
      <c r="M719" s="42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24"/>
      <c r="AA719" s="24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260"/>
      <c r="L720" s="115"/>
      <c r="M720" s="42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24"/>
      <c r="AA720" s="24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260"/>
      <c r="L721" s="115"/>
      <c r="M721" s="42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24"/>
      <c r="AA721" s="24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260"/>
      <c r="L722" s="115"/>
      <c r="M722" s="42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24"/>
      <c r="AA722" s="24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260"/>
      <c r="L723" s="115"/>
      <c r="M723" s="42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24"/>
      <c r="AA723" s="24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260"/>
      <c r="L724" s="115"/>
      <c r="M724" s="42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24"/>
      <c r="AA724" s="24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260"/>
      <c r="L725" s="115"/>
      <c r="M725" s="42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24"/>
      <c r="AA725" s="24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260"/>
      <c r="L726" s="115"/>
      <c r="M726" s="42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24"/>
      <c r="AA726" s="24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260"/>
      <c r="L727" s="115"/>
      <c r="M727" s="42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24"/>
      <c r="AA727" s="24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260"/>
      <c r="L728" s="115"/>
      <c r="M728" s="42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24"/>
      <c r="AA728" s="24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260"/>
      <c r="L729" s="115"/>
      <c r="M729" s="42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24"/>
      <c r="AA729" s="24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260"/>
      <c r="L730" s="115"/>
      <c r="M730" s="42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24"/>
      <c r="AA730" s="24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260"/>
      <c r="L731" s="115"/>
      <c r="M731" s="42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24"/>
      <c r="AA731" s="24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260"/>
      <c r="L732" s="115"/>
      <c r="M732" s="42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24"/>
      <c r="AA732" s="24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260"/>
      <c r="L733" s="115"/>
      <c r="M733" s="42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24"/>
      <c r="AA733" s="24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260"/>
      <c r="L734" s="115"/>
      <c r="M734" s="42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24"/>
      <c r="AA734" s="24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260"/>
      <c r="L735" s="115"/>
      <c r="M735" s="42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24"/>
      <c r="AA735" s="24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260"/>
      <c r="L736" s="115"/>
      <c r="M736" s="42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24"/>
      <c r="AA736" s="24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260"/>
      <c r="L737" s="115"/>
      <c r="M737" s="42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24"/>
      <c r="AA737" s="24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260"/>
      <c r="L738" s="115"/>
      <c r="M738" s="42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24"/>
      <c r="AA738" s="24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260"/>
      <c r="L739" s="115"/>
      <c r="M739" s="42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24"/>
      <c r="AA739" s="24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260"/>
      <c r="L740" s="115"/>
      <c r="M740" s="42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24"/>
      <c r="AA740" s="24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260"/>
      <c r="L741" s="115"/>
      <c r="M741" s="42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24"/>
      <c r="AA741" s="24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260"/>
      <c r="L742" s="115"/>
      <c r="M742" s="42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24"/>
      <c r="AA742" s="24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260"/>
      <c r="L743" s="115"/>
      <c r="M743" s="42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24"/>
      <c r="AA743" s="24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260"/>
      <c r="L744" s="115"/>
      <c r="M744" s="42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24"/>
      <c r="AA744" s="24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260"/>
      <c r="L745" s="115"/>
      <c r="M745" s="42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24"/>
      <c r="AA745" s="24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260"/>
      <c r="L746" s="115"/>
      <c r="M746" s="42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24"/>
      <c r="AA746" s="24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260"/>
      <c r="L747" s="115"/>
      <c r="M747" s="42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24"/>
      <c r="AA747" s="24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260"/>
      <c r="L748" s="115"/>
      <c r="M748" s="42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24"/>
      <c r="AA748" s="24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260"/>
      <c r="L749" s="115"/>
      <c r="M749" s="42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24"/>
      <c r="AA749" s="24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260"/>
      <c r="L750" s="115"/>
      <c r="M750" s="42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24"/>
      <c r="AA750" s="24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260"/>
      <c r="L751" s="115"/>
      <c r="M751" s="42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24"/>
      <c r="AA751" s="24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260"/>
      <c r="L752" s="115"/>
      <c r="M752" s="42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24"/>
      <c r="AA752" s="24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260"/>
      <c r="L753" s="115"/>
      <c r="M753" s="42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24"/>
      <c r="AA753" s="24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260"/>
      <c r="L754" s="115"/>
      <c r="M754" s="42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24"/>
      <c r="AA754" s="24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260"/>
      <c r="L755" s="115"/>
      <c r="M755" s="42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24"/>
      <c r="AA755" s="24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260"/>
      <c r="L756" s="115"/>
      <c r="M756" s="42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24"/>
      <c r="AA756" s="24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260"/>
      <c r="L757" s="115"/>
      <c r="M757" s="42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24"/>
      <c r="AA757" s="24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260"/>
      <c r="L758" s="115"/>
      <c r="M758" s="42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24"/>
      <c r="AA758" s="24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260"/>
      <c r="L759" s="115"/>
      <c r="M759" s="42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24"/>
      <c r="AA759" s="24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260"/>
      <c r="L760" s="115"/>
      <c r="M760" s="42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24"/>
      <c r="AA760" s="24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260"/>
      <c r="L761" s="115"/>
      <c r="M761" s="42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24"/>
      <c r="AA761" s="24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260"/>
      <c r="L762" s="115"/>
      <c r="M762" s="42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24"/>
      <c r="AA762" s="24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260"/>
      <c r="L763" s="115"/>
      <c r="M763" s="42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24"/>
      <c r="AA763" s="24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260"/>
      <c r="L764" s="115"/>
      <c r="M764" s="42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24"/>
      <c r="AA764" s="24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260"/>
      <c r="L765" s="115"/>
      <c r="M765" s="42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24"/>
      <c r="AA765" s="24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260"/>
      <c r="L766" s="115"/>
      <c r="M766" s="42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24"/>
      <c r="AA766" s="24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260"/>
      <c r="L767" s="115"/>
      <c r="M767" s="42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24"/>
      <c r="AA767" s="24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260"/>
      <c r="L768" s="115"/>
      <c r="M768" s="42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24"/>
      <c r="AA768" s="24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260"/>
      <c r="L769" s="115"/>
      <c r="M769" s="42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24"/>
      <c r="AA769" s="24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260"/>
      <c r="L770" s="115"/>
      <c r="M770" s="42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24"/>
      <c r="AA770" s="24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260"/>
      <c r="L771" s="115"/>
      <c r="M771" s="42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24"/>
      <c r="AA771" s="24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260"/>
      <c r="L772" s="115"/>
      <c r="M772" s="42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24"/>
      <c r="AA772" s="24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260"/>
      <c r="L773" s="115"/>
      <c r="M773" s="42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24"/>
      <c r="AA773" s="24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260"/>
      <c r="L774" s="115"/>
      <c r="M774" s="42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24"/>
      <c r="AA774" s="24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260"/>
      <c r="L775" s="115"/>
      <c r="M775" s="42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24"/>
      <c r="AA775" s="24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260"/>
      <c r="L776" s="115"/>
      <c r="M776" s="42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24"/>
      <c r="AA776" s="24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260"/>
      <c r="L777" s="115"/>
      <c r="M777" s="42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24"/>
      <c r="AA777" s="24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260"/>
      <c r="L778" s="115"/>
      <c r="M778" s="42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24"/>
      <c r="AA778" s="24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260"/>
      <c r="L779" s="115"/>
      <c r="M779" s="42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24"/>
      <c r="AA779" s="24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260"/>
      <c r="L780" s="115"/>
      <c r="M780" s="42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24"/>
      <c r="AA780" s="24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260"/>
      <c r="L781" s="115"/>
      <c r="M781" s="42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24"/>
      <c r="AA781" s="24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260"/>
      <c r="L782" s="115"/>
      <c r="M782" s="42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24"/>
      <c r="AA782" s="24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260"/>
      <c r="L783" s="115"/>
      <c r="M783" s="42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24"/>
      <c r="AA783" s="24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260"/>
      <c r="L784" s="115"/>
      <c r="M784" s="42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24"/>
      <c r="AA784" s="24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260"/>
      <c r="L785" s="115"/>
      <c r="M785" s="42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24"/>
      <c r="AA785" s="24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260"/>
      <c r="L786" s="115"/>
      <c r="M786" s="42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24"/>
      <c r="AA786" s="24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260"/>
      <c r="L787" s="115"/>
      <c r="M787" s="42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24"/>
      <c r="AA787" s="24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260"/>
      <c r="L788" s="115"/>
      <c r="M788" s="42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24"/>
      <c r="AA788" s="24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260"/>
      <c r="L789" s="115"/>
      <c r="M789" s="42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24"/>
      <c r="AA789" s="24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260"/>
      <c r="L790" s="115"/>
      <c r="M790" s="42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24"/>
      <c r="AA790" s="24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260"/>
      <c r="L791" s="115"/>
      <c r="M791" s="42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24"/>
      <c r="AA791" s="24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260"/>
      <c r="L792" s="115"/>
      <c r="M792" s="42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24"/>
      <c r="AA792" s="24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260"/>
      <c r="L793" s="115"/>
      <c r="M793" s="42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24"/>
      <c r="AA793" s="24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260"/>
      <c r="L794" s="115"/>
      <c r="M794" s="42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24"/>
      <c r="AA794" s="24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260"/>
      <c r="L795" s="115"/>
      <c r="M795" s="42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24"/>
      <c r="AA795" s="24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260"/>
      <c r="L796" s="115"/>
      <c r="M796" s="42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24"/>
      <c r="AA796" s="24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260"/>
      <c r="L797" s="115"/>
      <c r="M797" s="42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24"/>
      <c r="AA797" s="24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260"/>
      <c r="L798" s="115"/>
      <c r="M798" s="42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24"/>
      <c r="AA798" s="24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260"/>
      <c r="L799" s="115"/>
      <c r="M799" s="42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24"/>
      <c r="AA799" s="24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260"/>
      <c r="L800" s="115"/>
      <c r="M800" s="42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24"/>
      <c r="AA800" s="24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260"/>
      <c r="L801" s="115"/>
      <c r="M801" s="42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24"/>
      <c r="AA801" s="24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260"/>
      <c r="L802" s="115"/>
      <c r="M802" s="42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24"/>
      <c r="AA802" s="24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260"/>
      <c r="L803" s="115"/>
      <c r="M803" s="42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24"/>
      <c r="AA803" s="24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260"/>
      <c r="L804" s="115"/>
      <c r="M804" s="42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24"/>
      <c r="AA804" s="24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260"/>
      <c r="L805" s="115"/>
      <c r="M805" s="42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24"/>
      <c r="AA805" s="24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260"/>
      <c r="L806" s="115"/>
      <c r="M806" s="42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24"/>
      <c r="AA806" s="24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260"/>
      <c r="L807" s="115"/>
      <c r="M807" s="42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24"/>
      <c r="AA807" s="24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260"/>
      <c r="L808" s="115"/>
      <c r="M808" s="42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24"/>
      <c r="AA808" s="24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260"/>
      <c r="L809" s="115"/>
      <c r="M809" s="42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24"/>
      <c r="AA809" s="24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260"/>
      <c r="L810" s="115"/>
      <c r="M810" s="42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24"/>
      <c r="AA810" s="24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260"/>
      <c r="L811" s="115"/>
      <c r="M811" s="42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24"/>
      <c r="AA811" s="24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260"/>
      <c r="L812" s="115"/>
      <c r="M812" s="42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24"/>
      <c r="AA812" s="24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260"/>
      <c r="L813" s="115"/>
      <c r="M813" s="42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24"/>
      <c r="AA813" s="24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260"/>
      <c r="L814" s="115"/>
      <c r="M814" s="42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24"/>
      <c r="AA814" s="24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260"/>
      <c r="L815" s="115"/>
      <c r="M815" s="42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24"/>
      <c r="AA815" s="24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260"/>
      <c r="L816" s="115"/>
      <c r="M816" s="42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24"/>
      <c r="AA816" s="24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260"/>
      <c r="L817" s="115"/>
      <c r="M817" s="42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24"/>
      <c r="AA817" s="24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260"/>
      <c r="L818" s="115"/>
      <c r="M818" s="42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24"/>
      <c r="AA818" s="24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260"/>
      <c r="L819" s="115"/>
      <c r="M819" s="42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24"/>
      <c r="AA819" s="24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260"/>
      <c r="L820" s="115"/>
      <c r="M820" s="42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24"/>
      <c r="AA820" s="24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260"/>
      <c r="L821" s="115"/>
      <c r="M821" s="42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24"/>
      <c r="AA821" s="24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260"/>
      <c r="L822" s="115"/>
      <c r="M822" s="42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24"/>
      <c r="AA822" s="24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260"/>
      <c r="L823" s="115"/>
      <c r="M823" s="42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24"/>
      <c r="AA823" s="24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260"/>
      <c r="L824" s="115"/>
      <c r="M824" s="42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24"/>
      <c r="AA824" s="24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260"/>
      <c r="L825" s="115"/>
      <c r="M825" s="42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24"/>
      <c r="AA825" s="24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260"/>
      <c r="L826" s="115"/>
      <c r="M826" s="42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24"/>
      <c r="AA826" s="24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260"/>
      <c r="L827" s="115"/>
      <c r="M827" s="42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24"/>
      <c r="AA827" s="24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260"/>
      <c r="L828" s="115"/>
      <c r="M828" s="42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24"/>
      <c r="AA828" s="24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260"/>
      <c r="L829" s="115"/>
      <c r="M829" s="42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24"/>
      <c r="AA829" s="24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260"/>
      <c r="L830" s="115"/>
      <c r="M830" s="42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24"/>
      <c r="AA830" s="24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260"/>
      <c r="L831" s="115"/>
      <c r="M831" s="42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24"/>
      <c r="AA831" s="24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260"/>
      <c r="L832" s="115"/>
      <c r="M832" s="42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24"/>
      <c r="AA832" s="24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260"/>
      <c r="L833" s="115"/>
      <c r="M833" s="42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24"/>
      <c r="AA833" s="24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260"/>
      <c r="L834" s="115"/>
      <c r="M834" s="42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24"/>
      <c r="AA834" s="24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260"/>
      <c r="L835" s="115"/>
      <c r="M835" s="42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24"/>
      <c r="AA835" s="24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260"/>
      <c r="L836" s="115"/>
      <c r="M836" s="42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24"/>
      <c r="AA836" s="24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260"/>
      <c r="L837" s="115"/>
      <c r="M837" s="42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24"/>
      <c r="AA837" s="24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260"/>
      <c r="L838" s="115"/>
      <c r="M838" s="42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24"/>
      <c r="AA838" s="24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260"/>
      <c r="L839" s="115"/>
      <c r="M839" s="42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24"/>
      <c r="AA839" s="24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260"/>
      <c r="L840" s="115"/>
      <c r="M840" s="42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24"/>
      <c r="AA840" s="24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260"/>
      <c r="L841" s="115"/>
      <c r="M841" s="42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24"/>
      <c r="AA841" s="24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260"/>
      <c r="L842" s="115"/>
      <c r="M842" s="42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24"/>
      <c r="AA842" s="24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260"/>
      <c r="L843" s="115"/>
      <c r="M843" s="42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24"/>
      <c r="AA843" s="24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260"/>
      <c r="L844" s="115"/>
      <c r="M844" s="42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24"/>
      <c r="AA844" s="24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260"/>
      <c r="L845" s="115"/>
      <c r="M845" s="42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24"/>
      <c r="AA845" s="24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260"/>
      <c r="L846" s="115"/>
      <c r="M846" s="42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24"/>
      <c r="AA846" s="24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260"/>
      <c r="L847" s="115"/>
      <c r="M847" s="42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24"/>
      <c r="AA847" s="24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260"/>
      <c r="L848" s="115"/>
      <c r="M848" s="42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24"/>
      <c r="AA848" s="24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260"/>
      <c r="L849" s="115"/>
      <c r="M849" s="42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24"/>
      <c r="AA849" s="24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260"/>
      <c r="L850" s="115"/>
      <c r="M850" s="42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24"/>
      <c r="AA850" s="24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260"/>
      <c r="L851" s="115"/>
      <c r="M851" s="42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24"/>
      <c r="AA851" s="24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260"/>
      <c r="L852" s="115"/>
      <c r="M852" s="42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24"/>
      <c r="AA852" s="24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260"/>
      <c r="L853" s="115"/>
      <c r="M853" s="42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24"/>
      <c r="AA853" s="24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260"/>
      <c r="L854" s="115"/>
      <c r="M854" s="42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24"/>
      <c r="AA854" s="24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260"/>
      <c r="L855" s="115"/>
      <c r="M855" s="42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24"/>
      <c r="AA855" s="24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260"/>
      <c r="L856" s="115"/>
      <c r="M856" s="42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24"/>
      <c r="AA856" s="24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260"/>
      <c r="L857" s="115"/>
      <c r="M857" s="42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24"/>
      <c r="AA857" s="24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260"/>
      <c r="L858" s="115"/>
      <c r="M858" s="42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24"/>
      <c r="AA858" s="24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260"/>
      <c r="L859" s="115"/>
      <c r="M859" s="42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24"/>
      <c r="AA859" s="24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260"/>
      <c r="L860" s="115"/>
      <c r="M860" s="42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24"/>
      <c r="AA860" s="24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260"/>
      <c r="L861" s="115"/>
      <c r="M861" s="42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24"/>
      <c r="AA861" s="24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260"/>
      <c r="L862" s="115"/>
      <c r="M862" s="42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24"/>
      <c r="AA862" s="24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260"/>
      <c r="L863" s="115"/>
      <c r="M863" s="42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24"/>
      <c r="AA863" s="24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260"/>
      <c r="L864" s="115"/>
      <c r="M864" s="42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24"/>
      <c r="AA864" s="24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260"/>
      <c r="L865" s="115"/>
      <c r="M865" s="42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24"/>
      <c r="AA865" s="24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260"/>
      <c r="L866" s="115"/>
      <c r="M866" s="42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24"/>
      <c r="AA866" s="24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260"/>
      <c r="L867" s="115"/>
      <c r="M867" s="42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24"/>
      <c r="AA867" s="24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260"/>
      <c r="L868" s="115"/>
      <c r="M868" s="42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24"/>
      <c r="AA868" s="24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260"/>
      <c r="L869" s="115"/>
      <c r="M869" s="42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24"/>
      <c r="AA869" s="24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260"/>
      <c r="L870" s="115"/>
      <c r="M870" s="42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24"/>
      <c r="AA870" s="24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260"/>
      <c r="L871" s="115"/>
      <c r="M871" s="42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24"/>
      <c r="AA871" s="24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260"/>
      <c r="L872" s="115"/>
      <c r="M872" s="42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24"/>
      <c r="AA872" s="24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260"/>
      <c r="L873" s="115"/>
      <c r="M873" s="42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24"/>
      <c r="AA873" s="24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260"/>
      <c r="L874" s="115"/>
      <c r="M874" s="42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24"/>
      <c r="AA874" s="24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260"/>
      <c r="L875" s="115"/>
      <c r="M875" s="42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24"/>
      <c r="AA875" s="24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260"/>
      <c r="L876" s="115"/>
      <c r="M876" s="42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24"/>
      <c r="AA876" s="24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260"/>
      <c r="L877" s="115"/>
      <c r="M877" s="42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24"/>
      <c r="AA877" s="24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260"/>
      <c r="L878" s="115"/>
      <c r="M878" s="42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24"/>
      <c r="AA878" s="24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260"/>
      <c r="L879" s="115"/>
      <c r="M879" s="42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24"/>
      <c r="AA879" s="24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260"/>
      <c r="L880" s="115"/>
      <c r="M880" s="42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24"/>
      <c r="AA880" s="24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260"/>
      <c r="L881" s="115"/>
      <c r="M881" s="42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24"/>
      <c r="AA881" s="24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260"/>
      <c r="L882" s="115"/>
      <c r="M882" s="42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24"/>
      <c r="AA882" s="24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260"/>
      <c r="L883" s="115"/>
      <c r="M883" s="42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24"/>
      <c r="AA883" s="24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260"/>
      <c r="L884" s="115"/>
      <c r="M884" s="42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24"/>
      <c r="AA884" s="24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260"/>
      <c r="L885" s="115"/>
      <c r="M885" s="42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24"/>
      <c r="AA885" s="24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260"/>
      <c r="L886" s="115"/>
      <c r="M886" s="42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24"/>
      <c r="AA886" s="24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260"/>
      <c r="L887" s="115"/>
      <c r="M887" s="42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24"/>
      <c r="AA887" s="24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260"/>
      <c r="L888" s="115"/>
      <c r="M888" s="42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24"/>
      <c r="AA888" s="24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260"/>
      <c r="L889" s="115"/>
      <c r="M889" s="42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24"/>
      <c r="AA889" s="24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260"/>
      <c r="L890" s="115"/>
      <c r="M890" s="42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24"/>
      <c r="AA890" s="24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260"/>
      <c r="L891" s="115"/>
      <c r="M891" s="42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24"/>
      <c r="AA891" s="24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260"/>
      <c r="L892" s="115"/>
      <c r="M892" s="42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24"/>
      <c r="AA892" s="24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260"/>
      <c r="L893" s="115"/>
      <c r="M893" s="42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24"/>
      <c r="AA893" s="24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260"/>
      <c r="L894" s="115"/>
      <c r="M894" s="42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24"/>
      <c r="AA894" s="24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260"/>
      <c r="L895" s="115"/>
      <c r="M895" s="42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24"/>
      <c r="AA895" s="24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260"/>
      <c r="L896" s="115"/>
      <c r="M896" s="42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24"/>
      <c r="AA896" s="24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260"/>
      <c r="L897" s="115"/>
      <c r="M897" s="42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24"/>
      <c r="AA897" s="24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260"/>
      <c r="L898" s="115"/>
      <c r="M898" s="42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24"/>
      <c r="AA898" s="24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260"/>
      <c r="L899" s="115"/>
      <c r="M899" s="42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24"/>
      <c r="AA899" s="24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260"/>
      <c r="L900" s="115"/>
      <c r="M900" s="42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24"/>
      <c r="AA900" s="24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260"/>
      <c r="L901" s="115"/>
      <c r="M901" s="42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24"/>
      <c r="AA901" s="24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260"/>
      <c r="L902" s="115"/>
      <c r="M902" s="42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24"/>
      <c r="AA902" s="24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260"/>
      <c r="L903" s="115"/>
      <c r="M903" s="42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24"/>
      <c r="AA903" s="24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260"/>
      <c r="L904" s="115"/>
      <c r="M904" s="42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24"/>
      <c r="AA904" s="24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260"/>
      <c r="L905" s="115"/>
      <c r="M905" s="42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24"/>
      <c r="AA905" s="24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260"/>
      <c r="L906" s="115"/>
      <c r="M906" s="42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24"/>
      <c r="AA906" s="24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260"/>
      <c r="L907" s="115"/>
      <c r="M907" s="42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24"/>
      <c r="AA907" s="24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260"/>
      <c r="L908" s="115"/>
      <c r="M908" s="42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24"/>
      <c r="AA908" s="24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260"/>
      <c r="L909" s="115"/>
      <c r="M909" s="42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24"/>
      <c r="AA909" s="24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260"/>
      <c r="L910" s="115"/>
      <c r="M910" s="42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24"/>
      <c r="AA910" s="24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260"/>
      <c r="L911" s="115"/>
      <c r="M911" s="42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24"/>
      <c r="AA911" s="24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260"/>
      <c r="L912" s="115"/>
      <c r="M912" s="42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24"/>
      <c r="AA912" s="24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260"/>
      <c r="L913" s="115"/>
      <c r="M913" s="42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24"/>
      <c r="AA913" s="24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260"/>
      <c r="L914" s="115"/>
      <c r="M914" s="42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24"/>
      <c r="AA914" s="24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260"/>
      <c r="L915" s="115"/>
      <c r="M915" s="42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24"/>
      <c r="AA915" s="24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260"/>
      <c r="L916" s="115"/>
      <c r="M916" s="42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24"/>
      <c r="AA916" s="24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260"/>
      <c r="L917" s="115"/>
      <c r="M917" s="42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24"/>
      <c r="AA917" s="24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260"/>
      <c r="L918" s="115"/>
      <c r="M918" s="42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24"/>
      <c r="AA918" s="24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260"/>
      <c r="L919" s="115"/>
      <c r="M919" s="42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24"/>
      <c r="AA919" s="24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260"/>
      <c r="L920" s="115"/>
      <c r="M920" s="42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24"/>
      <c r="AA920" s="24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260"/>
      <c r="L921" s="115"/>
      <c r="M921" s="42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24"/>
      <c r="AA921" s="24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260"/>
      <c r="L922" s="115"/>
      <c r="M922" s="42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24"/>
      <c r="AA922" s="24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260"/>
      <c r="L923" s="115"/>
      <c r="M923" s="42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24"/>
      <c r="AA923" s="24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260"/>
      <c r="L924" s="115"/>
      <c r="M924" s="42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24"/>
      <c r="AA924" s="24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260"/>
      <c r="L925" s="115"/>
      <c r="M925" s="42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24"/>
      <c r="AA925" s="24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260"/>
      <c r="L926" s="115"/>
      <c r="M926" s="42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24"/>
      <c r="AA926" s="24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260"/>
      <c r="L927" s="115"/>
      <c r="M927" s="42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24"/>
      <c r="AA927" s="24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260"/>
      <c r="L928" s="115"/>
      <c r="M928" s="42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24"/>
      <c r="AA928" s="24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260"/>
      <c r="L929" s="115"/>
      <c r="M929" s="42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24"/>
      <c r="AA929" s="24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260"/>
      <c r="L930" s="115"/>
      <c r="M930" s="42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24"/>
      <c r="AA930" s="24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260"/>
      <c r="L931" s="115"/>
      <c r="M931" s="42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24"/>
      <c r="AA931" s="24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260"/>
      <c r="L932" s="115"/>
      <c r="M932" s="42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24"/>
      <c r="AA932" s="24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260"/>
      <c r="L933" s="115"/>
      <c r="M933" s="42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24"/>
      <c r="AA933" s="24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260"/>
      <c r="L934" s="115"/>
      <c r="M934" s="42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24"/>
      <c r="AA934" s="24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260"/>
      <c r="L935" s="115"/>
      <c r="M935" s="42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24"/>
      <c r="AA935" s="24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260"/>
      <c r="L936" s="115"/>
      <c r="M936" s="42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24"/>
      <c r="AA936" s="24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260"/>
      <c r="L937" s="115"/>
      <c r="M937" s="42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24"/>
      <c r="AA937" s="24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260"/>
      <c r="L938" s="115"/>
      <c r="M938" s="42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24"/>
      <c r="AA938" s="24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260"/>
      <c r="L939" s="115"/>
      <c r="M939" s="42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24"/>
      <c r="AA939" s="24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260"/>
      <c r="L940" s="115"/>
      <c r="M940" s="42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24"/>
      <c r="AA940" s="24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260"/>
      <c r="L941" s="115"/>
      <c r="M941" s="42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24"/>
      <c r="AA941" s="24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260"/>
      <c r="L942" s="115"/>
      <c r="M942" s="42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24"/>
      <c r="AA942" s="24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260"/>
      <c r="L943" s="115"/>
      <c r="M943" s="42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24"/>
      <c r="AA943" s="24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260"/>
      <c r="L944" s="115"/>
      <c r="M944" s="42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24"/>
      <c r="AA944" s="24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260"/>
      <c r="L945" s="115"/>
      <c r="M945" s="42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24"/>
      <c r="AA945" s="24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260"/>
      <c r="L946" s="115"/>
      <c r="M946" s="42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24"/>
      <c r="AA946" s="24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260"/>
      <c r="L947" s="115"/>
      <c r="M947" s="42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24"/>
      <c r="AA947" s="24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260"/>
      <c r="L948" s="115"/>
      <c r="M948" s="42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24"/>
      <c r="AA948" s="24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260"/>
      <c r="L949" s="115"/>
      <c r="M949" s="42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24"/>
      <c r="AA949" s="24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260"/>
      <c r="L950" s="115"/>
      <c r="M950" s="42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24"/>
      <c r="AA950" s="24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260"/>
      <c r="L951" s="115"/>
      <c r="M951" s="42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24"/>
      <c r="AA951" s="24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260"/>
      <c r="L952" s="115"/>
      <c r="M952" s="42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24"/>
      <c r="AA952" s="24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260"/>
      <c r="L953" s="115"/>
      <c r="M953" s="42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24"/>
      <c r="AA953" s="24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260"/>
      <c r="L954" s="115"/>
      <c r="M954" s="42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24"/>
      <c r="AA954" s="24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260"/>
      <c r="L955" s="115"/>
      <c r="M955" s="42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24"/>
      <c r="AA955" s="24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260"/>
      <c r="L956" s="115"/>
      <c r="M956" s="42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24"/>
      <c r="AA956" s="24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260"/>
      <c r="L957" s="115"/>
      <c r="M957" s="42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24"/>
      <c r="AA957" s="24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260"/>
      <c r="L958" s="115"/>
      <c r="M958" s="42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24"/>
      <c r="AA958" s="24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260"/>
      <c r="L959" s="115"/>
      <c r="M959" s="42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24"/>
      <c r="AA959" s="24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260"/>
      <c r="L960" s="115"/>
      <c r="M960" s="42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24"/>
      <c r="AA960" s="24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260"/>
      <c r="L961" s="115"/>
      <c r="M961" s="42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24"/>
      <c r="AA961" s="24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260"/>
      <c r="L962" s="115"/>
      <c r="M962" s="42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24"/>
      <c r="AA962" s="24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260"/>
      <c r="L963" s="115"/>
      <c r="M963" s="42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24"/>
      <c r="AA963" s="24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260"/>
      <c r="L964" s="115"/>
      <c r="M964" s="42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24"/>
      <c r="AA964" s="24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260"/>
      <c r="L965" s="115"/>
      <c r="M965" s="42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24"/>
      <c r="AA965" s="24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260"/>
      <c r="L966" s="115"/>
      <c r="M966" s="42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24"/>
      <c r="AA966" s="24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260"/>
      <c r="L967" s="115"/>
      <c r="M967" s="42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24"/>
      <c r="AA967" s="24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260"/>
      <c r="L968" s="115"/>
      <c r="M968" s="42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24"/>
      <c r="AA968" s="24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260"/>
      <c r="L969" s="115"/>
      <c r="M969" s="42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24"/>
      <c r="AA969" s="24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260"/>
      <c r="L970" s="115"/>
      <c r="M970" s="42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24"/>
      <c r="AA970" s="24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260"/>
      <c r="L971" s="115"/>
      <c r="M971" s="42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24"/>
      <c r="AA971" s="24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260"/>
      <c r="L972" s="115"/>
      <c r="M972" s="42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24"/>
      <c r="AA972" s="24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260"/>
      <c r="L973" s="115"/>
      <c r="M973" s="42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24"/>
      <c r="AA973" s="24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260"/>
      <c r="L974" s="115"/>
      <c r="M974" s="42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24"/>
      <c r="AA974" s="24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260"/>
      <c r="L975" s="115"/>
      <c r="M975" s="42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24"/>
      <c r="AA975" s="24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260"/>
      <c r="L976" s="115"/>
      <c r="M976" s="42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24"/>
      <c r="AA976" s="24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260"/>
      <c r="L977" s="115"/>
      <c r="M977" s="42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24"/>
      <c r="AA977" s="24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260"/>
      <c r="L978" s="115"/>
      <c r="M978" s="42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24"/>
      <c r="AA978" s="24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260"/>
      <c r="L979" s="115"/>
      <c r="M979" s="42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24"/>
      <c r="AA979" s="24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260"/>
      <c r="L980" s="115"/>
      <c r="M980" s="42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24"/>
      <c r="AA980" s="24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260"/>
      <c r="L981" s="115"/>
      <c r="M981" s="42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24"/>
      <c r="AA981" s="24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260"/>
      <c r="L982" s="115"/>
      <c r="M982" s="42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24"/>
      <c r="AA982" s="24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260"/>
      <c r="L983" s="115"/>
      <c r="M983" s="42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24"/>
      <c r="AA983" s="24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260"/>
      <c r="L984" s="115"/>
      <c r="M984" s="42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24"/>
      <c r="AA984" s="24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260"/>
      <c r="L985" s="115"/>
      <c r="M985" s="42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24"/>
      <c r="AA985" s="24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260"/>
      <c r="L986" s="115"/>
      <c r="M986" s="42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24"/>
      <c r="AA986" s="24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260"/>
      <c r="L987" s="115"/>
      <c r="M987" s="42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24"/>
      <c r="AA987" s="24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260"/>
      <c r="L988" s="115"/>
      <c r="M988" s="42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24"/>
      <c r="AA988" s="24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260"/>
      <c r="L989" s="115"/>
      <c r="M989" s="42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24"/>
      <c r="AA989" s="24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260"/>
      <c r="L990" s="115"/>
      <c r="M990" s="42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24"/>
      <c r="AA990" s="24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260"/>
      <c r="L991" s="115"/>
      <c r="M991" s="42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24"/>
      <c r="AA991" s="24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260"/>
      <c r="L992" s="115"/>
      <c r="M992" s="42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24"/>
      <c r="AA992" s="24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260"/>
      <c r="L993" s="115"/>
      <c r="M993" s="42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24"/>
      <c r="AA993" s="24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260"/>
      <c r="L994" s="115"/>
      <c r="M994" s="42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24"/>
      <c r="AA994" s="24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260"/>
      <c r="L995" s="115"/>
      <c r="M995" s="42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24"/>
      <c r="AA995" s="24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260"/>
      <c r="L996" s="115"/>
      <c r="M996" s="42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24"/>
      <c r="AA996" s="24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260"/>
      <c r="L997" s="115"/>
      <c r="M997" s="42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24"/>
      <c r="AA997" s="24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260"/>
      <c r="L998" s="115"/>
      <c r="M998" s="42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24"/>
      <c r="AA998" s="24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260"/>
      <c r="L999" s="115"/>
      <c r="M999" s="42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24"/>
      <c r="AA999" s="24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260"/>
      <c r="L1000" s="115"/>
      <c r="M1000" s="42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24"/>
      <c r="AA1000" s="24"/>
    </row>
  </sheetData>
  <autoFilter ref="$A$4:$L$188"/>
  <mergeCells count="4">
    <mergeCell ref="A1:A3"/>
    <mergeCell ref="C2:K2"/>
    <mergeCell ref="Q4:X4"/>
    <mergeCell ref="N5:V5"/>
  </mergeCells>
  <conditionalFormatting sqref="L5:M188">
    <cfRule type="cellIs" dxfId="9" priority="1" stopIfTrue="1" operator="equal">
      <formula>"Sim"</formula>
    </cfRule>
  </conditionalFormatting>
  <dataValidations>
    <dataValidation type="list" allowBlank="1" sqref="L5:L194">
      <formula1>"Sim,Não"</formula1>
    </dataValidation>
  </dataValidations>
  <printOptions/>
  <pageMargins bottom="0.787401575" footer="0.0" header="0.0" left="0.511811024" right="0.511811024" top="0.7874015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  <col customWidth="1" min="2" max="18" width="17.29"/>
    <col customWidth="1" min="19" max="19" width="19.0"/>
  </cols>
  <sheetData>
    <row r="1">
      <c r="A1" s="6" t="s">
        <v>0</v>
      </c>
      <c r="B1" s="8"/>
      <c r="C1" s="8"/>
      <c r="D1" s="8"/>
      <c r="E1" s="8"/>
      <c r="F1" s="8"/>
      <c r="G1" s="8"/>
      <c r="H1" s="8"/>
      <c r="I1" s="8"/>
      <c r="J1" s="11"/>
      <c r="K1" s="13"/>
      <c r="L1" s="13"/>
      <c r="M1" s="13"/>
      <c r="N1" s="13"/>
      <c r="O1" s="13"/>
      <c r="P1" s="13"/>
      <c r="Q1" s="13"/>
      <c r="R1" s="13"/>
      <c r="S1" s="13"/>
    </row>
    <row r="2">
      <c r="A2" s="15" t="s">
        <v>2</v>
      </c>
      <c r="B2" s="15" t="s">
        <v>4</v>
      </c>
      <c r="C2" s="15" t="s">
        <v>6</v>
      </c>
      <c r="D2" s="15" t="s">
        <v>7</v>
      </c>
      <c r="E2" s="15" t="s">
        <v>11</v>
      </c>
      <c r="F2" s="15" t="s">
        <v>15</v>
      </c>
      <c r="G2" s="15" t="s">
        <v>18</v>
      </c>
      <c r="H2" s="15" t="s">
        <v>20</v>
      </c>
      <c r="I2" s="15" t="s">
        <v>22</v>
      </c>
      <c r="J2" s="15" t="s">
        <v>23</v>
      </c>
      <c r="K2" s="13"/>
      <c r="L2" s="13"/>
      <c r="M2" s="13"/>
      <c r="N2" s="13"/>
      <c r="O2" s="13"/>
      <c r="P2" s="13"/>
      <c r="Q2" s="13"/>
      <c r="R2" s="13"/>
      <c r="S2" s="13"/>
    </row>
    <row r="3">
      <c r="A3" s="23" t="s">
        <v>25</v>
      </c>
      <c r="B3" s="39">
        <f t="shared" ref="B3:B10" si="1">COUNTIF($B$14:$B$500, A3)</f>
        <v>60</v>
      </c>
      <c r="C3" s="39">
        <f t="shared" ref="C3:C10" si="2">COUNTIFS($B$14:$B$500, A3, $S$14:$S$500, "Ok")</f>
        <v>31</v>
      </c>
      <c r="D3" s="39">
        <f t="shared" ref="D3:D10" si="3">COUNTIFS($B$14:$B$500, A3, $S$14:$S$500, "Revisar")</f>
        <v>29</v>
      </c>
      <c r="E3" s="59">
        <f t="shared" ref="E3:E11" si="4">IFERROR(C3/B3, 0)</f>
        <v>0.5166666667</v>
      </c>
      <c r="F3" s="39">
        <f t="shared" ref="F3:F10" si="5">COUNTIFS($B$14:$B$500, A3, $E$14:$E$500, "&lt;&gt;1.000 g (Padrão)")</f>
        <v>52</v>
      </c>
      <c r="G3" s="69">
        <f t="shared" ref="G3:G10" si="6">IFERROR(AVERAGEIF($B$14:$B$500, A3, $F$14:$F$500), 0)</f>
        <v>20.88107476</v>
      </c>
      <c r="H3" s="69">
        <f t="shared" ref="H3:H10" si="7">IFERROR(MINIFS($F$14:$F$500, $B$14:$B$500, A3, $F$14:$F$500, "&gt;0"), 0)</f>
        <v>8.826168187</v>
      </c>
      <c r="I3" s="69">
        <f t="shared" ref="I3:I10" si="8">IFERROR(MAXIFS($F$14:$F$500, $B$14:$B$500, A3), 0)</f>
        <v>47.08004246</v>
      </c>
      <c r="J3" s="69">
        <f t="shared" ref="J3:J10" si="9">IFERROR(AVERAGEIF($B$14:$B$500, A3, $H$14:$H$500), 0)</f>
        <v>39.63665129</v>
      </c>
      <c r="K3" s="13"/>
      <c r="L3" s="13"/>
      <c r="M3" s="13"/>
      <c r="N3" s="13"/>
      <c r="O3" s="13"/>
      <c r="P3" s="13"/>
      <c r="Q3" s="13"/>
      <c r="R3" s="13"/>
      <c r="S3" s="13"/>
    </row>
    <row r="4">
      <c r="A4" s="23" t="s">
        <v>83</v>
      </c>
      <c r="B4" s="39">
        <f t="shared" si="1"/>
        <v>10</v>
      </c>
      <c r="C4" s="39">
        <f t="shared" si="2"/>
        <v>2</v>
      </c>
      <c r="D4" s="39">
        <f t="shared" si="3"/>
        <v>8</v>
      </c>
      <c r="E4" s="59">
        <f t="shared" si="4"/>
        <v>0.2</v>
      </c>
      <c r="F4" s="39">
        <f t="shared" si="5"/>
        <v>9</v>
      </c>
      <c r="G4" s="69">
        <f t="shared" si="6"/>
        <v>14.62991477</v>
      </c>
      <c r="H4" s="69">
        <f t="shared" si="7"/>
        <v>6.719689622</v>
      </c>
      <c r="I4" s="69">
        <f t="shared" si="8"/>
        <v>25.94184891</v>
      </c>
      <c r="J4" s="69">
        <f t="shared" si="9"/>
        <v>34.46184998</v>
      </c>
      <c r="K4" s="13"/>
      <c r="L4" s="13"/>
      <c r="M4" s="13"/>
      <c r="N4" s="13"/>
      <c r="O4" s="13"/>
      <c r="P4" s="13"/>
      <c r="Q4" s="13"/>
      <c r="R4" s="13"/>
      <c r="S4" s="13"/>
    </row>
    <row r="5">
      <c r="A5" s="23" t="s">
        <v>86</v>
      </c>
      <c r="B5" s="39">
        <f t="shared" si="1"/>
        <v>26</v>
      </c>
      <c r="C5" s="39">
        <f t="shared" si="2"/>
        <v>9</v>
      </c>
      <c r="D5" s="39">
        <f t="shared" si="3"/>
        <v>17</v>
      </c>
      <c r="E5" s="59">
        <f t="shared" si="4"/>
        <v>0.3461538462</v>
      </c>
      <c r="F5" s="39">
        <f t="shared" si="5"/>
        <v>17</v>
      </c>
      <c r="G5" s="69">
        <f t="shared" si="6"/>
        <v>8.532923503</v>
      </c>
      <c r="H5" s="69">
        <f t="shared" si="7"/>
        <v>3.47753396</v>
      </c>
      <c r="I5" s="69">
        <f t="shared" si="8"/>
        <v>28.195</v>
      </c>
      <c r="J5" s="69">
        <f t="shared" si="9"/>
        <v>29.41467177</v>
      </c>
      <c r="K5" s="13"/>
      <c r="L5" s="13"/>
      <c r="M5" s="13"/>
      <c r="N5" s="13"/>
      <c r="O5" s="13"/>
      <c r="P5" s="13"/>
      <c r="Q5" s="13"/>
      <c r="R5" s="13"/>
      <c r="S5" s="13"/>
    </row>
    <row r="6">
      <c r="A6" s="23" t="s">
        <v>89</v>
      </c>
      <c r="B6" s="39">
        <f t="shared" si="1"/>
        <v>3</v>
      </c>
      <c r="C6" s="39">
        <f t="shared" si="2"/>
        <v>0</v>
      </c>
      <c r="D6" s="39">
        <f t="shared" si="3"/>
        <v>3</v>
      </c>
      <c r="E6" s="59">
        <f t="shared" si="4"/>
        <v>0</v>
      </c>
      <c r="F6" s="39">
        <f t="shared" si="5"/>
        <v>3</v>
      </c>
      <c r="G6" s="69">
        <f t="shared" si="6"/>
        <v>20.94289784</v>
      </c>
      <c r="H6" s="69">
        <f t="shared" si="7"/>
        <v>2.975757576</v>
      </c>
      <c r="I6" s="69">
        <f t="shared" si="8"/>
        <v>38.93535354</v>
      </c>
      <c r="J6" s="69">
        <f t="shared" si="9"/>
        <v>39.68782934</v>
      </c>
      <c r="K6" s="13"/>
      <c r="L6" s="13"/>
      <c r="M6" s="13"/>
      <c r="N6" s="13"/>
      <c r="O6" s="13"/>
      <c r="P6" s="13"/>
      <c r="Q6" s="13"/>
      <c r="R6" s="13"/>
      <c r="S6" s="13"/>
    </row>
    <row r="7">
      <c r="A7" s="23" t="s">
        <v>95</v>
      </c>
      <c r="B7" s="39">
        <f t="shared" si="1"/>
        <v>9</v>
      </c>
      <c r="C7" s="39">
        <f t="shared" si="2"/>
        <v>8</v>
      </c>
      <c r="D7" s="39">
        <f t="shared" si="3"/>
        <v>1</v>
      </c>
      <c r="E7" s="59">
        <f t="shared" si="4"/>
        <v>0.8888888889</v>
      </c>
      <c r="F7" s="39">
        <f t="shared" si="5"/>
        <v>9</v>
      </c>
      <c r="G7" s="69">
        <f t="shared" si="6"/>
        <v>25.78051932</v>
      </c>
      <c r="H7" s="69">
        <f t="shared" si="7"/>
        <v>7.861277445</v>
      </c>
      <c r="I7" s="69">
        <f t="shared" si="8"/>
        <v>43.03093812</v>
      </c>
      <c r="J7" s="69">
        <f t="shared" si="9"/>
        <v>43.69248288</v>
      </c>
      <c r="K7" s="13"/>
      <c r="L7" s="13"/>
      <c r="M7" s="13"/>
      <c r="N7" s="13"/>
      <c r="O7" s="13"/>
      <c r="P7" s="13"/>
      <c r="Q7" s="13"/>
      <c r="R7" s="13"/>
      <c r="S7" s="13"/>
    </row>
    <row r="8">
      <c r="A8" s="23" t="s">
        <v>101</v>
      </c>
      <c r="B8" s="39">
        <f t="shared" si="1"/>
        <v>11</v>
      </c>
      <c r="C8" s="39">
        <f t="shared" si="2"/>
        <v>4</v>
      </c>
      <c r="D8" s="39">
        <f t="shared" si="3"/>
        <v>7</v>
      </c>
      <c r="E8" s="59">
        <f t="shared" si="4"/>
        <v>0.3636363636</v>
      </c>
      <c r="F8" s="39">
        <f t="shared" si="5"/>
        <v>7</v>
      </c>
      <c r="G8" s="69">
        <f t="shared" si="6"/>
        <v>21.82753304</v>
      </c>
      <c r="H8" s="69">
        <f t="shared" si="7"/>
        <v>11.55030426</v>
      </c>
      <c r="I8" s="69">
        <f t="shared" si="8"/>
        <v>59.029</v>
      </c>
      <c r="J8" s="69">
        <f t="shared" si="9"/>
        <v>40.42014324</v>
      </c>
      <c r="K8" s="13"/>
      <c r="L8" s="13"/>
      <c r="M8" s="13"/>
      <c r="N8" s="13"/>
      <c r="O8" s="13"/>
      <c r="P8" s="13"/>
      <c r="Q8" s="13"/>
      <c r="R8" s="13"/>
      <c r="S8" s="13"/>
    </row>
    <row r="9">
      <c r="A9" s="23" t="s">
        <v>107</v>
      </c>
      <c r="B9" s="39">
        <f t="shared" si="1"/>
        <v>12</v>
      </c>
      <c r="C9" s="39">
        <f t="shared" si="2"/>
        <v>8</v>
      </c>
      <c r="D9" s="39">
        <f t="shared" si="3"/>
        <v>4</v>
      </c>
      <c r="E9" s="59">
        <f t="shared" si="4"/>
        <v>0.6666666667</v>
      </c>
      <c r="F9" s="39">
        <f t="shared" si="5"/>
        <v>11</v>
      </c>
      <c r="G9" s="69">
        <f t="shared" si="6"/>
        <v>27.92978226</v>
      </c>
      <c r="H9" s="69">
        <f t="shared" si="7"/>
        <v>18.99558391</v>
      </c>
      <c r="I9" s="69">
        <f t="shared" si="8"/>
        <v>45.10586481</v>
      </c>
      <c r="J9" s="69">
        <f t="shared" si="9"/>
        <v>45.47167406</v>
      </c>
      <c r="K9" s="13"/>
      <c r="L9" s="13"/>
      <c r="M9" s="13"/>
      <c r="N9" s="13"/>
      <c r="O9" s="13"/>
      <c r="P9" s="13"/>
      <c r="Q9" s="13"/>
      <c r="R9" s="13"/>
      <c r="S9" s="13"/>
    </row>
    <row r="10">
      <c r="A10" s="23" t="s">
        <v>109</v>
      </c>
      <c r="B10" s="39">
        <f t="shared" si="1"/>
        <v>46</v>
      </c>
      <c r="C10" s="39">
        <f t="shared" si="2"/>
        <v>34</v>
      </c>
      <c r="D10" s="39">
        <f t="shared" si="3"/>
        <v>12</v>
      </c>
      <c r="E10" s="59">
        <f t="shared" si="4"/>
        <v>0.7391304348</v>
      </c>
      <c r="F10" s="39">
        <f t="shared" si="5"/>
        <v>36</v>
      </c>
      <c r="G10" s="69">
        <f t="shared" si="6"/>
        <v>19.40791047</v>
      </c>
      <c r="H10" s="69">
        <f t="shared" si="7"/>
        <v>8.303341902</v>
      </c>
      <c r="I10" s="69">
        <f t="shared" si="8"/>
        <v>53.17011996</v>
      </c>
      <c r="J10" s="69">
        <f t="shared" si="9"/>
        <v>38.41714443</v>
      </c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89" t="s">
        <v>110</v>
      </c>
      <c r="B11" s="90">
        <f t="shared" ref="B11:D11" si="10">SUM(B3:B10)</f>
        <v>177</v>
      </c>
      <c r="C11" s="90">
        <f t="shared" si="10"/>
        <v>96</v>
      </c>
      <c r="D11" s="90">
        <f t="shared" si="10"/>
        <v>81</v>
      </c>
      <c r="E11" s="91">
        <f t="shared" si="4"/>
        <v>0.5423728814</v>
      </c>
      <c r="F11" s="90">
        <f>SUM(F3:F10)</f>
        <v>144</v>
      </c>
      <c r="G11" s="92">
        <f>IFERROR(AVERAGE(F14:F500), 0)</f>
        <v>19.11806296</v>
      </c>
      <c r="H11" s="92">
        <f>IFERROR(MIN(H3:H10), 0)</f>
        <v>2.975757576</v>
      </c>
      <c r="I11" s="92">
        <f>IFERROR(MAX(I3:I10), 0)</f>
        <v>59.029</v>
      </c>
      <c r="J11" s="92">
        <f>IFERROR(AVERAGE(H14:H500), 0)</f>
        <v>38.17720444</v>
      </c>
      <c r="K11" s="13"/>
      <c r="L11" s="13"/>
      <c r="M11" s="13"/>
      <c r="N11" s="13"/>
      <c r="O11" s="13"/>
      <c r="P11" s="13"/>
      <c r="Q11" s="13"/>
      <c r="R11" s="13"/>
      <c r="S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>
      <c r="A13" s="15" t="s">
        <v>30</v>
      </c>
      <c r="B13" s="15" t="s">
        <v>28</v>
      </c>
      <c r="C13" s="15" t="s">
        <v>114</v>
      </c>
      <c r="D13" s="15" t="s">
        <v>115</v>
      </c>
      <c r="E13" s="15" t="s">
        <v>116</v>
      </c>
      <c r="F13" s="15" t="s">
        <v>117</v>
      </c>
      <c r="G13" s="15" t="s">
        <v>118</v>
      </c>
      <c r="H13" s="15" t="s">
        <v>119</v>
      </c>
      <c r="I13" s="15" t="s">
        <v>120</v>
      </c>
      <c r="J13" s="15" t="s">
        <v>121</v>
      </c>
      <c r="K13" s="15" t="s">
        <v>122</v>
      </c>
      <c r="L13" s="15" t="s">
        <v>123</v>
      </c>
      <c r="M13" s="15" t="s">
        <v>125</v>
      </c>
      <c r="N13" s="15" t="s">
        <v>126</v>
      </c>
      <c r="O13" s="15" t="s">
        <v>16</v>
      </c>
      <c r="P13" s="15" t="s">
        <v>17</v>
      </c>
      <c r="Q13" s="15" t="s">
        <v>127</v>
      </c>
      <c r="R13" s="15" t="s">
        <v>128</v>
      </c>
      <c r="S13" s="15" t="s">
        <v>129</v>
      </c>
    </row>
    <row r="14">
      <c r="A14" s="39" t="str">
        <f>IFERROR(__xludf.DUMMYFUNCTION("UNIQUE(FILTER(Receitas!A2:A3500, Receitas!A2:A3500&lt;&gt;""""))"),"Fior di Latte (Direto ao Ponto)")</f>
        <v>Fior di Latte (Direto ao Ponto)</v>
      </c>
      <c r="B14" s="39" t="str">
        <f t="array" ref="B14:B500">IF(A14:A500="", "", VLOOKUP(A14:A500, Receitas!A2:D3500, 4, FALSE))</f>
        <v>Gelatos de Leite</v>
      </c>
      <c r="C14" s="39">
        <f t="array" ref="C14:C500">IF(A14:A500="", "", COUNTIF(Receitas!A2:A3500, A14:A500))</f>
        <v>8</v>
      </c>
      <c r="D14" s="39">
        <f t="array" ref="D14:D500">IF(A14:A500="", "", SUMIF(Receitas!A2:A3500, A14:A500, Receitas!C2:C3500))</f>
        <v>1001</v>
      </c>
      <c r="E14" s="39" t="str">
        <f t="array" ref="E14:E500">IF(A14:A500="", "", IF(ROUND(D14:D500,0)=1000, "1.000 g (Padrão)", "Diferente (" &amp; ROUND(D14:D500, 0) &amp; " g)"))</f>
        <v>Diferente (1001 g)</v>
      </c>
      <c r="F14" s="69">
        <f t="array" ref="F14:F500">IF(A14:A500="", "", SUMIF(Receitas!A2:A3500, A14:A500, Receitas!E2:E3500) * 1000 / D14:D500)</f>
        <v>11.7037962</v>
      </c>
      <c r="G14" s="69">
        <f t="array" ref="G14:G500">IF(A14:A500="", "", F14:F500 * 0.06)</f>
        <v>0.7022277722</v>
      </c>
      <c r="H14" s="69">
        <f t="array" ref="H14:H500">IF(A14:A500="", "", ((F14:F500 * ('Conversor Custo K|G'!$F$24/1000) + 'Conversor Custo K|G'!$H$24) + 'Conversor Custo K|G'!$C$11) / ((1 - 'Conversor Custo K|G'!$C$13/100) * (1 - 'Conversor Custo K|G'!$C$14/100)))</f>
        <v>32.03956639</v>
      </c>
      <c r="I14" s="59">
        <f t="array" ref="I14:I500">IF(A14:A500="", "", SUMIF(Receitas!A2:A3500, A14:A500, Receitas!F2:F3500) / D14:D500)</f>
        <v>0.1759240759</v>
      </c>
      <c r="J14" s="59">
        <f t="array" ref="J14:J500">IF(A14:A500="", "", SUMIF(Receitas!A2:A3500, A14:A500, Receitas!G2:G3500) / D14:D500)</f>
        <v>0.07412587413</v>
      </c>
      <c r="K14" s="59">
        <f t="array" ref="K14:K500">IF(A14:A500="", "", SUMIF(Receitas!A2:A3500, A14:A500, Receitas!H2:H3500) / D14:D500)</f>
        <v>0.1083416583</v>
      </c>
      <c r="L14" s="59">
        <f t="array" ref="L14:L500">IF(A14:A500="", "", SUMIF(Receitas!A2:A3500, A14:A500, Receitas!I2:I3500) / D14:D500)</f>
        <v>0.005994005994</v>
      </c>
      <c r="M14" s="59">
        <f t="array" ref="M14:M500">IF(A14:A500="", "", I14:I500 + J14:J500 + K14:K500 + L14:L500)</f>
        <v>0.3643856144</v>
      </c>
      <c r="N14" s="59">
        <f t="array" ref="N14:N500">IF(A14:A500="", "", 1 - M14:M500)</f>
        <v>0.6356143856</v>
      </c>
      <c r="O14" s="39">
        <f t="array" ref="O14:O500">IF(A14:A500="", "", 1000 * SUMIF(Receitas!A2:A3500, A14:A500, Receitas!J2:J3500) / D14:D500)</f>
        <v>163.2827173</v>
      </c>
      <c r="P14" s="39">
        <f t="array" ref="P14:P500">IF(A14:A500="", "", 1000 * SUMIF(Receitas!A2:A3500, A14:A500, Receitas!K2:K3500) / D14:D500)</f>
        <v>249.5504496</v>
      </c>
      <c r="Q14" s="59">
        <f t="array" ref="Q14:Q500">IF(A14:A500="", "", SUMIF(Receitas!A2:A3500, A14:A500, Receitas!L2:L3500) / D14:D500)</f>
        <v>0.04145854146</v>
      </c>
      <c r="R14" s="39">
        <f t="array" ref="R14:R500">IF(A14:A500="", "", IF((B14:B500="Chocolate base água")+(B14:B500="Vegano")&gt;0, P14:P500/20, IF(B14:B500="Gelatos de Leite com Fruta", P14:P500/24, P14:P500/25)))</f>
        <v>9.982017982</v>
      </c>
      <c r="S14" s="97" t="str">
        <f t="array" ref="S14">IF(A14="","", IF( (ROUND(I14,4) &lt; INDEX('Tabela de ingredientes'!$O$1:$V$30, SWITCH(B14, "Gelatos de Leite", 7, "Sorbets", 10, "Gelatos de Leite com Fruta", 13, "Chocolate base água", 16, "Vegano", 19, "Alcoólicos", 22, "Zero", 25, "Gelatos Proteicos", 28, 7), 1)) + (ROUND(I14,4) &gt; INDEX('Tabela de ingredientes'!$O$1:$V$30, SWITCH(B14, "Gelatos de Leite", 8, "Sorbets", 11, "Gelatos de Leite com Fruta", 14, "Chocolate base água", 17, "Vegano", 20, "Alcoólicos", 23, "Zero", 26, "Gelatos Proteicos", 29, 8), 1)) + (ROUND(J14,4) &lt; INDEX('Tabela de ingredientes'!$O$1:$V$30, SWITCH(B14, "Gelatos de Leite", 7, "Sorbets", 10, "Gelatos de Leite com Fruta", 13, "Chocolate base água", 16, "Vegano", 19, "Alcoólicos", 22, "Zero", 25, "Gelatos Proteicos", 28, 7), 2)) + (ROUND(J14,4) &gt; INDEX('Tabela de ingredientes'!$O$1:$V$30, SWITCH(B14, "Gelatos de Leite", 8, "Sorbets", 11, "Gelatos de Leite com Fruta", 14, "Chocolate base água", 17, "Vegano", 20, "Alcoólicos", 23, "Zero", 26, "Gelatos Proteicos", 29, 8), 2)) + (ROUND(K14,4) &lt; INDEX('Tabela de ingredientes'!$O$1:$V$30, SWITCH(B14, "Gelatos de Leite", 7, "Sorbets", 10, "Gelatos de Leite com Fruta", 13, "Chocolate base água", 16, "Vegano", 19, "Alcoólicos", 22, "Zero", 25, "Gelatos Proteicos", 28, 7), 3)) + (ROUND(K14,4) &gt; INDEX('Tabela de ingredientes'!$O$1:$V$30, SWITCH(B14, "Gelatos de Leite", 8, "Sorbets", 11, "Gelatos de Leite com Fruta", 14, "Chocolate base água", 17, "Vegano", 20, "Alcoólicos", 23, "Zero", 26, "Gelatos Proteicos", 29, 8), 3)) + (ROUND(L14,4) &lt; INDEX('Tabela de ingredientes'!$O$1:$V$30, SWITCH(B14, "Gelatos de Leite", 7, "Sorbets", 10, "Gelatos de Leite com Fruta", 13, "Chocolate base água", 16, "Vegano", 19, "Alcoólicos", 22, "Zero", 25, "Gelatos Proteicos", 28, 7), 4)) + (ROUND(L14,4) &gt; INDEX('Tabela de ingredientes'!$O$1:$V$30, SWITCH(B14, "Gelatos de Leite", 8, "Sorbets", 11, "Gelatos de Leite com Fruta", 14, "Chocolate base água", 17, "Vegano", 20, "Alcoólicos", 23, "Zero", 26, "Gelatos Proteicos", 29, 8), 4)) + (ROUND(M14,4) &lt; INDEX('Tabela de ingredientes'!$O$1:$V$30, SWITCH(B14, "Gelatos de Leite", 7, "Sorbets", 10, "Gelatos de Leite com Fruta", 13, "Chocolate base água", 16, "Vegano", 19, "Alcoólicos", 22, "Zero", 25, "Gelatos Proteicos", 28, 7), 5)) + (ROUND(M14,4) &gt; INDEX('Tabela de ingredientes'!$O$1:$V$30, SWITCH(B14, "Gelatos de Leite", 8, "Sorbets", 11, "Gelatos de Leite com Fruta", 14, "Chocolate base água", 17, "Vegano", 20, "Alcoólicos", 23, "Zero", 26, "Gelatos Proteicos", 29, 8), 5)) + (ROUND(N14,4) &lt; INDEX('Tabela de ingredientes'!$O$1:$V$30, SWITCH(B14, "Gelatos de Leite", 7, "Sorbets", 10, "Gelatos de Leite com Fruta", 13, "Chocolate base água", 16, "Vegano", 19, "Alcoólicos", 22, "Zero", 25, "Gelatos Proteicos", 28, 7), 6)) + (ROUND(N14,4) &gt; INDEX('Tabela de ingredientes'!$O$1:$V$30, SWITCH(B14, "Gelatos de Leite", 8, "Sorbets", 11, "Gelatos de Leite com Fruta", 14, "Chocolate base água", 17, "Vegano", 20, "Alcoólicos", 23, "Zero", 26, "Gelatos Proteicos", 29, 8), 6)) + (ROUND(O14,4) &lt; INDEX('Tabela de ingredientes'!$O$1:$V$30, SWITCH(B14, "Gelatos de Leite", 7, "Sorbets", 10, "Gelatos de Leite com Fruta", 13, "Chocolate base água", 16, "Vegano", 19, "Alcoólicos", 22, "Zero", 25, "Gelatos Proteicos", 28, 7), 7)) + (ROUND(O14,4) &gt; INDEX('Tabela de ingredientes'!$O$1:$V$30, SWITCH(B14, "Gelatos de Leite", 8, "Sorbets", 11, "Gelatos de Leite com Fruta", 14, "Chocolate base água", 17, "Vegano", 20, "Alcoólicos", 23, "Zero", 26, "Gelatos Proteicos", 29, 8), 7)) + (ROUND(P14,4) &lt; INDEX('Tabela de ingredientes'!$O$1:$V$30, SWITCH(B14, "Gelatos de Leite", 7, "Sorbets", 10, "Gelatos de Leite com Fruta", 13, "Chocolate base água", 16, "Vegano", 19, "Alcoólicos", 22, "Zero", 25, "Gelatos Proteicos", 28, 7), 8)) + (ROUND(P14,4) &gt; INDEX('Tabela de ingredientes'!$O$1:$V$30, SWITCH(B14, "Gelatos de Leite", 8, "Sorbets", 11, "Gelatos de Leite com Fruta", 14, "Chocolate base água", 17, "Vegano", 20, "Alcoólicos", 23, "Zero", 26, "Gelatos Proteicos", 29, 8), 8)) + IF(B14="Gelatos Proteicos", (ROUND(Q14,4)&lt;'Tabela de ingredientes'!$W$28)+(ROUND(Q14,4)&gt;'Tabela de ingredientes'!$W$29), 0) = 0, "Ok", "Revisar"))</f>
        <v>Ok</v>
      </c>
    </row>
    <row r="15">
      <c r="A15" s="39" t="str">
        <f>IFERROR(__xludf.DUMMYFUNCTION("""COMPUTED_VALUE"""),"Café Bianco Flocado (Direto ao Ponto)")</f>
        <v>Café Bianco Flocado (Direto ao Ponto)</v>
      </c>
      <c r="B15" s="39" t="s">
        <v>25</v>
      </c>
      <c r="C15" s="39">
        <v>8.0</v>
      </c>
      <c r="D15" s="39">
        <v>1001.0</v>
      </c>
      <c r="E15" s="39" t="s">
        <v>161</v>
      </c>
      <c r="F15" s="69">
        <v>12.423076923076927</v>
      </c>
      <c r="G15" s="69">
        <v>0.7453846153846155</v>
      </c>
      <c r="H15" s="69">
        <v>32.63499745287826</v>
      </c>
      <c r="I15" s="59">
        <v>0.1759240759240759</v>
      </c>
      <c r="J15" s="59">
        <v>0.08986013986013987</v>
      </c>
      <c r="K15" s="59">
        <v>0.10684315684315683</v>
      </c>
      <c r="L15" s="59">
        <v>0.005994005994005994</v>
      </c>
      <c r="M15" s="59">
        <v>0.3786213786213786</v>
      </c>
      <c r="N15" s="59">
        <v>0.6213786213786214</v>
      </c>
      <c r="O15" s="39">
        <v>163.16283716283715</v>
      </c>
      <c r="P15" s="39">
        <v>249.05094905094904</v>
      </c>
      <c r="Q15" s="59">
        <v>0.04090909090909091</v>
      </c>
      <c r="R15" s="39">
        <v>9.96203796203796</v>
      </c>
      <c r="S15" s="97" t="str">
        <f t="array" ref="S15">IF(A15="","", IF( (ROUND(I15,4) &lt; INDEX('Tabela de ingredientes'!$O$1:$V$30, SWITCH(B15, "Gelatos de Leite", 7, "Sorbets", 10, "Gelatos de Leite com Fruta", 13, "Chocolate base água", 16, "Vegano", 19, "Alcoólicos", 22, "Zero", 25, "Gelatos Proteicos", 28, 7), 1)) + (ROUND(I15,4) &gt; INDEX('Tabela de ingredientes'!$O$1:$V$30, SWITCH(B15, "Gelatos de Leite", 8, "Sorbets", 11, "Gelatos de Leite com Fruta", 14, "Chocolate base água", 17, "Vegano", 20, "Alcoólicos", 23, "Zero", 26, "Gelatos Proteicos", 29, 8), 1)) + (ROUND(J15,4) &lt; INDEX('Tabela de ingredientes'!$O$1:$V$30, SWITCH(B15, "Gelatos de Leite", 7, "Sorbets", 10, "Gelatos de Leite com Fruta", 13, "Chocolate base água", 16, "Vegano", 19, "Alcoólicos", 22, "Zero", 25, "Gelatos Proteicos", 28, 7), 2)) + (ROUND(J15,4) &gt; INDEX('Tabela de ingredientes'!$O$1:$V$30, SWITCH(B15, "Gelatos de Leite", 8, "Sorbets", 11, "Gelatos de Leite com Fruta", 14, "Chocolate base água", 17, "Vegano", 20, "Alcoólicos", 23, "Zero", 26, "Gelatos Proteicos", 29, 8), 2)) + (ROUND(K15,4) &lt; INDEX('Tabela de ingredientes'!$O$1:$V$30, SWITCH(B15, "Gelatos de Leite", 7, "Sorbets", 10, "Gelatos de Leite com Fruta", 13, "Chocolate base água", 16, "Vegano", 19, "Alcoólicos", 22, "Zero", 25, "Gelatos Proteicos", 28, 7), 3)) + (ROUND(K15,4) &gt; INDEX('Tabela de ingredientes'!$O$1:$V$30, SWITCH(B15, "Gelatos de Leite", 8, "Sorbets", 11, "Gelatos de Leite com Fruta", 14, "Chocolate base água", 17, "Vegano", 20, "Alcoólicos", 23, "Zero", 26, "Gelatos Proteicos", 29, 8), 3)) + (ROUND(L15,4) &lt; INDEX('Tabela de ingredientes'!$O$1:$V$30, SWITCH(B15, "Gelatos de Leite", 7, "Sorbets", 10, "Gelatos de Leite com Fruta", 13, "Chocolate base água", 16, "Vegano", 19, "Alcoólicos", 22, "Zero", 25, "Gelatos Proteicos", 28, 7), 4)) + (ROUND(L15,4) &gt; INDEX('Tabela de ingredientes'!$O$1:$V$30, SWITCH(B15, "Gelatos de Leite", 8, "Sorbets", 11, "Gelatos de Leite com Fruta", 14, "Chocolate base água", 17, "Vegano", 20, "Alcoólicos", 23, "Zero", 26, "Gelatos Proteicos", 29, 8), 4)) + (ROUND(M15,4) &lt; INDEX('Tabela de ingredientes'!$O$1:$V$30, SWITCH(B15, "Gelatos de Leite", 7, "Sorbets", 10, "Gelatos de Leite com Fruta", 13, "Chocolate base água", 16, "Vegano", 19, "Alcoólicos", 22, "Zero", 25, "Gelatos Proteicos", 28, 7), 5)) + (ROUND(M15,4) &gt; INDEX('Tabela de ingredientes'!$O$1:$V$30, SWITCH(B15, "Gelatos de Leite", 8, "Sorbets", 11, "Gelatos de Leite com Fruta", 14, "Chocolate base água", 17, "Vegano", 20, "Alcoólicos", 23, "Zero", 26, "Gelatos Proteicos", 29, 8), 5)) + (ROUND(N15,4) &lt; INDEX('Tabela de ingredientes'!$O$1:$V$30, SWITCH(B15, "Gelatos de Leite", 7, "Sorbets", 10, "Gelatos de Leite com Fruta", 13, "Chocolate base água", 16, "Vegano", 19, "Alcoólicos", 22, "Zero", 25, "Gelatos Proteicos", 28, 7), 6)) + (ROUND(N15,4) &gt; INDEX('Tabela de ingredientes'!$O$1:$V$30, SWITCH(B15, "Gelatos de Leite", 8, "Sorbets", 11, "Gelatos de Leite com Fruta", 14, "Chocolate base água", 17, "Vegano", 20, "Alcoólicos", 23, "Zero", 26, "Gelatos Proteicos", 29, 8), 6)) + (ROUND(O15,4) &lt; INDEX('Tabela de ingredientes'!$O$1:$V$30, SWITCH(B15, "Gelatos de Leite", 7, "Sorbets", 10, "Gelatos de Leite com Fruta", 13, "Chocolate base água", 16, "Vegano", 19, "Alcoólicos", 22, "Zero", 25, "Gelatos Proteicos", 28, 7), 7)) + (ROUND(O15,4) &gt; INDEX('Tabela de ingredientes'!$O$1:$V$30, SWITCH(B15, "Gelatos de Leite", 8, "Sorbets", 11, "Gelatos de Leite com Fruta", 14, "Chocolate base água", 17, "Vegano", 20, "Alcoólicos", 23, "Zero", 26, "Gelatos Proteicos", 29, 8), 7)) + (ROUND(P15,4) &lt; INDEX('Tabela de ingredientes'!$O$1:$V$30, SWITCH(B15, "Gelatos de Leite", 7, "Sorbets", 10, "Gelatos de Leite com Fruta", 13, "Chocolate base água", 16, "Vegano", 19, "Alcoólicos", 22, "Zero", 25, "Gelatos Proteicos", 28, 7), 8)) + (ROUND(P15,4) &gt; INDEX('Tabela de ingredientes'!$O$1:$V$30, SWITCH(B15, "Gelatos de Leite", 8, "Sorbets", 11, "Gelatos de Leite com Fruta", 14, "Chocolate base água", 17, "Vegano", 20, "Alcoólicos", 23, "Zero", 26, "Gelatos Proteicos", 29, 8), 8)) + IF(B15="Gelatos Proteicos", (ROUND(Q15,4)&lt;'Tabela de ingredientes'!$W$28)+(ROUND(Q15,4)&gt;'Tabela de ingredientes'!$W$29), 0) = 0, "Ok", "Revisar"))</f>
        <v>Ok</v>
      </c>
    </row>
    <row r="16">
      <c r="A16" s="39" t="str">
        <f>IFERROR(__xludf.DUMMYFUNCTION("""COMPUTED_VALUE"""),"Chocolate com Gostosuras (Direto ao Ponto)")</f>
        <v>Chocolate com Gostosuras (Direto ao Ponto)</v>
      </c>
      <c r="B16" s="39" t="s">
        <v>25</v>
      </c>
      <c r="C16" s="39">
        <v>9.0</v>
      </c>
      <c r="D16" s="39">
        <v>1000.0</v>
      </c>
      <c r="E16" s="39" t="s">
        <v>171</v>
      </c>
      <c r="F16" s="69">
        <v>23.8625</v>
      </c>
      <c r="G16" s="69">
        <v>1.43175</v>
      </c>
      <c r="H16" s="69">
        <v>42.10471854304637</v>
      </c>
      <c r="I16" s="59">
        <v>0.17</v>
      </c>
      <c r="J16" s="59">
        <v>0.07884999999999999</v>
      </c>
      <c r="K16" s="59">
        <v>0.0906</v>
      </c>
      <c r="L16" s="59">
        <v>0.055799999999999995</v>
      </c>
      <c r="M16" s="59">
        <v>0.39525000000000005</v>
      </c>
      <c r="N16" s="59">
        <v>0.6047499999999999</v>
      </c>
      <c r="O16" s="39">
        <v>191.143</v>
      </c>
      <c r="P16" s="39">
        <v>235.55</v>
      </c>
      <c r="Q16" s="59">
        <v>0.04416</v>
      </c>
      <c r="R16" s="39">
        <v>9.422</v>
      </c>
      <c r="S16" s="97" t="str">
        <f t="array" ref="S16">IF(A16="","", IF( (ROUND(I16,4) &lt; INDEX('Tabela de ingredientes'!$O$1:$V$30, SWITCH(B16, "Gelatos de Leite", 7, "Sorbets", 10, "Gelatos de Leite com Fruta", 13, "Chocolate base água", 16, "Vegano", 19, "Alcoólicos", 22, "Zero", 25, "Gelatos Proteicos", 28, 7), 1)) + (ROUND(I16,4) &gt; INDEX('Tabela de ingredientes'!$O$1:$V$30, SWITCH(B16, "Gelatos de Leite", 8, "Sorbets", 11, "Gelatos de Leite com Fruta", 14, "Chocolate base água", 17, "Vegano", 20, "Alcoólicos", 23, "Zero", 26, "Gelatos Proteicos", 29, 8), 1)) + (ROUND(J16,4) &lt; INDEX('Tabela de ingredientes'!$O$1:$V$30, SWITCH(B16, "Gelatos de Leite", 7, "Sorbets", 10, "Gelatos de Leite com Fruta", 13, "Chocolate base água", 16, "Vegano", 19, "Alcoólicos", 22, "Zero", 25, "Gelatos Proteicos", 28, 7), 2)) + (ROUND(J16,4) &gt; INDEX('Tabela de ingredientes'!$O$1:$V$30, SWITCH(B16, "Gelatos de Leite", 8, "Sorbets", 11, "Gelatos de Leite com Fruta", 14, "Chocolate base água", 17, "Vegano", 20, "Alcoólicos", 23, "Zero", 26, "Gelatos Proteicos", 29, 8), 2)) + (ROUND(K16,4) &lt; INDEX('Tabela de ingredientes'!$O$1:$V$30, SWITCH(B16, "Gelatos de Leite", 7, "Sorbets", 10, "Gelatos de Leite com Fruta", 13, "Chocolate base água", 16, "Vegano", 19, "Alcoólicos", 22, "Zero", 25, "Gelatos Proteicos", 28, 7), 3)) + (ROUND(K16,4) &gt; INDEX('Tabela de ingredientes'!$O$1:$V$30, SWITCH(B16, "Gelatos de Leite", 8, "Sorbets", 11, "Gelatos de Leite com Fruta", 14, "Chocolate base água", 17, "Vegano", 20, "Alcoólicos", 23, "Zero", 26, "Gelatos Proteicos", 29, 8), 3)) + (ROUND(L16,4) &lt; INDEX('Tabela de ingredientes'!$O$1:$V$30, SWITCH(B16, "Gelatos de Leite", 7, "Sorbets", 10, "Gelatos de Leite com Fruta", 13, "Chocolate base água", 16, "Vegano", 19, "Alcoólicos", 22, "Zero", 25, "Gelatos Proteicos", 28, 7), 4)) + (ROUND(L16,4) &gt; INDEX('Tabela de ingredientes'!$O$1:$V$30, SWITCH(B16, "Gelatos de Leite", 8, "Sorbets", 11, "Gelatos de Leite com Fruta", 14, "Chocolate base água", 17, "Vegano", 20, "Alcoólicos", 23, "Zero", 26, "Gelatos Proteicos", 29, 8), 4)) + (ROUND(M16,4) &lt; INDEX('Tabela de ingredientes'!$O$1:$V$30, SWITCH(B16, "Gelatos de Leite", 7, "Sorbets", 10, "Gelatos de Leite com Fruta", 13, "Chocolate base água", 16, "Vegano", 19, "Alcoólicos", 22, "Zero", 25, "Gelatos Proteicos", 28, 7), 5)) + (ROUND(M16,4) &gt; INDEX('Tabela de ingredientes'!$O$1:$V$30, SWITCH(B16, "Gelatos de Leite", 8, "Sorbets", 11, "Gelatos de Leite com Fruta", 14, "Chocolate base água", 17, "Vegano", 20, "Alcoólicos", 23, "Zero", 26, "Gelatos Proteicos", 29, 8), 5)) + (ROUND(N16,4) &lt; INDEX('Tabela de ingredientes'!$O$1:$V$30, SWITCH(B16, "Gelatos de Leite", 7, "Sorbets", 10, "Gelatos de Leite com Fruta", 13, "Chocolate base água", 16, "Vegano", 19, "Alcoólicos", 22, "Zero", 25, "Gelatos Proteicos", 28, 7), 6)) + (ROUND(N16,4) &gt; INDEX('Tabela de ingredientes'!$O$1:$V$30, SWITCH(B16, "Gelatos de Leite", 8, "Sorbets", 11, "Gelatos de Leite com Fruta", 14, "Chocolate base água", 17, "Vegano", 20, "Alcoólicos", 23, "Zero", 26, "Gelatos Proteicos", 29, 8), 6)) + (ROUND(O16,4) &lt; INDEX('Tabela de ingredientes'!$O$1:$V$30, SWITCH(B16, "Gelatos de Leite", 7, "Sorbets", 10, "Gelatos de Leite com Fruta", 13, "Chocolate base água", 16, "Vegano", 19, "Alcoólicos", 22, "Zero", 25, "Gelatos Proteicos", 28, 7), 7)) + (ROUND(O16,4) &gt; INDEX('Tabela de ingredientes'!$O$1:$V$30, SWITCH(B16, "Gelatos de Leite", 8, "Sorbets", 11, "Gelatos de Leite com Fruta", 14, "Chocolate base água", 17, "Vegano", 20, "Alcoólicos", 23, "Zero", 26, "Gelatos Proteicos", 29, 8), 7)) + (ROUND(P16,4) &lt; INDEX('Tabela de ingredientes'!$O$1:$V$30, SWITCH(B16, "Gelatos de Leite", 7, "Sorbets", 10, "Gelatos de Leite com Fruta", 13, "Chocolate base água", 16, "Vegano", 19, "Alcoólicos", 22, "Zero", 25, "Gelatos Proteicos", 28, 7), 8)) + (ROUND(P16,4) &gt; INDEX('Tabela de ingredientes'!$O$1:$V$30, SWITCH(B16, "Gelatos de Leite", 8, "Sorbets", 11, "Gelatos de Leite com Fruta", 14, "Chocolate base água", 17, "Vegano", 20, "Alcoólicos", 23, "Zero", 26, "Gelatos Proteicos", 29, 8), 8)) + IF(B16="Gelatos Proteicos", (ROUND(Q16,4)&lt;'Tabela de ingredientes'!$W$28)+(ROUND(Q16,4)&gt;'Tabela de ingredientes'!$W$29), 0) = 0, "Ok", "Revisar"))</f>
        <v>Ok</v>
      </c>
    </row>
    <row r="17">
      <c r="A17" s="39" t="str">
        <f>IFERROR(__xludf.DUMMYFUNCTION("""COMPUTED_VALUE"""),"Crema (Direto ao Ponto)")</f>
        <v>Crema (Direto ao Ponto)</v>
      </c>
      <c r="B17" s="39" t="s">
        <v>25</v>
      </c>
      <c r="C17" s="39">
        <v>9.0</v>
      </c>
      <c r="D17" s="39">
        <v>1005.0</v>
      </c>
      <c r="E17" s="39" t="s">
        <v>179</v>
      </c>
      <c r="F17" s="69">
        <v>16.63034825870647</v>
      </c>
      <c r="G17" s="69">
        <v>0.9978208955223882</v>
      </c>
      <c r="H17" s="69">
        <v>36.11783796250536</v>
      </c>
      <c r="I17" s="59">
        <v>0.1508457711442786</v>
      </c>
      <c r="J17" s="59">
        <v>0.0881592039800995</v>
      </c>
      <c r="K17" s="59">
        <v>0.10432835820895522</v>
      </c>
      <c r="L17" s="59">
        <v>0.019303482587064675</v>
      </c>
      <c r="M17" s="59">
        <v>0.362636815920398</v>
      </c>
      <c r="N17" s="59">
        <v>0.637363184079602</v>
      </c>
      <c r="O17" s="39">
        <v>152.61492537313433</v>
      </c>
      <c r="P17" s="39">
        <v>229.70149253731344</v>
      </c>
      <c r="Q17" s="59">
        <v>0.05261691542288557</v>
      </c>
      <c r="R17" s="39">
        <v>9.188059701492538</v>
      </c>
      <c r="S17" s="97" t="str">
        <f t="array" ref="S17">IF(A17="","", IF( (ROUND(I17,4) &lt; INDEX('Tabela de ingredientes'!$O$1:$V$30, SWITCH(B17, "Gelatos de Leite", 7, "Sorbets", 10, "Gelatos de Leite com Fruta", 13, "Chocolate base água", 16, "Vegano", 19, "Alcoólicos", 22, "Zero", 25, "Gelatos Proteicos", 28, 7), 1)) + (ROUND(I17,4) &gt; INDEX('Tabela de ingredientes'!$O$1:$V$30, SWITCH(B17, "Gelatos de Leite", 8, "Sorbets", 11, "Gelatos de Leite com Fruta", 14, "Chocolate base água", 17, "Vegano", 20, "Alcoólicos", 23, "Zero", 26, "Gelatos Proteicos", 29, 8), 1)) + (ROUND(J17,4) &lt; INDEX('Tabela de ingredientes'!$O$1:$V$30, SWITCH(B17, "Gelatos de Leite", 7, "Sorbets", 10, "Gelatos de Leite com Fruta", 13, "Chocolate base água", 16, "Vegano", 19, "Alcoólicos", 22, "Zero", 25, "Gelatos Proteicos", 28, 7), 2)) + (ROUND(J17,4) &gt; INDEX('Tabela de ingredientes'!$O$1:$V$30, SWITCH(B17, "Gelatos de Leite", 8, "Sorbets", 11, "Gelatos de Leite com Fruta", 14, "Chocolate base água", 17, "Vegano", 20, "Alcoólicos", 23, "Zero", 26, "Gelatos Proteicos", 29, 8), 2)) + (ROUND(K17,4) &lt; INDEX('Tabela de ingredientes'!$O$1:$V$30, SWITCH(B17, "Gelatos de Leite", 7, "Sorbets", 10, "Gelatos de Leite com Fruta", 13, "Chocolate base água", 16, "Vegano", 19, "Alcoólicos", 22, "Zero", 25, "Gelatos Proteicos", 28, 7), 3)) + (ROUND(K17,4) &gt; INDEX('Tabela de ingredientes'!$O$1:$V$30, SWITCH(B17, "Gelatos de Leite", 8, "Sorbets", 11, "Gelatos de Leite com Fruta", 14, "Chocolate base água", 17, "Vegano", 20, "Alcoólicos", 23, "Zero", 26, "Gelatos Proteicos", 29, 8), 3)) + (ROUND(L17,4) &lt; INDEX('Tabela de ingredientes'!$O$1:$V$30, SWITCH(B17, "Gelatos de Leite", 7, "Sorbets", 10, "Gelatos de Leite com Fruta", 13, "Chocolate base água", 16, "Vegano", 19, "Alcoólicos", 22, "Zero", 25, "Gelatos Proteicos", 28, 7), 4)) + (ROUND(L17,4) &gt; INDEX('Tabela de ingredientes'!$O$1:$V$30, SWITCH(B17, "Gelatos de Leite", 8, "Sorbets", 11, "Gelatos de Leite com Fruta", 14, "Chocolate base água", 17, "Vegano", 20, "Alcoólicos", 23, "Zero", 26, "Gelatos Proteicos", 29, 8), 4)) + (ROUND(M17,4) &lt; INDEX('Tabela de ingredientes'!$O$1:$V$30, SWITCH(B17, "Gelatos de Leite", 7, "Sorbets", 10, "Gelatos de Leite com Fruta", 13, "Chocolate base água", 16, "Vegano", 19, "Alcoólicos", 22, "Zero", 25, "Gelatos Proteicos", 28, 7), 5)) + (ROUND(M17,4) &gt; INDEX('Tabela de ingredientes'!$O$1:$V$30, SWITCH(B17, "Gelatos de Leite", 8, "Sorbets", 11, "Gelatos de Leite com Fruta", 14, "Chocolate base água", 17, "Vegano", 20, "Alcoólicos", 23, "Zero", 26, "Gelatos Proteicos", 29, 8), 5)) + (ROUND(N17,4) &lt; INDEX('Tabela de ingredientes'!$O$1:$V$30, SWITCH(B17, "Gelatos de Leite", 7, "Sorbets", 10, "Gelatos de Leite com Fruta", 13, "Chocolate base água", 16, "Vegano", 19, "Alcoólicos", 22, "Zero", 25, "Gelatos Proteicos", 28, 7), 6)) + (ROUND(N17,4) &gt; INDEX('Tabela de ingredientes'!$O$1:$V$30, SWITCH(B17, "Gelatos de Leite", 8, "Sorbets", 11, "Gelatos de Leite com Fruta", 14, "Chocolate base água", 17, "Vegano", 20, "Alcoólicos", 23, "Zero", 26, "Gelatos Proteicos", 29, 8), 6)) + (ROUND(O17,4) &lt; INDEX('Tabela de ingredientes'!$O$1:$V$30, SWITCH(B17, "Gelatos de Leite", 7, "Sorbets", 10, "Gelatos de Leite com Fruta", 13, "Chocolate base água", 16, "Vegano", 19, "Alcoólicos", 22, "Zero", 25, "Gelatos Proteicos", 28, 7), 7)) + (ROUND(O17,4) &gt; INDEX('Tabela de ingredientes'!$O$1:$V$30, SWITCH(B17, "Gelatos de Leite", 8, "Sorbets", 11, "Gelatos de Leite com Fruta", 14, "Chocolate base água", 17, "Vegano", 20, "Alcoólicos", 23, "Zero", 26, "Gelatos Proteicos", 29, 8), 7)) + (ROUND(P17,4) &lt; INDEX('Tabela de ingredientes'!$O$1:$V$30, SWITCH(B17, "Gelatos de Leite", 7, "Sorbets", 10, "Gelatos de Leite com Fruta", 13, "Chocolate base água", 16, "Vegano", 19, "Alcoólicos", 22, "Zero", 25, "Gelatos Proteicos", 28, 7), 8)) + (ROUND(P17,4) &gt; INDEX('Tabela de ingredientes'!$O$1:$V$30, SWITCH(B17, "Gelatos de Leite", 8, "Sorbets", 11, "Gelatos de Leite com Fruta", 14, "Chocolate base água", 17, "Vegano", 20, "Alcoólicos", 23, "Zero", 26, "Gelatos Proteicos", 29, 8), 8)) + IF(B17="Gelatos Proteicos", (ROUND(Q17,4)&lt;'Tabela de ingredientes'!$W$28)+(ROUND(Q17,4)&gt;'Tabela de ingredientes'!$W$29), 0) = 0, "Ok", "Revisar"))</f>
        <v>Ok</v>
      </c>
    </row>
    <row r="18">
      <c r="A18" s="39" t="str">
        <f>IFERROR(__xludf.DUMMYFUNCTION("""COMPUTED_VALUE"""),"Crema di Santa Fina (Direto ao Ponto)")</f>
        <v>Crema di Santa Fina (Direto ao Ponto)</v>
      </c>
      <c r="B18" s="39" t="s">
        <v>25</v>
      </c>
      <c r="C18" s="39">
        <v>10.0</v>
      </c>
      <c r="D18" s="39">
        <v>1003.0</v>
      </c>
      <c r="E18" s="39" t="s">
        <v>184</v>
      </c>
      <c r="F18" s="69">
        <v>17.193918245264207</v>
      </c>
      <c r="G18" s="69">
        <v>1.0316350947158524</v>
      </c>
      <c r="H18" s="69">
        <v>36.584369408331305</v>
      </c>
      <c r="I18" s="59">
        <v>0.16490528414755734</v>
      </c>
      <c r="J18" s="59">
        <v>0.090777666999003</v>
      </c>
      <c r="K18" s="59">
        <v>0.10244267198404786</v>
      </c>
      <c r="L18" s="59">
        <v>0.019880358923230305</v>
      </c>
      <c r="M18" s="59">
        <v>0.37800598205383856</v>
      </c>
      <c r="N18" s="59">
        <v>0.6219940179461614</v>
      </c>
      <c r="O18" s="39">
        <v>163.95613160518445</v>
      </c>
      <c r="P18" s="39">
        <v>256.39082751744763</v>
      </c>
      <c r="Q18" s="59">
        <v>0.05191425722831506</v>
      </c>
      <c r="R18" s="39">
        <v>10.255633100697905</v>
      </c>
      <c r="S18" s="97" t="str">
        <f t="array" ref="S18">IF(A18="","", IF( (ROUND(I18,4) &lt; INDEX('Tabela de ingredientes'!$O$1:$V$30, SWITCH(B18, "Gelatos de Leite", 7, "Sorbets", 10, "Gelatos de Leite com Fruta", 13, "Chocolate base água", 16, "Vegano", 19, "Alcoólicos", 22, "Zero", 25, "Gelatos Proteicos", 28, 7), 1)) + (ROUND(I18,4) &gt; INDEX('Tabela de ingredientes'!$O$1:$V$30, SWITCH(B18, "Gelatos de Leite", 8, "Sorbets", 11, "Gelatos de Leite com Fruta", 14, "Chocolate base água", 17, "Vegano", 20, "Alcoólicos", 23, "Zero", 26, "Gelatos Proteicos", 29, 8), 1)) + (ROUND(J18,4) &lt; INDEX('Tabela de ingredientes'!$O$1:$V$30, SWITCH(B18, "Gelatos de Leite", 7, "Sorbets", 10, "Gelatos de Leite com Fruta", 13, "Chocolate base água", 16, "Vegano", 19, "Alcoólicos", 22, "Zero", 25, "Gelatos Proteicos", 28, 7), 2)) + (ROUND(J18,4) &gt; INDEX('Tabela de ingredientes'!$O$1:$V$30, SWITCH(B18, "Gelatos de Leite", 8, "Sorbets", 11, "Gelatos de Leite com Fruta", 14, "Chocolate base água", 17, "Vegano", 20, "Alcoólicos", 23, "Zero", 26, "Gelatos Proteicos", 29, 8), 2)) + (ROUND(K18,4) &lt; INDEX('Tabela de ingredientes'!$O$1:$V$30, SWITCH(B18, "Gelatos de Leite", 7, "Sorbets", 10, "Gelatos de Leite com Fruta", 13, "Chocolate base água", 16, "Vegano", 19, "Alcoólicos", 22, "Zero", 25, "Gelatos Proteicos", 28, 7), 3)) + (ROUND(K18,4) &gt; INDEX('Tabela de ingredientes'!$O$1:$V$30, SWITCH(B18, "Gelatos de Leite", 8, "Sorbets", 11, "Gelatos de Leite com Fruta", 14, "Chocolate base água", 17, "Vegano", 20, "Alcoólicos", 23, "Zero", 26, "Gelatos Proteicos", 29, 8), 3)) + (ROUND(L18,4) &lt; INDEX('Tabela de ingredientes'!$O$1:$V$30, SWITCH(B18, "Gelatos de Leite", 7, "Sorbets", 10, "Gelatos de Leite com Fruta", 13, "Chocolate base água", 16, "Vegano", 19, "Alcoólicos", 22, "Zero", 25, "Gelatos Proteicos", 28, 7), 4)) + (ROUND(L18,4) &gt; INDEX('Tabela de ingredientes'!$O$1:$V$30, SWITCH(B18, "Gelatos de Leite", 8, "Sorbets", 11, "Gelatos de Leite com Fruta", 14, "Chocolate base água", 17, "Vegano", 20, "Alcoólicos", 23, "Zero", 26, "Gelatos Proteicos", 29, 8), 4)) + (ROUND(M18,4) &lt; INDEX('Tabela de ingredientes'!$O$1:$V$30, SWITCH(B18, "Gelatos de Leite", 7, "Sorbets", 10, "Gelatos de Leite com Fruta", 13, "Chocolate base água", 16, "Vegano", 19, "Alcoólicos", 22, "Zero", 25, "Gelatos Proteicos", 28, 7), 5)) + (ROUND(M18,4) &gt; INDEX('Tabela de ingredientes'!$O$1:$V$30, SWITCH(B18, "Gelatos de Leite", 8, "Sorbets", 11, "Gelatos de Leite com Fruta", 14, "Chocolate base água", 17, "Vegano", 20, "Alcoólicos", 23, "Zero", 26, "Gelatos Proteicos", 29, 8), 5)) + (ROUND(N18,4) &lt; INDEX('Tabela de ingredientes'!$O$1:$V$30, SWITCH(B18, "Gelatos de Leite", 7, "Sorbets", 10, "Gelatos de Leite com Fruta", 13, "Chocolate base água", 16, "Vegano", 19, "Alcoólicos", 22, "Zero", 25, "Gelatos Proteicos", 28, 7), 6)) + (ROUND(N18,4) &gt; INDEX('Tabela de ingredientes'!$O$1:$V$30, SWITCH(B18, "Gelatos de Leite", 8, "Sorbets", 11, "Gelatos de Leite com Fruta", 14, "Chocolate base água", 17, "Vegano", 20, "Alcoólicos", 23, "Zero", 26, "Gelatos Proteicos", 29, 8), 6)) + (ROUND(O18,4) &lt; INDEX('Tabela de ingredientes'!$O$1:$V$30, SWITCH(B18, "Gelatos de Leite", 7, "Sorbets", 10, "Gelatos de Leite com Fruta", 13, "Chocolate base água", 16, "Vegano", 19, "Alcoólicos", 22, "Zero", 25, "Gelatos Proteicos", 28, 7), 7)) + (ROUND(O18,4) &gt; INDEX('Tabela de ingredientes'!$O$1:$V$30, SWITCH(B18, "Gelatos de Leite", 8, "Sorbets", 11, "Gelatos de Leite com Fruta", 14, "Chocolate base água", 17, "Vegano", 20, "Alcoólicos", 23, "Zero", 26, "Gelatos Proteicos", 29, 8), 7)) + (ROUND(P18,4) &lt; INDEX('Tabela de ingredientes'!$O$1:$V$30, SWITCH(B18, "Gelatos de Leite", 7, "Sorbets", 10, "Gelatos de Leite com Fruta", 13, "Chocolate base água", 16, "Vegano", 19, "Alcoólicos", 22, "Zero", 25, "Gelatos Proteicos", 28, 7), 8)) + (ROUND(P18,4) &gt; INDEX('Tabela de ingredientes'!$O$1:$V$30, SWITCH(B18, "Gelatos de Leite", 8, "Sorbets", 11, "Gelatos de Leite com Fruta", 14, "Chocolate base água", 17, "Vegano", 20, "Alcoólicos", 23, "Zero", 26, "Gelatos Proteicos", 29, 8), 8)) + IF(B18="Gelatos Proteicos", (ROUND(Q18,4)&lt;'Tabela de ingredientes'!$W$28)+(ROUND(Q18,4)&gt;'Tabela de ingredientes'!$W$29), 0) = 0, "Ok", "Revisar"))</f>
        <v>Ok</v>
      </c>
    </row>
    <row r="19">
      <c r="A19" s="39" t="str">
        <f>IFERROR(__xludf.DUMMYFUNCTION("""COMPUTED_VALUE"""),"Baunilha com Mascavo (Direto ao Ponto)")</f>
        <v>Baunilha com Mascavo (Direto ao Ponto)</v>
      </c>
      <c r="B19" s="39" t="s">
        <v>25</v>
      </c>
      <c r="C19" s="39">
        <v>10.0</v>
      </c>
      <c r="D19" s="39">
        <v>1002.0</v>
      </c>
      <c r="E19" s="39" t="s">
        <v>191</v>
      </c>
      <c r="F19" s="69">
        <v>22.59630738522954</v>
      </c>
      <c r="G19" s="69">
        <v>1.3557784431137723</v>
      </c>
      <c r="H19" s="69">
        <v>41.056545848699955</v>
      </c>
      <c r="I19" s="59">
        <v>0.18353293413173652</v>
      </c>
      <c r="J19" s="59">
        <v>0.07440119760479041</v>
      </c>
      <c r="K19" s="59">
        <v>0.10494011976047904</v>
      </c>
      <c r="L19" s="59">
        <v>0.02869261477045908</v>
      </c>
      <c r="M19" s="59">
        <v>0.391566866267465</v>
      </c>
      <c r="N19" s="59">
        <v>0.608433133732535</v>
      </c>
      <c r="O19" s="39">
        <v>168.47405189620758</v>
      </c>
      <c r="P19" s="39">
        <v>270.65868263473055</v>
      </c>
      <c r="Q19" s="59">
        <v>0.040139720558882236</v>
      </c>
      <c r="R19" s="39">
        <v>10.826347305389222</v>
      </c>
      <c r="S19" s="97" t="str">
        <f t="array" ref="S19">IF(A19="","", IF( (ROUND(I19,4) &lt; INDEX('Tabela de ingredientes'!$O$1:$V$30, SWITCH(B19, "Gelatos de Leite", 7, "Sorbets", 10, "Gelatos de Leite com Fruta", 13, "Chocolate base água", 16, "Vegano", 19, "Alcoólicos", 22, "Zero", 25, "Gelatos Proteicos", 28, 7), 1)) + (ROUND(I19,4) &gt; INDEX('Tabela de ingredientes'!$O$1:$V$30, SWITCH(B19, "Gelatos de Leite", 8, "Sorbets", 11, "Gelatos de Leite com Fruta", 14, "Chocolate base água", 17, "Vegano", 20, "Alcoólicos", 23, "Zero", 26, "Gelatos Proteicos", 29, 8), 1)) + (ROUND(J19,4) &lt; INDEX('Tabela de ingredientes'!$O$1:$V$30, SWITCH(B19, "Gelatos de Leite", 7, "Sorbets", 10, "Gelatos de Leite com Fruta", 13, "Chocolate base água", 16, "Vegano", 19, "Alcoólicos", 22, "Zero", 25, "Gelatos Proteicos", 28, 7), 2)) + (ROUND(J19,4) &gt; INDEX('Tabela de ingredientes'!$O$1:$V$30, SWITCH(B19, "Gelatos de Leite", 8, "Sorbets", 11, "Gelatos de Leite com Fruta", 14, "Chocolate base água", 17, "Vegano", 20, "Alcoólicos", 23, "Zero", 26, "Gelatos Proteicos", 29, 8), 2)) + (ROUND(K19,4) &lt; INDEX('Tabela de ingredientes'!$O$1:$V$30, SWITCH(B19, "Gelatos de Leite", 7, "Sorbets", 10, "Gelatos de Leite com Fruta", 13, "Chocolate base água", 16, "Vegano", 19, "Alcoólicos", 22, "Zero", 25, "Gelatos Proteicos", 28, 7), 3)) + (ROUND(K19,4) &gt; INDEX('Tabela de ingredientes'!$O$1:$V$30, SWITCH(B19, "Gelatos de Leite", 8, "Sorbets", 11, "Gelatos de Leite com Fruta", 14, "Chocolate base água", 17, "Vegano", 20, "Alcoólicos", 23, "Zero", 26, "Gelatos Proteicos", 29, 8), 3)) + (ROUND(L19,4) &lt; INDEX('Tabela de ingredientes'!$O$1:$V$30, SWITCH(B19, "Gelatos de Leite", 7, "Sorbets", 10, "Gelatos de Leite com Fruta", 13, "Chocolate base água", 16, "Vegano", 19, "Alcoólicos", 22, "Zero", 25, "Gelatos Proteicos", 28, 7), 4)) + (ROUND(L19,4) &gt; INDEX('Tabela de ingredientes'!$O$1:$V$30, SWITCH(B19, "Gelatos de Leite", 8, "Sorbets", 11, "Gelatos de Leite com Fruta", 14, "Chocolate base água", 17, "Vegano", 20, "Alcoólicos", 23, "Zero", 26, "Gelatos Proteicos", 29, 8), 4)) + (ROUND(M19,4) &lt; INDEX('Tabela de ingredientes'!$O$1:$V$30, SWITCH(B19, "Gelatos de Leite", 7, "Sorbets", 10, "Gelatos de Leite com Fruta", 13, "Chocolate base água", 16, "Vegano", 19, "Alcoólicos", 22, "Zero", 25, "Gelatos Proteicos", 28, 7), 5)) + (ROUND(M19,4) &gt; INDEX('Tabela de ingredientes'!$O$1:$V$30, SWITCH(B19, "Gelatos de Leite", 8, "Sorbets", 11, "Gelatos de Leite com Fruta", 14, "Chocolate base água", 17, "Vegano", 20, "Alcoólicos", 23, "Zero", 26, "Gelatos Proteicos", 29, 8), 5)) + (ROUND(N19,4) &lt; INDEX('Tabela de ingredientes'!$O$1:$V$30, SWITCH(B19, "Gelatos de Leite", 7, "Sorbets", 10, "Gelatos de Leite com Fruta", 13, "Chocolate base água", 16, "Vegano", 19, "Alcoólicos", 22, "Zero", 25, "Gelatos Proteicos", 28, 7), 6)) + (ROUND(N19,4) &gt; INDEX('Tabela de ingredientes'!$O$1:$V$30, SWITCH(B19, "Gelatos de Leite", 8, "Sorbets", 11, "Gelatos de Leite com Fruta", 14, "Chocolate base água", 17, "Vegano", 20, "Alcoólicos", 23, "Zero", 26, "Gelatos Proteicos", 29, 8), 6)) + (ROUND(O19,4) &lt; INDEX('Tabela de ingredientes'!$O$1:$V$30, SWITCH(B19, "Gelatos de Leite", 7, "Sorbets", 10, "Gelatos de Leite com Fruta", 13, "Chocolate base água", 16, "Vegano", 19, "Alcoólicos", 22, "Zero", 25, "Gelatos Proteicos", 28, 7), 7)) + (ROUND(O19,4) &gt; INDEX('Tabela de ingredientes'!$O$1:$V$30, SWITCH(B19, "Gelatos de Leite", 8, "Sorbets", 11, "Gelatos de Leite com Fruta", 14, "Chocolate base água", 17, "Vegano", 20, "Alcoólicos", 23, "Zero", 26, "Gelatos Proteicos", 29, 8), 7)) + (ROUND(P19,4) &lt; INDEX('Tabela de ingredientes'!$O$1:$V$30, SWITCH(B19, "Gelatos de Leite", 7, "Sorbets", 10, "Gelatos de Leite com Fruta", 13, "Chocolate base água", 16, "Vegano", 19, "Alcoólicos", 22, "Zero", 25, "Gelatos Proteicos", 28, 7), 8)) + (ROUND(P19,4) &gt; INDEX('Tabela de ingredientes'!$O$1:$V$30, SWITCH(B19, "Gelatos de Leite", 8, "Sorbets", 11, "Gelatos de Leite com Fruta", 14, "Chocolate base água", 17, "Vegano", 20, "Alcoólicos", 23, "Zero", 26, "Gelatos Proteicos", 29, 8), 8)) + IF(B19="Gelatos Proteicos", (ROUND(Q19,4)&lt;'Tabela de ingredientes'!$W$28)+(ROUND(Q19,4)&gt;'Tabela de ingredientes'!$W$29), 0) = 0, "Ok", "Revisar"))</f>
        <v>Ok</v>
      </c>
    </row>
    <row r="20">
      <c r="A20" s="39" t="str">
        <f>IFERROR(__xludf.DUMMYFUNCTION("""COMPUTED_VALUE"""),"Doce de Leite (Direto ao Ponto)")</f>
        <v>Doce de Leite (Direto ao Ponto)</v>
      </c>
      <c r="B20" s="39" t="s">
        <v>25</v>
      </c>
      <c r="C20" s="39">
        <v>6.0</v>
      </c>
      <c r="D20" s="39">
        <v>1001.0</v>
      </c>
      <c r="E20" s="39" t="s">
        <v>161</v>
      </c>
      <c r="F20" s="69">
        <v>23.246253746253746</v>
      </c>
      <c r="G20" s="69">
        <v>1.3947752247752248</v>
      </c>
      <c r="H20" s="69">
        <v>41.59458091577297</v>
      </c>
      <c r="I20" s="59">
        <v>0.18511488511488514</v>
      </c>
      <c r="J20" s="59">
        <v>0.08863636363636362</v>
      </c>
      <c r="K20" s="59">
        <v>0.0995004995004995</v>
      </c>
      <c r="L20" s="59">
        <v>0.005994005994005994</v>
      </c>
      <c r="M20" s="59">
        <v>0.3792457542457543</v>
      </c>
      <c r="N20" s="59">
        <v>0.6207542457542456</v>
      </c>
      <c r="O20" s="39">
        <v>179.98601398601394</v>
      </c>
      <c r="P20" s="39">
        <v>280.6193806193806</v>
      </c>
      <c r="Q20" s="59">
        <v>0.050504495504495504</v>
      </c>
      <c r="R20" s="39">
        <v>11.224775224775223</v>
      </c>
      <c r="S20" s="97" t="str">
        <f t="array" ref="S20">IF(A20="","", IF( (ROUND(I20,4) &lt; INDEX('Tabela de ingredientes'!$O$1:$V$30, SWITCH(B20, "Gelatos de Leite", 7, "Sorbets", 10, "Gelatos de Leite com Fruta", 13, "Chocolate base água", 16, "Vegano", 19, "Alcoólicos", 22, "Zero", 25, "Gelatos Proteicos", 28, 7), 1)) + (ROUND(I20,4) &gt; INDEX('Tabela de ingredientes'!$O$1:$V$30, SWITCH(B20, "Gelatos de Leite", 8, "Sorbets", 11, "Gelatos de Leite com Fruta", 14, "Chocolate base água", 17, "Vegano", 20, "Alcoólicos", 23, "Zero", 26, "Gelatos Proteicos", 29, 8), 1)) + (ROUND(J20,4) &lt; INDEX('Tabela de ingredientes'!$O$1:$V$30, SWITCH(B20, "Gelatos de Leite", 7, "Sorbets", 10, "Gelatos de Leite com Fruta", 13, "Chocolate base água", 16, "Vegano", 19, "Alcoólicos", 22, "Zero", 25, "Gelatos Proteicos", 28, 7), 2)) + (ROUND(J20,4) &gt; INDEX('Tabela de ingredientes'!$O$1:$V$30, SWITCH(B20, "Gelatos de Leite", 8, "Sorbets", 11, "Gelatos de Leite com Fruta", 14, "Chocolate base água", 17, "Vegano", 20, "Alcoólicos", 23, "Zero", 26, "Gelatos Proteicos", 29, 8), 2)) + (ROUND(K20,4) &lt; INDEX('Tabela de ingredientes'!$O$1:$V$30, SWITCH(B20, "Gelatos de Leite", 7, "Sorbets", 10, "Gelatos de Leite com Fruta", 13, "Chocolate base água", 16, "Vegano", 19, "Alcoólicos", 22, "Zero", 25, "Gelatos Proteicos", 28, 7), 3)) + (ROUND(K20,4) &gt; INDEX('Tabela de ingredientes'!$O$1:$V$30, SWITCH(B20, "Gelatos de Leite", 8, "Sorbets", 11, "Gelatos de Leite com Fruta", 14, "Chocolate base água", 17, "Vegano", 20, "Alcoólicos", 23, "Zero", 26, "Gelatos Proteicos", 29, 8), 3)) + (ROUND(L20,4) &lt; INDEX('Tabela de ingredientes'!$O$1:$V$30, SWITCH(B20, "Gelatos de Leite", 7, "Sorbets", 10, "Gelatos de Leite com Fruta", 13, "Chocolate base água", 16, "Vegano", 19, "Alcoólicos", 22, "Zero", 25, "Gelatos Proteicos", 28, 7), 4)) + (ROUND(L20,4) &gt; INDEX('Tabela de ingredientes'!$O$1:$V$30, SWITCH(B20, "Gelatos de Leite", 8, "Sorbets", 11, "Gelatos de Leite com Fruta", 14, "Chocolate base água", 17, "Vegano", 20, "Alcoólicos", 23, "Zero", 26, "Gelatos Proteicos", 29, 8), 4)) + (ROUND(M20,4) &lt; INDEX('Tabela de ingredientes'!$O$1:$V$30, SWITCH(B20, "Gelatos de Leite", 7, "Sorbets", 10, "Gelatos de Leite com Fruta", 13, "Chocolate base água", 16, "Vegano", 19, "Alcoólicos", 22, "Zero", 25, "Gelatos Proteicos", 28, 7), 5)) + (ROUND(M20,4) &gt; INDEX('Tabela de ingredientes'!$O$1:$V$30, SWITCH(B20, "Gelatos de Leite", 8, "Sorbets", 11, "Gelatos de Leite com Fruta", 14, "Chocolate base água", 17, "Vegano", 20, "Alcoólicos", 23, "Zero", 26, "Gelatos Proteicos", 29, 8), 5)) + (ROUND(N20,4) &lt; INDEX('Tabela de ingredientes'!$O$1:$V$30, SWITCH(B20, "Gelatos de Leite", 7, "Sorbets", 10, "Gelatos de Leite com Fruta", 13, "Chocolate base água", 16, "Vegano", 19, "Alcoólicos", 22, "Zero", 25, "Gelatos Proteicos", 28, 7), 6)) + (ROUND(N20,4) &gt; INDEX('Tabela de ingredientes'!$O$1:$V$30, SWITCH(B20, "Gelatos de Leite", 8, "Sorbets", 11, "Gelatos de Leite com Fruta", 14, "Chocolate base água", 17, "Vegano", 20, "Alcoólicos", 23, "Zero", 26, "Gelatos Proteicos", 29, 8), 6)) + (ROUND(O20,4) &lt; INDEX('Tabela de ingredientes'!$O$1:$V$30, SWITCH(B20, "Gelatos de Leite", 7, "Sorbets", 10, "Gelatos de Leite com Fruta", 13, "Chocolate base água", 16, "Vegano", 19, "Alcoólicos", 22, "Zero", 25, "Gelatos Proteicos", 28, 7), 7)) + (ROUND(O20,4) &gt; INDEX('Tabela de ingredientes'!$O$1:$V$30, SWITCH(B20, "Gelatos de Leite", 8, "Sorbets", 11, "Gelatos de Leite com Fruta", 14, "Chocolate base água", 17, "Vegano", 20, "Alcoólicos", 23, "Zero", 26, "Gelatos Proteicos", 29, 8), 7)) + (ROUND(P20,4) &lt; INDEX('Tabela de ingredientes'!$O$1:$V$30, SWITCH(B20, "Gelatos de Leite", 7, "Sorbets", 10, "Gelatos de Leite com Fruta", 13, "Chocolate base água", 16, "Vegano", 19, "Alcoólicos", 22, "Zero", 25, "Gelatos Proteicos", 28, 7), 8)) + (ROUND(P20,4) &gt; INDEX('Tabela de ingredientes'!$O$1:$V$30, SWITCH(B20, "Gelatos de Leite", 8, "Sorbets", 11, "Gelatos de Leite com Fruta", 14, "Chocolate base água", 17, "Vegano", 20, "Alcoólicos", 23, "Zero", 26, "Gelatos Proteicos", 29, 8), 8)) + IF(B20="Gelatos Proteicos", (ROUND(Q20,4)&lt;'Tabela de ingredientes'!$W$28)+(ROUND(Q20,4)&gt;'Tabela de ingredientes'!$W$29), 0) = 0, "Ok", "Revisar"))</f>
        <v>Ok</v>
      </c>
    </row>
    <row r="21">
      <c r="A21" s="39" t="str">
        <f>IFERROR(__xludf.DUMMYFUNCTION("""COMPUTED_VALUE"""),"Nesquik (Direto ao Ponto)")</f>
        <v>Nesquik (Direto ao Ponto)</v>
      </c>
      <c r="B21" s="39" t="s">
        <v>25</v>
      </c>
      <c r="C21" s="39">
        <v>8.0</v>
      </c>
      <c r="D21" s="39">
        <v>1001.0</v>
      </c>
      <c r="E21" s="39" t="s">
        <v>161</v>
      </c>
      <c r="F21" s="69">
        <v>14.077422577422578</v>
      </c>
      <c r="G21" s="69">
        <v>0.8446453546453546</v>
      </c>
      <c r="H21" s="69">
        <v>34.00448888859486</v>
      </c>
      <c r="I21" s="59">
        <v>0.13491508491508492</v>
      </c>
      <c r="J21" s="59">
        <v>0.06613386613386614</v>
      </c>
      <c r="K21" s="59">
        <v>0.10814185814185814</v>
      </c>
      <c r="L21" s="59">
        <v>0.02417582417582418</v>
      </c>
      <c r="M21" s="59">
        <v>0.3333666333666334</v>
      </c>
      <c r="N21" s="59">
        <v>0.6666333666333666</v>
      </c>
      <c r="O21" s="39">
        <v>127.17082917082917</v>
      </c>
      <c r="P21" s="39">
        <v>199.3006993006993</v>
      </c>
      <c r="Q21" s="59">
        <v>0.0441958041958042</v>
      </c>
      <c r="R21" s="39">
        <v>7.9720279720279725</v>
      </c>
      <c r="S21" s="97" t="str">
        <f t="array" ref="S21">IF(A21="","", IF( (ROUND(I21,4) &lt; INDEX('Tabela de ingredientes'!$O$1:$V$30, SWITCH(B21, "Gelatos de Leite", 7, "Sorbets", 10, "Gelatos de Leite com Fruta", 13, "Chocolate base água", 16, "Vegano", 19, "Alcoólicos", 22, "Zero", 25, "Gelatos Proteicos", 28, 7), 1)) + (ROUND(I21,4) &gt; INDEX('Tabela de ingredientes'!$O$1:$V$30, SWITCH(B21, "Gelatos de Leite", 8, "Sorbets", 11, "Gelatos de Leite com Fruta", 14, "Chocolate base água", 17, "Vegano", 20, "Alcoólicos", 23, "Zero", 26, "Gelatos Proteicos", 29, 8), 1)) + (ROUND(J21,4) &lt; INDEX('Tabela de ingredientes'!$O$1:$V$30, SWITCH(B21, "Gelatos de Leite", 7, "Sorbets", 10, "Gelatos de Leite com Fruta", 13, "Chocolate base água", 16, "Vegano", 19, "Alcoólicos", 22, "Zero", 25, "Gelatos Proteicos", 28, 7), 2)) + (ROUND(J21,4) &gt; INDEX('Tabela de ingredientes'!$O$1:$V$30, SWITCH(B21, "Gelatos de Leite", 8, "Sorbets", 11, "Gelatos de Leite com Fruta", 14, "Chocolate base água", 17, "Vegano", 20, "Alcoólicos", 23, "Zero", 26, "Gelatos Proteicos", 29, 8), 2)) + (ROUND(K21,4) &lt; INDEX('Tabela de ingredientes'!$O$1:$V$30, SWITCH(B21, "Gelatos de Leite", 7, "Sorbets", 10, "Gelatos de Leite com Fruta", 13, "Chocolate base água", 16, "Vegano", 19, "Alcoólicos", 22, "Zero", 25, "Gelatos Proteicos", 28, 7), 3)) + (ROUND(K21,4) &gt; INDEX('Tabela de ingredientes'!$O$1:$V$30, SWITCH(B21, "Gelatos de Leite", 8, "Sorbets", 11, "Gelatos de Leite com Fruta", 14, "Chocolate base água", 17, "Vegano", 20, "Alcoólicos", 23, "Zero", 26, "Gelatos Proteicos", 29, 8), 3)) + (ROUND(L21,4) &lt; INDEX('Tabela de ingredientes'!$O$1:$V$30, SWITCH(B21, "Gelatos de Leite", 7, "Sorbets", 10, "Gelatos de Leite com Fruta", 13, "Chocolate base água", 16, "Vegano", 19, "Alcoólicos", 22, "Zero", 25, "Gelatos Proteicos", 28, 7), 4)) + (ROUND(L21,4) &gt; INDEX('Tabela de ingredientes'!$O$1:$V$30, SWITCH(B21, "Gelatos de Leite", 8, "Sorbets", 11, "Gelatos de Leite com Fruta", 14, "Chocolate base água", 17, "Vegano", 20, "Alcoólicos", 23, "Zero", 26, "Gelatos Proteicos", 29, 8), 4)) + (ROUND(M21,4) &lt; INDEX('Tabela de ingredientes'!$O$1:$V$30, SWITCH(B21, "Gelatos de Leite", 7, "Sorbets", 10, "Gelatos de Leite com Fruta", 13, "Chocolate base água", 16, "Vegano", 19, "Alcoólicos", 22, "Zero", 25, "Gelatos Proteicos", 28, 7), 5)) + (ROUND(M21,4) &gt; INDEX('Tabela de ingredientes'!$O$1:$V$30, SWITCH(B21, "Gelatos de Leite", 8, "Sorbets", 11, "Gelatos de Leite com Fruta", 14, "Chocolate base água", 17, "Vegano", 20, "Alcoólicos", 23, "Zero", 26, "Gelatos Proteicos", 29, 8), 5)) + (ROUND(N21,4) &lt; INDEX('Tabela de ingredientes'!$O$1:$V$30, SWITCH(B21, "Gelatos de Leite", 7, "Sorbets", 10, "Gelatos de Leite com Fruta", 13, "Chocolate base água", 16, "Vegano", 19, "Alcoólicos", 22, "Zero", 25, "Gelatos Proteicos", 28, 7), 6)) + (ROUND(N21,4) &gt; INDEX('Tabela de ingredientes'!$O$1:$V$30, SWITCH(B21, "Gelatos de Leite", 8, "Sorbets", 11, "Gelatos de Leite com Fruta", 14, "Chocolate base água", 17, "Vegano", 20, "Alcoólicos", 23, "Zero", 26, "Gelatos Proteicos", 29, 8), 6)) + (ROUND(O21,4) &lt; INDEX('Tabela de ingredientes'!$O$1:$V$30, SWITCH(B21, "Gelatos de Leite", 7, "Sorbets", 10, "Gelatos de Leite com Fruta", 13, "Chocolate base água", 16, "Vegano", 19, "Alcoólicos", 22, "Zero", 25, "Gelatos Proteicos", 28, 7), 7)) + (ROUND(O21,4) &gt; INDEX('Tabela de ingredientes'!$O$1:$V$30, SWITCH(B21, "Gelatos de Leite", 8, "Sorbets", 11, "Gelatos de Leite com Fruta", 14, "Chocolate base água", 17, "Vegano", 20, "Alcoólicos", 23, "Zero", 26, "Gelatos Proteicos", 29, 8), 7)) + (ROUND(P21,4) &lt; INDEX('Tabela de ingredientes'!$O$1:$V$30, SWITCH(B21, "Gelatos de Leite", 7, "Sorbets", 10, "Gelatos de Leite com Fruta", 13, "Chocolate base água", 16, "Vegano", 19, "Alcoólicos", 22, "Zero", 25, "Gelatos Proteicos", 28, 7), 8)) + (ROUND(P21,4) &gt; INDEX('Tabela de ingredientes'!$O$1:$V$30, SWITCH(B21, "Gelatos de Leite", 8, "Sorbets", 11, "Gelatos de Leite com Fruta", 14, "Chocolate base água", 17, "Vegano", 20, "Alcoólicos", 23, "Zero", 26, "Gelatos Proteicos", 29, 8), 8)) + IF(B21="Gelatos Proteicos", (ROUND(Q21,4)&lt;'Tabela de ingredientes'!$W$28)+(ROUND(Q21,4)&gt;'Tabela de ingredientes'!$W$29), 0) = 0, "Ok", "Revisar"))</f>
        <v>Revisar</v>
      </c>
    </row>
    <row r="22">
      <c r="A22" s="39" t="str">
        <f>IFERROR(__xludf.DUMMYFUNCTION("""COMPUTED_VALUE"""),"Cream Cheese (Direto ao Ponto)")</f>
        <v>Cream Cheese (Direto ao Ponto)</v>
      </c>
      <c r="B22" s="39" t="s">
        <v>25</v>
      </c>
      <c r="C22" s="39">
        <v>8.0</v>
      </c>
      <c r="D22" s="39">
        <v>1001.0</v>
      </c>
      <c r="E22" s="39" t="s">
        <v>161</v>
      </c>
      <c r="F22" s="69">
        <v>19.466033966033965</v>
      </c>
      <c r="G22" s="69">
        <v>1.167962037962038</v>
      </c>
      <c r="H22" s="69">
        <v>38.46525990565726</v>
      </c>
      <c r="I22" s="59">
        <v>0.16663336663336664</v>
      </c>
      <c r="J22" s="59">
        <v>0.09560439560439561</v>
      </c>
      <c r="K22" s="59">
        <v>0.10564435564435565</v>
      </c>
      <c r="L22" s="59">
        <v>0.007192807192807193</v>
      </c>
      <c r="M22" s="59">
        <v>0.37507492507492507</v>
      </c>
      <c r="N22" s="59">
        <v>0.624925074925075</v>
      </c>
      <c r="O22" s="39">
        <v>165.5904095904096</v>
      </c>
      <c r="P22" s="39">
        <v>247.69230769230768</v>
      </c>
      <c r="Q22" s="59">
        <v>0.05224775224775225</v>
      </c>
      <c r="R22" s="39">
        <v>9.907692307692308</v>
      </c>
      <c r="S22" s="97" t="str">
        <f t="array" ref="S22">IF(A22="","", IF( (ROUND(I22,4) &lt; INDEX('Tabela de ingredientes'!$O$1:$V$30, SWITCH(B22, "Gelatos de Leite", 7, "Sorbets", 10, "Gelatos de Leite com Fruta", 13, "Chocolate base água", 16, "Vegano", 19, "Alcoólicos", 22, "Zero", 25, "Gelatos Proteicos", 28, 7), 1)) + (ROUND(I22,4) &gt; INDEX('Tabela de ingredientes'!$O$1:$V$30, SWITCH(B22, "Gelatos de Leite", 8, "Sorbets", 11, "Gelatos de Leite com Fruta", 14, "Chocolate base água", 17, "Vegano", 20, "Alcoólicos", 23, "Zero", 26, "Gelatos Proteicos", 29, 8), 1)) + (ROUND(J22,4) &lt; INDEX('Tabela de ingredientes'!$O$1:$V$30, SWITCH(B22, "Gelatos de Leite", 7, "Sorbets", 10, "Gelatos de Leite com Fruta", 13, "Chocolate base água", 16, "Vegano", 19, "Alcoólicos", 22, "Zero", 25, "Gelatos Proteicos", 28, 7), 2)) + (ROUND(J22,4) &gt; INDEX('Tabela de ingredientes'!$O$1:$V$30, SWITCH(B22, "Gelatos de Leite", 8, "Sorbets", 11, "Gelatos de Leite com Fruta", 14, "Chocolate base água", 17, "Vegano", 20, "Alcoólicos", 23, "Zero", 26, "Gelatos Proteicos", 29, 8), 2)) + (ROUND(K22,4) &lt; INDEX('Tabela de ingredientes'!$O$1:$V$30, SWITCH(B22, "Gelatos de Leite", 7, "Sorbets", 10, "Gelatos de Leite com Fruta", 13, "Chocolate base água", 16, "Vegano", 19, "Alcoólicos", 22, "Zero", 25, "Gelatos Proteicos", 28, 7), 3)) + (ROUND(K22,4) &gt; INDEX('Tabela de ingredientes'!$O$1:$V$30, SWITCH(B22, "Gelatos de Leite", 8, "Sorbets", 11, "Gelatos de Leite com Fruta", 14, "Chocolate base água", 17, "Vegano", 20, "Alcoólicos", 23, "Zero", 26, "Gelatos Proteicos", 29, 8), 3)) + (ROUND(L22,4) &lt; INDEX('Tabela de ingredientes'!$O$1:$V$30, SWITCH(B22, "Gelatos de Leite", 7, "Sorbets", 10, "Gelatos de Leite com Fruta", 13, "Chocolate base água", 16, "Vegano", 19, "Alcoólicos", 22, "Zero", 25, "Gelatos Proteicos", 28, 7), 4)) + (ROUND(L22,4) &gt; INDEX('Tabela de ingredientes'!$O$1:$V$30, SWITCH(B22, "Gelatos de Leite", 8, "Sorbets", 11, "Gelatos de Leite com Fruta", 14, "Chocolate base água", 17, "Vegano", 20, "Alcoólicos", 23, "Zero", 26, "Gelatos Proteicos", 29, 8), 4)) + (ROUND(M22,4) &lt; INDEX('Tabela de ingredientes'!$O$1:$V$30, SWITCH(B22, "Gelatos de Leite", 7, "Sorbets", 10, "Gelatos de Leite com Fruta", 13, "Chocolate base água", 16, "Vegano", 19, "Alcoólicos", 22, "Zero", 25, "Gelatos Proteicos", 28, 7), 5)) + (ROUND(M22,4) &gt; INDEX('Tabela de ingredientes'!$O$1:$V$30, SWITCH(B22, "Gelatos de Leite", 8, "Sorbets", 11, "Gelatos de Leite com Fruta", 14, "Chocolate base água", 17, "Vegano", 20, "Alcoólicos", 23, "Zero", 26, "Gelatos Proteicos", 29, 8), 5)) + (ROUND(N22,4) &lt; INDEX('Tabela de ingredientes'!$O$1:$V$30, SWITCH(B22, "Gelatos de Leite", 7, "Sorbets", 10, "Gelatos de Leite com Fruta", 13, "Chocolate base água", 16, "Vegano", 19, "Alcoólicos", 22, "Zero", 25, "Gelatos Proteicos", 28, 7), 6)) + (ROUND(N22,4) &gt; INDEX('Tabela de ingredientes'!$O$1:$V$30, SWITCH(B22, "Gelatos de Leite", 8, "Sorbets", 11, "Gelatos de Leite com Fruta", 14, "Chocolate base água", 17, "Vegano", 20, "Alcoólicos", 23, "Zero", 26, "Gelatos Proteicos", 29, 8), 6)) + (ROUND(O22,4) &lt; INDEX('Tabela de ingredientes'!$O$1:$V$30, SWITCH(B22, "Gelatos de Leite", 7, "Sorbets", 10, "Gelatos de Leite com Fruta", 13, "Chocolate base água", 16, "Vegano", 19, "Alcoólicos", 22, "Zero", 25, "Gelatos Proteicos", 28, 7), 7)) + (ROUND(O22,4) &gt; INDEX('Tabela de ingredientes'!$O$1:$V$30, SWITCH(B22, "Gelatos de Leite", 8, "Sorbets", 11, "Gelatos de Leite com Fruta", 14, "Chocolate base água", 17, "Vegano", 20, "Alcoólicos", 23, "Zero", 26, "Gelatos Proteicos", 29, 8), 7)) + (ROUND(P22,4) &lt; INDEX('Tabela de ingredientes'!$O$1:$V$30, SWITCH(B22, "Gelatos de Leite", 7, "Sorbets", 10, "Gelatos de Leite com Fruta", 13, "Chocolate base água", 16, "Vegano", 19, "Alcoólicos", 22, "Zero", 25, "Gelatos Proteicos", 28, 7), 8)) + (ROUND(P22,4) &gt; INDEX('Tabela de ingredientes'!$O$1:$V$30, SWITCH(B22, "Gelatos de Leite", 8, "Sorbets", 11, "Gelatos de Leite com Fruta", 14, "Chocolate base água", 17, "Vegano", 20, "Alcoólicos", 23, "Zero", 26, "Gelatos Proteicos", 29, 8), 8)) + IF(B22="Gelatos Proteicos", (ROUND(Q22,4)&lt;'Tabela de ingredientes'!$W$28)+(ROUND(Q22,4)&gt;'Tabela de ingredientes'!$W$29), 0) = 0, "Ok", "Revisar"))</f>
        <v>Ok</v>
      </c>
    </row>
    <row r="23">
      <c r="A23" s="39" t="str">
        <f>IFERROR(__xludf.DUMMYFUNCTION("""COMPUTED_VALUE"""),"Parmesão (Direto ao Ponto)")</f>
        <v>Parmesão (Direto ao Ponto)</v>
      </c>
      <c r="B23" s="39" t="s">
        <v>25</v>
      </c>
      <c r="C23" s="39">
        <v>8.0</v>
      </c>
      <c r="D23" s="39">
        <v>997.0</v>
      </c>
      <c r="E23" s="39" t="s">
        <v>224</v>
      </c>
      <c r="F23" s="69">
        <v>26.38415245737212</v>
      </c>
      <c r="G23" s="69">
        <v>1.5830491474423272</v>
      </c>
      <c r="H23" s="69">
        <v>44.192179186566335</v>
      </c>
      <c r="I23" s="59">
        <v>0.17111334002006018</v>
      </c>
      <c r="J23" s="59">
        <v>0.08154463390170512</v>
      </c>
      <c r="K23" s="59">
        <v>0.14658976930792375</v>
      </c>
      <c r="L23" s="59">
        <v>0.007021063189568706</v>
      </c>
      <c r="M23" s="59">
        <v>0.4062688064192577</v>
      </c>
      <c r="N23" s="59">
        <v>0.5937311935807423</v>
      </c>
      <c r="O23" s="39">
        <v>168.8004012036108</v>
      </c>
      <c r="P23" s="39">
        <v>268.00401203610835</v>
      </c>
      <c r="Q23" s="59">
        <v>0.08776328986960882</v>
      </c>
      <c r="R23" s="39">
        <v>10.720160481444333</v>
      </c>
      <c r="S23" s="97" t="str">
        <f t="array" ref="S23">IF(A23="","", IF( (ROUND(I23,4) &lt; INDEX('Tabela de ingredientes'!$O$1:$V$30, SWITCH(B23, "Gelatos de Leite", 7, "Sorbets", 10, "Gelatos de Leite com Fruta", 13, "Chocolate base água", 16, "Vegano", 19, "Alcoólicos", 22, "Zero", 25, "Gelatos Proteicos", 28, 7), 1)) + (ROUND(I23,4) &gt; INDEX('Tabela de ingredientes'!$O$1:$V$30, SWITCH(B23, "Gelatos de Leite", 8, "Sorbets", 11, "Gelatos de Leite com Fruta", 14, "Chocolate base água", 17, "Vegano", 20, "Alcoólicos", 23, "Zero", 26, "Gelatos Proteicos", 29, 8), 1)) + (ROUND(J23,4) &lt; INDEX('Tabela de ingredientes'!$O$1:$V$30, SWITCH(B23, "Gelatos de Leite", 7, "Sorbets", 10, "Gelatos de Leite com Fruta", 13, "Chocolate base água", 16, "Vegano", 19, "Alcoólicos", 22, "Zero", 25, "Gelatos Proteicos", 28, 7), 2)) + (ROUND(J23,4) &gt; INDEX('Tabela de ingredientes'!$O$1:$V$30, SWITCH(B23, "Gelatos de Leite", 8, "Sorbets", 11, "Gelatos de Leite com Fruta", 14, "Chocolate base água", 17, "Vegano", 20, "Alcoólicos", 23, "Zero", 26, "Gelatos Proteicos", 29, 8), 2)) + (ROUND(K23,4) &lt; INDEX('Tabela de ingredientes'!$O$1:$V$30, SWITCH(B23, "Gelatos de Leite", 7, "Sorbets", 10, "Gelatos de Leite com Fruta", 13, "Chocolate base água", 16, "Vegano", 19, "Alcoólicos", 22, "Zero", 25, "Gelatos Proteicos", 28, 7), 3)) + (ROUND(K23,4) &gt; INDEX('Tabela de ingredientes'!$O$1:$V$30, SWITCH(B23, "Gelatos de Leite", 8, "Sorbets", 11, "Gelatos de Leite com Fruta", 14, "Chocolate base água", 17, "Vegano", 20, "Alcoólicos", 23, "Zero", 26, "Gelatos Proteicos", 29, 8), 3)) + (ROUND(L23,4) &lt; INDEX('Tabela de ingredientes'!$O$1:$V$30, SWITCH(B23, "Gelatos de Leite", 7, "Sorbets", 10, "Gelatos de Leite com Fruta", 13, "Chocolate base água", 16, "Vegano", 19, "Alcoólicos", 22, "Zero", 25, "Gelatos Proteicos", 28, 7), 4)) + (ROUND(L23,4) &gt; INDEX('Tabela de ingredientes'!$O$1:$V$30, SWITCH(B23, "Gelatos de Leite", 8, "Sorbets", 11, "Gelatos de Leite com Fruta", 14, "Chocolate base água", 17, "Vegano", 20, "Alcoólicos", 23, "Zero", 26, "Gelatos Proteicos", 29, 8), 4)) + (ROUND(M23,4) &lt; INDEX('Tabela de ingredientes'!$O$1:$V$30, SWITCH(B23, "Gelatos de Leite", 7, "Sorbets", 10, "Gelatos de Leite com Fruta", 13, "Chocolate base água", 16, "Vegano", 19, "Alcoólicos", 22, "Zero", 25, "Gelatos Proteicos", 28, 7), 5)) + (ROUND(M23,4) &gt; INDEX('Tabela de ingredientes'!$O$1:$V$30, SWITCH(B23, "Gelatos de Leite", 8, "Sorbets", 11, "Gelatos de Leite com Fruta", 14, "Chocolate base água", 17, "Vegano", 20, "Alcoólicos", 23, "Zero", 26, "Gelatos Proteicos", 29, 8), 5)) + (ROUND(N23,4) &lt; INDEX('Tabela de ingredientes'!$O$1:$V$30, SWITCH(B23, "Gelatos de Leite", 7, "Sorbets", 10, "Gelatos de Leite com Fruta", 13, "Chocolate base água", 16, "Vegano", 19, "Alcoólicos", 22, "Zero", 25, "Gelatos Proteicos", 28, 7), 6)) + (ROUND(N23,4) &gt; INDEX('Tabela de ingredientes'!$O$1:$V$30, SWITCH(B23, "Gelatos de Leite", 8, "Sorbets", 11, "Gelatos de Leite com Fruta", 14, "Chocolate base água", 17, "Vegano", 20, "Alcoólicos", 23, "Zero", 26, "Gelatos Proteicos", 29, 8), 6)) + (ROUND(O23,4) &lt; INDEX('Tabela de ingredientes'!$O$1:$V$30, SWITCH(B23, "Gelatos de Leite", 7, "Sorbets", 10, "Gelatos de Leite com Fruta", 13, "Chocolate base água", 16, "Vegano", 19, "Alcoólicos", 22, "Zero", 25, "Gelatos Proteicos", 28, 7), 7)) + (ROUND(O23,4) &gt; INDEX('Tabela de ingredientes'!$O$1:$V$30, SWITCH(B23, "Gelatos de Leite", 8, "Sorbets", 11, "Gelatos de Leite com Fruta", 14, "Chocolate base água", 17, "Vegano", 20, "Alcoólicos", 23, "Zero", 26, "Gelatos Proteicos", 29, 8), 7)) + (ROUND(P23,4) &lt; INDEX('Tabela de ingredientes'!$O$1:$V$30, SWITCH(B23, "Gelatos de Leite", 7, "Sorbets", 10, "Gelatos de Leite com Fruta", 13, "Chocolate base água", 16, "Vegano", 19, "Alcoólicos", 22, "Zero", 25, "Gelatos Proteicos", 28, 7), 8)) + (ROUND(P23,4) &gt; INDEX('Tabela de ingredientes'!$O$1:$V$30, SWITCH(B23, "Gelatos de Leite", 8, "Sorbets", 11, "Gelatos de Leite com Fruta", 14, "Chocolate base água", 17, "Vegano", 20, "Alcoólicos", 23, "Zero", 26, "Gelatos Proteicos", 29, 8), 8)) + IF(B23="Gelatos Proteicos", (ROUND(Q23,4)&lt;'Tabela de ingredientes'!$W$28)+(ROUND(Q23,4)&gt;'Tabela de ingredientes'!$W$29), 0) = 0, "Ok", "Revisar"))</f>
        <v>Revisar</v>
      </c>
    </row>
    <row r="24">
      <c r="A24" s="39" t="str">
        <f>IFERROR(__xludf.DUMMYFUNCTION("""COMPUTED_VALUE"""),"Gorgonzola (Direto ao Ponto)")</f>
        <v>Gorgonzola (Direto ao Ponto)</v>
      </c>
      <c r="B24" s="39" t="s">
        <v>25</v>
      </c>
      <c r="C24" s="39">
        <v>7.0</v>
      </c>
      <c r="D24" s="39">
        <v>996.0</v>
      </c>
      <c r="E24" s="39" t="s">
        <v>232</v>
      </c>
      <c r="F24" s="69">
        <v>25.90512048192771</v>
      </c>
      <c r="G24" s="69">
        <v>1.5543072289156625</v>
      </c>
      <c r="H24" s="69">
        <v>43.79562953801964</v>
      </c>
      <c r="I24" s="59">
        <v>0.171285140562249</v>
      </c>
      <c r="J24" s="59">
        <v>0.08463855421686747</v>
      </c>
      <c r="K24" s="59">
        <v>0.12866465863453813</v>
      </c>
      <c r="L24" s="59">
        <v>0.010040160642570281</v>
      </c>
      <c r="M24" s="59">
        <v>0.3946285140562249</v>
      </c>
      <c r="N24" s="59">
        <v>0.6053714859437751</v>
      </c>
      <c r="O24" s="39">
        <v>168.6987951807229</v>
      </c>
      <c r="P24" s="39">
        <v>273.7951807228916</v>
      </c>
      <c r="Q24" s="59">
        <v>0.0752008032128514</v>
      </c>
      <c r="R24" s="39">
        <v>10.951807228915664</v>
      </c>
      <c r="S24" s="97" t="str">
        <f t="array" ref="S24">IF(A24="","", IF( (ROUND(I24,4) &lt; INDEX('Tabela de ingredientes'!$O$1:$V$30, SWITCH(B24, "Gelatos de Leite", 7, "Sorbets", 10, "Gelatos de Leite com Fruta", 13, "Chocolate base água", 16, "Vegano", 19, "Alcoólicos", 22, "Zero", 25, "Gelatos Proteicos", 28, 7), 1)) + (ROUND(I24,4) &gt; INDEX('Tabela de ingredientes'!$O$1:$V$30, SWITCH(B24, "Gelatos de Leite", 8, "Sorbets", 11, "Gelatos de Leite com Fruta", 14, "Chocolate base água", 17, "Vegano", 20, "Alcoólicos", 23, "Zero", 26, "Gelatos Proteicos", 29, 8), 1)) + (ROUND(J24,4) &lt; INDEX('Tabela de ingredientes'!$O$1:$V$30, SWITCH(B24, "Gelatos de Leite", 7, "Sorbets", 10, "Gelatos de Leite com Fruta", 13, "Chocolate base água", 16, "Vegano", 19, "Alcoólicos", 22, "Zero", 25, "Gelatos Proteicos", 28, 7), 2)) + (ROUND(J24,4) &gt; INDEX('Tabela de ingredientes'!$O$1:$V$30, SWITCH(B24, "Gelatos de Leite", 8, "Sorbets", 11, "Gelatos de Leite com Fruta", 14, "Chocolate base água", 17, "Vegano", 20, "Alcoólicos", 23, "Zero", 26, "Gelatos Proteicos", 29, 8), 2)) + (ROUND(K24,4) &lt; INDEX('Tabela de ingredientes'!$O$1:$V$30, SWITCH(B24, "Gelatos de Leite", 7, "Sorbets", 10, "Gelatos de Leite com Fruta", 13, "Chocolate base água", 16, "Vegano", 19, "Alcoólicos", 22, "Zero", 25, "Gelatos Proteicos", 28, 7), 3)) + (ROUND(K24,4) &gt; INDEX('Tabela de ingredientes'!$O$1:$V$30, SWITCH(B24, "Gelatos de Leite", 8, "Sorbets", 11, "Gelatos de Leite com Fruta", 14, "Chocolate base água", 17, "Vegano", 20, "Alcoólicos", 23, "Zero", 26, "Gelatos Proteicos", 29, 8), 3)) + (ROUND(L24,4) &lt; INDEX('Tabela de ingredientes'!$O$1:$V$30, SWITCH(B24, "Gelatos de Leite", 7, "Sorbets", 10, "Gelatos de Leite com Fruta", 13, "Chocolate base água", 16, "Vegano", 19, "Alcoólicos", 22, "Zero", 25, "Gelatos Proteicos", 28, 7), 4)) + (ROUND(L24,4) &gt; INDEX('Tabela de ingredientes'!$O$1:$V$30, SWITCH(B24, "Gelatos de Leite", 8, "Sorbets", 11, "Gelatos de Leite com Fruta", 14, "Chocolate base água", 17, "Vegano", 20, "Alcoólicos", 23, "Zero", 26, "Gelatos Proteicos", 29, 8), 4)) + (ROUND(M24,4) &lt; INDEX('Tabela de ingredientes'!$O$1:$V$30, SWITCH(B24, "Gelatos de Leite", 7, "Sorbets", 10, "Gelatos de Leite com Fruta", 13, "Chocolate base água", 16, "Vegano", 19, "Alcoólicos", 22, "Zero", 25, "Gelatos Proteicos", 28, 7), 5)) + (ROUND(M24,4) &gt; INDEX('Tabela de ingredientes'!$O$1:$V$30, SWITCH(B24, "Gelatos de Leite", 8, "Sorbets", 11, "Gelatos de Leite com Fruta", 14, "Chocolate base água", 17, "Vegano", 20, "Alcoólicos", 23, "Zero", 26, "Gelatos Proteicos", 29, 8), 5)) + (ROUND(N24,4) &lt; INDEX('Tabela de ingredientes'!$O$1:$V$30, SWITCH(B24, "Gelatos de Leite", 7, "Sorbets", 10, "Gelatos de Leite com Fruta", 13, "Chocolate base água", 16, "Vegano", 19, "Alcoólicos", 22, "Zero", 25, "Gelatos Proteicos", 28, 7), 6)) + (ROUND(N24,4) &gt; INDEX('Tabela de ingredientes'!$O$1:$V$30, SWITCH(B24, "Gelatos de Leite", 8, "Sorbets", 11, "Gelatos de Leite com Fruta", 14, "Chocolate base água", 17, "Vegano", 20, "Alcoólicos", 23, "Zero", 26, "Gelatos Proteicos", 29, 8), 6)) + (ROUND(O24,4) &lt; INDEX('Tabela de ingredientes'!$O$1:$V$30, SWITCH(B24, "Gelatos de Leite", 7, "Sorbets", 10, "Gelatos de Leite com Fruta", 13, "Chocolate base água", 16, "Vegano", 19, "Alcoólicos", 22, "Zero", 25, "Gelatos Proteicos", 28, 7), 7)) + (ROUND(O24,4) &gt; INDEX('Tabela de ingredientes'!$O$1:$V$30, SWITCH(B24, "Gelatos de Leite", 8, "Sorbets", 11, "Gelatos de Leite com Fruta", 14, "Chocolate base água", 17, "Vegano", 20, "Alcoólicos", 23, "Zero", 26, "Gelatos Proteicos", 29, 8), 7)) + (ROUND(P24,4) &lt; INDEX('Tabela de ingredientes'!$O$1:$V$30, SWITCH(B24, "Gelatos de Leite", 7, "Sorbets", 10, "Gelatos de Leite com Fruta", 13, "Chocolate base água", 16, "Vegano", 19, "Alcoólicos", 22, "Zero", 25, "Gelatos Proteicos", 28, 7), 8)) + (ROUND(P24,4) &gt; INDEX('Tabela de ingredientes'!$O$1:$V$30, SWITCH(B24, "Gelatos de Leite", 8, "Sorbets", 11, "Gelatos de Leite com Fruta", 14, "Chocolate base água", 17, "Vegano", 20, "Alcoólicos", 23, "Zero", 26, "Gelatos Proteicos", 29, 8), 8)) + IF(B24="Gelatos Proteicos", (ROUND(Q24,4)&lt;'Tabela de ingredientes'!$W$28)+(ROUND(Q24,4)&gt;'Tabela de ingredientes'!$W$29), 0) = 0, "Ok", "Revisar"))</f>
        <v>Revisar</v>
      </c>
    </row>
    <row r="25">
      <c r="A25" s="39" t="str">
        <f>IFERROR(__xludf.DUMMYFUNCTION("""COMPUTED_VALUE"""),"Chocolate Branco Assado com Missô (Direto ao Ponto)")</f>
        <v>Chocolate Branco Assado com Missô (Direto ao Ponto)</v>
      </c>
      <c r="B25" s="39" t="s">
        <v>25</v>
      </c>
      <c r="C25" s="39">
        <v>8.0</v>
      </c>
      <c r="D25" s="39">
        <v>1000.0</v>
      </c>
      <c r="E25" s="39" t="s">
        <v>171</v>
      </c>
      <c r="F25" s="69">
        <v>35.075</v>
      </c>
      <c r="G25" s="69">
        <v>2.1045000000000003</v>
      </c>
      <c r="H25" s="69">
        <v>51.386589403973524</v>
      </c>
      <c r="I25" s="59">
        <v>0.18655000000000002</v>
      </c>
      <c r="J25" s="59">
        <v>0.057425</v>
      </c>
      <c r="K25" s="59">
        <v>0.11384999999999999</v>
      </c>
      <c r="L25" s="59">
        <v>0.0324</v>
      </c>
      <c r="M25" s="59">
        <v>0.390225</v>
      </c>
      <c r="N25" s="59">
        <v>0.609775</v>
      </c>
      <c r="O25" s="39">
        <v>182.365</v>
      </c>
      <c r="P25" s="39">
        <v>269.5</v>
      </c>
      <c r="Q25" s="59">
        <v>0.044425000000000006</v>
      </c>
      <c r="R25" s="39">
        <v>10.78</v>
      </c>
      <c r="S25" s="97" t="str">
        <f t="array" ref="S25">IF(A25="","", IF( (ROUND(I25,4) &lt; INDEX('Tabela de ingredientes'!$O$1:$V$30, SWITCH(B25, "Gelatos de Leite", 7, "Sorbets", 10, "Gelatos de Leite com Fruta", 13, "Chocolate base água", 16, "Vegano", 19, "Alcoólicos", 22, "Zero", 25, "Gelatos Proteicos", 28, 7), 1)) + (ROUND(I25,4) &gt; INDEX('Tabela de ingredientes'!$O$1:$V$30, SWITCH(B25, "Gelatos de Leite", 8, "Sorbets", 11, "Gelatos de Leite com Fruta", 14, "Chocolate base água", 17, "Vegano", 20, "Alcoólicos", 23, "Zero", 26, "Gelatos Proteicos", 29, 8), 1)) + (ROUND(J25,4) &lt; INDEX('Tabela de ingredientes'!$O$1:$V$30, SWITCH(B25, "Gelatos de Leite", 7, "Sorbets", 10, "Gelatos de Leite com Fruta", 13, "Chocolate base água", 16, "Vegano", 19, "Alcoólicos", 22, "Zero", 25, "Gelatos Proteicos", 28, 7), 2)) + (ROUND(J25,4) &gt; INDEX('Tabela de ingredientes'!$O$1:$V$30, SWITCH(B25, "Gelatos de Leite", 8, "Sorbets", 11, "Gelatos de Leite com Fruta", 14, "Chocolate base água", 17, "Vegano", 20, "Alcoólicos", 23, "Zero", 26, "Gelatos Proteicos", 29, 8), 2)) + (ROUND(K25,4) &lt; INDEX('Tabela de ingredientes'!$O$1:$V$30, SWITCH(B25, "Gelatos de Leite", 7, "Sorbets", 10, "Gelatos de Leite com Fruta", 13, "Chocolate base água", 16, "Vegano", 19, "Alcoólicos", 22, "Zero", 25, "Gelatos Proteicos", 28, 7), 3)) + (ROUND(K25,4) &gt; INDEX('Tabela de ingredientes'!$O$1:$V$30, SWITCH(B25, "Gelatos de Leite", 8, "Sorbets", 11, "Gelatos de Leite com Fruta", 14, "Chocolate base água", 17, "Vegano", 20, "Alcoólicos", 23, "Zero", 26, "Gelatos Proteicos", 29, 8), 3)) + (ROUND(L25,4) &lt; INDEX('Tabela de ingredientes'!$O$1:$V$30, SWITCH(B25, "Gelatos de Leite", 7, "Sorbets", 10, "Gelatos de Leite com Fruta", 13, "Chocolate base água", 16, "Vegano", 19, "Alcoólicos", 22, "Zero", 25, "Gelatos Proteicos", 28, 7), 4)) + (ROUND(L25,4) &gt; INDEX('Tabela de ingredientes'!$O$1:$V$30, SWITCH(B25, "Gelatos de Leite", 8, "Sorbets", 11, "Gelatos de Leite com Fruta", 14, "Chocolate base água", 17, "Vegano", 20, "Alcoólicos", 23, "Zero", 26, "Gelatos Proteicos", 29, 8), 4)) + (ROUND(M25,4) &lt; INDEX('Tabela de ingredientes'!$O$1:$V$30, SWITCH(B25, "Gelatos de Leite", 7, "Sorbets", 10, "Gelatos de Leite com Fruta", 13, "Chocolate base água", 16, "Vegano", 19, "Alcoólicos", 22, "Zero", 25, "Gelatos Proteicos", 28, 7), 5)) + (ROUND(M25,4) &gt; INDEX('Tabela de ingredientes'!$O$1:$V$30, SWITCH(B25, "Gelatos de Leite", 8, "Sorbets", 11, "Gelatos de Leite com Fruta", 14, "Chocolate base água", 17, "Vegano", 20, "Alcoólicos", 23, "Zero", 26, "Gelatos Proteicos", 29, 8), 5)) + (ROUND(N25,4) &lt; INDEX('Tabela de ingredientes'!$O$1:$V$30, SWITCH(B25, "Gelatos de Leite", 7, "Sorbets", 10, "Gelatos de Leite com Fruta", 13, "Chocolate base água", 16, "Vegano", 19, "Alcoólicos", 22, "Zero", 25, "Gelatos Proteicos", 28, 7), 6)) + (ROUND(N25,4) &gt; INDEX('Tabela de ingredientes'!$O$1:$V$30, SWITCH(B25, "Gelatos de Leite", 8, "Sorbets", 11, "Gelatos de Leite com Fruta", 14, "Chocolate base água", 17, "Vegano", 20, "Alcoólicos", 23, "Zero", 26, "Gelatos Proteicos", 29, 8), 6)) + (ROUND(O25,4) &lt; INDEX('Tabela de ingredientes'!$O$1:$V$30, SWITCH(B25, "Gelatos de Leite", 7, "Sorbets", 10, "Gelatos de Leite com Fruta", 13, "Chocolate base água", 16, "Vegano", 19, "Alcoólicos", 22, "Zero", 25, "Gelatos Proteicos", 28, 7), 7)) + (ROUND(O25,4) &gt; INDEX('Tabela de ingredientes'!$O$1:$V$30, SWITCH(B25, "Gelatos de Leite", 8, "Sorbets", 11, "Gelatos de Leite com Fruta", 14, "Chocolate base água", 17, "Vegano", 20, "Alcoólicos", 23, "Zero", 26, "Gelatos Proteicos", 29, 8), 7)) + (ROUND(P25,4) &lt; INDEX('Tabela de ingredientes'!$O$1:$V$30, SWITCH(B25, "Gelatos de Leite", 7, "Sorbets", 10, "Gelatos de Leite com Fruta", 13, "Chocolate base água", 16, "Vegano", 19, "Alcoólicos", 22, "Zero", 25, "Gelatos Proteicos", 28, 7), 8)) + (ROUND(P25,4) &gt; INDEX('Tabela de ingredientes'!$O$1:$V$30, SWITCH(B25, "Gelatos de Leite", 8, "Sorbets", 11, "Gelatos de Leite com Fruta", 14, "Chocolate base água", 17, "Vegano", 20, "Alcoólicos", 23, "Zero", 26, "Gelatos Proteicos", 29, 8), 8)) + IF(B25="Gelatos Proteicos", (ROUND(Q25,4)&lt;'Tabela de ingredientes'!$W$28)+(ROUND(Q25,4)&gt;'Tabela de ingredientes'!$W$29), 0) = 0, "Ok", "Revisar"))</f>
        <v>Ok</v>
      </c>
    </row>
    <row r="26">
      <c r="A26" s="39" t="str">
        <f>IFERROR(__xludf.DUMMYFUNCTION("""COMPUTED_VALUE"""),"Iogurte (Direto ao Ponto)")</f>
        <v>Iogurte (Direto ao Ponto)</v>
      </c>
      <c r="B26" s="39" t="s">
        <v>25</v>
      </c>
      <c r="C26" s="39">
        <v>9.0</v>
      </c>
      <c r="D26" s="39">
        <v>1006.0</v>
      </c>
      <c r="E26" s="39" t="s">
        <v>322</v>
      </c>
      <c r="F26" s="69">
        <v>10.048210735586483</v>
      </c>
      <c r="G26" s="69">
        <v>0.602892644135189</v>
      </c>
      <c r="H26" s="69">
        <v>30.669048622174245</v>
      </c>
      <c r="I26" s="59">
        <v>0.17415506958250496</v>
      </c>
      <c r="J26" s="59">
        <v>0.05339960238568588</v>
      </c>
      <c r="K26" s="59">
        <v>0.10173956262425447</v>
      </c>
      <c r="L26" s="59">
        <v>0.029572564612326043</v>
      </c>
      <c r="M26" s="59">
        <v>0.3588667992047714</v>
      </c>
      <c r="N26" s="59">
        <v>0.6411332007952286</v>
      </c>
      <c r="O26" s="39">
        <v>171.6182902584493</v>
      </c>
      <c r="P26" s="39">
        <v>283.7972166998012</v>
      </c>
      <c r="Q26" s="59">
        <v>0.043817097415506955</v>
      </c>
      <c r="R26" s="39">
        <v>11.351888667992048</v>
      </c>
      <c r="S26" s="97" t="str">
        <f t="array" ref="S26">IF(A26="","", IF( (ROUND(I26,4) &lt; INDEX('Tabela de ingredientes'!$O$1:$V$30, SWITCH(B26, "Gelatos de Leite", 7, "Sorbets", 10, "Gelatos de Leite com Fruta", 13, "Chocolate base água", 16, "Vegano", 19, "Alcoólicos", 22, "Zero", 25, "Gelatos Proteicos", 28, 7), 1)) + (ROUND(I26,4) &gt; INDEX('Tabela de ingredientes'!$O$1:$V$30, SWITCH(B26, "Gelatos de Leite", 8, "Sorbets", 11, "Gelatos de Leite com Fruta", 14, "Chocolate base água", 17, "Vegano", 20, "Alcoólicos", 23, "Zero", 26, "Gelatos Proteicos", 29, 8), 1)) + (ROUND(J26,4) &lt; INDEX('Tabela de ingredientes'!$O$1:$V$30, SWITCH(B26, "Gelatos de Leite", 7, "Sorbets", 10, "Gelatos de Leite com Fruta", 13, "Chocolate base água", 16, "Vegano", 19, "Alcoólicos", 22, "Zero", 25, "Gelatos Proteicos", 28, 7), 2)) + (ROUND(J26,4) &gt; INDEX('Tabela de ingredientes'!$O$1:$V$30, SWITCH(B26, "Gelatos de Leite", 8, "Sorbets", 11, "Gelatos de Leite com Fruta", 14, "Chocolate base água", 17, "Vegano", 20, "Alcoólicos", 23, "Zero", 26, "Gelatos Proteicos", 29, 8), 2)) + (ROUND(K26,4) &lt; INDEX('Tabela de ingredientes'!$O$1:$V$30, SWITCH(B26, "Gelatos de Leite", 7, "Sorbets", 10, "Gelatos de Leite com Fruta", 13, "Chocolate base água", 16, "Vegano", 19, "Alcoólicos", 22, "Zero", 25, "Gelatos Proteicos", 28, 7), 3)) + (ROUND(K26,4) &gt; INDEX('Tabela de ingredientes'!$O$1:$V$30, SWITCH(B26, "Gelatos de Leite", 8, "Sorbets", 11, "Gelatos de Leite com Fruta", 14, "Chocolate base água", 17, "Vegano", 20, "Alcoólicos", 23, "Zero", 26, "Gelatos Proteicos", 29, 8), 3)) + (ROUND(L26,4) &lt; INDEX('Tabela de ingredientes'!$O$1:$V$30, SWITCH(B26, "Gelatos de Leite", 7, "Sorbets", 10, "Gelatos de Leite com Fruta", 13, "Chocolate base água", 16, "Vegano", 19, "Alcoólicos", 22, "Zero", 25, "Gelatos Proteicos", 28, 7), 4)) + (ROUND(L26,4) &gt; INDEX('Tabela de ingredientes'!$O$1:$V$30, SWITCH(B26, "Gelatos de Leite", 8, "Sorbets", 11, "Gelatos de Leite com Fruta", 14, "Chocolate base água", 17, "Vegano", 20, "Alcoólicos", 23, "Zero", 26, "Gelatos Proteicos", 29, 8), 4)) + (ROUND(M26,4) &lt; INDEX('Tabela de ingredientes'!$O$1:$V$30, SWITCH(B26, "Gelatos de Leite", 7, "Sorbets", 10, "Gelatos de Leite com Fruta", 13, "Chocolate base água", 16, "Vegano", 19, "Alcoólicos", 22, "Zero", 25, "Gelatos Proteicos", 28, 7), 5)) + (ROUND(M26,4) &gt; INDEX('Tabela de ingredientes'!$O$1:$V$30, SWITCH(B26, "Gelatos de Leite", 8, "Sorbets", 11, "Gelatos de Leite com Fruta", 14, "Chocolate base água", 17, "Vegano", 20, "Alcoólicos", 23, "Zero", 26, "Gelatos Proteicos", 29, 8), 5)) + (ROUND(N26,4) &lt; INDEX('Tabela de ingredientes'!$O$1:$V$30, SWITCH(B26, "Gelatos de Leite", 7, "Sorbets", 10, "Gelatos de Leite com Fruta", 13, "Chocolate base água", 16, "Vegano", 19, "Alcoólicos", 22, "Zero", 25, "Gelatos Proteicos", 28, 7), 6)) + (ROUND(N26,4) &gt; INDEX('Tabela de ingredientes'!$O$1:$V$30, SWITCH(B26, "Gelatos de Leite", 8, "Sorbets", 11, "Gelatos de Leite com Fruta", 14, "Chocolate base água", 17, "Vegano", 20, "Alcoólicos", 23, "Zero", 26, "Gelatos Proteicos", 29, 8), 6)) + (ROUND(O26,4) &lt; INDEX('Tabela de ingredientes'!$O$1:$V$30, SWITCH(B26, "Gelatos de Leite", 7, "Sorbets", 10, "Gelatos de Leite com Fruta", 13, "Chocolate base água", 16, "Vegano", 19, "Alcoólicos", 22, "Zero", 25, "Gelatos Proteicos", 28, 7), 7)) + (ROUND(O26,4) &gt; INDEX('Tabela de ingredientes'!$O$1:$V$30, SWITCH(B26, "Gelatos de Leite", 8, "Sorbets", 11, "Gelatos de Leite com Fruta", 14, "Chocolate base água", 17, "Vegano", 20, "Alcoólicos", 23, "Zero", 26, "Gelatos Proteicos", 29, 8), 7)) + (ROUND(P26,4) &lt; INDEX('Tabela de ingredientes'!$O$1:$V$30, SWITCH(B26, "Gelatos de Leite", 7, "Sorbets", 10, "Gelatos de Leite com Fruta", 13, "Chocolate base água", 16, "Vegano", 19, "Alcoólicos", 22, "Zero", 25, "Gelatos Proteicos", 28, 7), 8)) + (ROUND(P26,4) &gt; INDEX('Tabela de ingredientes'!$O$1:$V$30, SWITCH(B26, "Gelatos de Leite", 8, "Sorbets", 11, "Gelatos de Leite com Fruta", 14, "Chocolate base água", 17, "Vegano", 20, "Alcoólicos", 23, "Zero", 26, "Gelatos Proteicos", 29, 8), 8)) + IF(B26="Gelatos Proteicos", (ROUND(Q26,4)&lt;'Tabela de ingredientes'!$W$28)+(ROUND(Q26,4)&gt;'Tabela de ingredientes'!$W$29), 0) = 0, "Ok", "Revisar"))</f>
        <v>Ok</v>
      </c>
    </row>
    <row r="27">
      <c r="A27" s="39" t="str">
        <f>IFERROR(__xludf.DUMMYFUNCTION("""COMPUTED_VALUE"""),"Milho (Direto ao Ponto)")</f>
        <v>Milho (Direto ao Ponto)</v>
      </c>
      <c r="B27" s="39" t="s">
        <v>25</v>
      </c>
      <c r="C27" s="39">
        <v>9.0</v>
      </c>
      <c r="D27" s="39">
        <v>1046.0</v>
      </c>
      <c r="E27" s="39" t="s">
        <v>325</v>
      </c>
      <c r="F27" s="69">
        <v>13.210803059273422</v>
      </c>
      <c r="G27" s="69">
        <v>0.7926481835564053</v>
      </c>
      <c r="H27" s="69">
        <v>33.28708862522635</v>
      </c>
      <c r="I27" s="59">
        <v>0.18164435946462715</v>
      </c>
      <c r="J27" s="59">
        <v>0.04560229445506692</v>
      </c>
      <c r="K27" s="59">
        <v>0.08934034416826003</v>
      </c>
      <c r="L27" s="59">
        <v>0.057217973231357556</v>
      </c>
      <c r="M27" s="59">
        <v>0.3738049713193117</v>
      </c>
      <c r="N27" s="59">
        <v>0.6261950286806883</v>
      </c>
      <c r="O27" s="39">
        <v>182.34416826003823</v>
      </c>
      <c r="P27" s="39">
        <v>263.95793499043975</v>
      </c>
      <c r="Q27" s="59">
        <v>0.040363288718929254</v>
      </c>
      <c r="R27" s="39">
        <v>10.55831739961759</v>
      </c>
      <c r="S27" s="97" t="str">
        <f t="array" ref="S27">IF(A27="","", IF( (ROUND(I27,4) &lt; INDEX('Tabela de ingredientes'!$O$1:$V$30, SWITCH(B27, "Gelatos de Leite", 7, "Sorbets", 10, "Gelatos de Leite com Fruta", 13, "Chocolate base água", 16, "Vegano", 19, "Alcoólicos", 22, "Zero", 25, "Gelatos Proteicos", 28, 7), 1)) + (ROUND(I27,4) &gt; INDEX('Tabela de ingredientes'!$O$1:$V$30, SWITCH(B27, "Gelatos de Leite", 8, "Sorbets", 11, "Gelatos de Leite com Fruta", 14, "Chocolate base água", 17, "Vegano", 20, "Alcoólicos", 23, "Zero", 26, "Gelatos Proteicos", 29, 8), 1)) + (ROUND(J27,4) &lt; INDEX('Tabela de ingredientes'!$O$1:$V$30, SWITCH(B27, "Gelatos de Leite", 7, "Sorbets", 10, "Gelatos de Leite com Fruta", 13, "Chocolate base água", 16, "Vegano", 19, "Alcoólicos", 22, "Zero", 25, "Gelatos Proteicos", 28, 7), 2)) + (ROUND(J27,4) &gt; INDEX('Tabela de ingredientes'!$O$1:$V$30, SWITCH(B27, "Gelatos de Leite", 8, "Sorbets", 11, "Gelatos de Leite com Fruta", 14, "Chocolate base água", 17, "Vegano", 20, "Alcoólicos", 23, "Zero", 26, "Gelatos Proteicos", 29, 8), 2)) + (ROUND(K27,4) &lt; INDEX('Tabela de ingredientes'!$O$1:$V$30, SWITCH(B27, "Gelatos de Leite", 7, "Sorbets", 10, "Gelatos de Leite com Fruta", 13, "Chocolate base água", 16, "Vegano", 19, "Alcoólicos", 22, "Zero", 25, "Gelatos Proteicos", 28, 7), 3)) + (ROUND(K27,4) &gt; INDEX('Tabela de ingredientes'!$O$1:$V$30, SWITCH(B27, "Gelatos de Leite", 8, "Sorbets", 11, "Gelatos de Leite com Fruta", 14, "Chocolate base água", 17, "Vegano", 20, "Alcoólicos", 23, "Zero", 26, "Gelatos Proteicos", 29, 8), 3)) + (ROUND(L27,4) &lt; INDEX('Tabela de ingredientes'!$O$1:$V$30, SWITCH(B27, "Gelatos de Leite", 7, "Sorbets", 10, "Gelatos de Leite com Fruta", 13, "Chocolate base água", 16, "Vegano", 19, "Alcoólicos", 22, "Zero", 25, "Gelatos Proteicos", 28, 7), 4)) + (ROUND(L27,4) &gt; INDEX('Tabela de ingredientes'!$O$1:$V$30, SWITCH(B27, "Gelatos de Leite", 8, "Sorbets", 11, "Gelatos de Leite com Fruta", 14, "Chocolate base água", 17, "Vegano", 20, "Alcoólicos", 23, "Zero", 26, "Gelatos Proteicos", 29, 8), 4)) + (ROUND(M27,4) &lt; INDEX('Tabela de ingredientes'!$O$1:$V$30, SWITCH(B27, "Gelatos de Leite", 7, "Sorbets", 10, "Gelatos de Leite com Fruta", 13, "Chocolate base água", 16, "Vegano", 19, "Alcoólicos", 22, "Zero", 25, "Gelatos Proteicos", 28, 7), 5)) + (ROUND(M27,4) &gt; INDEX('Tabela de ingredientes'!$O$1:$V$30, SWITCH(B27, "Gelatos de Leite", 8, "Sorbets", 11, "Gelatos de Leite com Fruta", 14, "Chocolate base água", 17, "Vegano", 20, "Alcoólicos", 23, "Zero", 26, "Gelatos Proteicos", 29, 8), 5)) + (ROUND(N27,4) &lt; INDEX('Tabela de ingredientes'!$O$1:$V$30, SWITCH(B27, "Gelatos de Leite", 7, "Sorbets", 10, "Gelatos de Leite com Fruta", 13, "Chocolate base água", 16, "Vegano", 19, "Alcoólicos", 22, "Zero", 25, "Gelatos Proteicos", 28, 7), 6)) + (ROUND(N27,4) &gt; INDEX('Tabela de ingredientes'!$O$1:$V$30, SWITCH(B27, "Gelatos de Leite", 8, "Sorbets", 11, "Gelatos de Leite com Fruta", 14, "Chocolate base água", 17, "Vegano", 20, "Alcoólicos", 23, "Zero", 26, "Gelatos Proteicos", 29, 8), 6)) + (ROUND(O27,4) &lt; INDEX('Tabela de ingredientes'!$O$1:$V$30, SWITCH(B27, "Gelatos de Leite", 7, "Sorbets", 10, "Gelatos de Leite com Fruta", 13, "Chocolate base água", 16, "Vegano", 19, "Alcoólicos", 22, "Zero", 25, "Gelatos Proteicos", 28, 7), 7)) + (ROUND(O27,4) &gt; INDEX('Tabela de ingredientes'!$O$1:$V$30, SWITCH(B27, "Gelatos de Leite", 8, "Sorbets", 11, "Gelatos de Leite com Fruta", 14, "Chocolate base água", 17, "Vegano", 20, "Alcoólicos", 23, "Zero", 26, "Gelatos Proteicos", 29, 8), 7)) + (ROUND(P27,4) &lt; INDEX('Tabela de ingredientes'!$O$1:$V$30, SWITCH(B27, "Gelatos de Leite", 7, "Sorbets", 10, "Gelatos de Leite com Fruta", 13, "Chocolate base água", 16, "Vegano", 19, "Alcoólicos", 22, "Zero", 25, "Gelatos Proteicos", 28, 7), 8)) + (ROUND(P27,4) &gt; INDEX('Tabela de ingredientes'!$O$1:$V$30, SWITCH(B27, "Gelatos de Leite", 8, "Sorbets", 11, "Gelatos de Leite com Fruta", 14, "Chocolate base água", 17, "Vegano", 20, "Alcoólicos", 23, "Zero", 26, "Gelatos Proteicos", 29, 8), 8)) + IF(B27="Gelatos Proteicos", (ROUND(Q27,4)&lt;'Tabela de ingredientes'!$W$28)+(ROUND(Q27,4)&gt;'Tabela de ingredientes'!$W$29), 0) = 0, "Ok", "Revisar"))</f>
        <v>Revisar</v>
      </c>
    </row>
    <row r="28">
      <c r="A28" s="39" t="str">
        <f>IFERROR(__xludf.DUMMYFUNCTION("""COMPUTED_VALUE"""),"Coco Fresco (Direto ao Ponto)")</f>
        <v>Coco Fresco (Direto ao Ponto)</v>
      </c>
      <c r="B28" s="39" t="s">
        <v>25</v>
      </c>
      <c r="C28" s="39">
        <v>9.0</v>
      </c>
      <c r="D28" s="39">
        <v>1006.0</v>
      </c>
      <c r="E28" s="39" t="s">
        <v>322</v>
      </c>
      <c r="F28" s="69">
        <v>10.29671968190855</v>
      </c>
      <c r="G28" s="69">
        <v>0.617803180914513</v>
      </c>
      <c r="H28" s="69">
        <v>30.8747679485998</v>
      </c>
      <c r="I28" s="59">
        <v>0.18477137176938369</v>
      </c>
      <c r="J28" s="59">
        <v>0.0658548707753479</v>
      </c>
      <c r="K28" s="59">
        <v>0.08687872763419482</v>
      </c>
      <c r="L28" s="59">
        <v>0.038220675944333996</v>
      </c>
      <c r="M28" s="59">
        <v>0.3757256461232604</v>
      </c>
      <c r="N28" s="59">
        <v>0.6242743538767396</v>
      </c>
      <c r="O28" s="39">
        <v>209.5526838966203</v>
      </c>
      <c r="P28" s="39">
        <v>265.08946322067595</v>
      </c>
      <c r="Q28" s="59">
        <v>0.03265407554671968</v>
      </c>
      <c r="R28" s="39">
        <v>10.603578528827038</v>
      </c>
      <c r="S28" s="97" t="str">
        <f t="array" ref="S28">IF(A28="","", IF( (ROUND(I28,4) &lt; INDEX('Tabela de ingredientes'!$O$1:$V$30, SWITCH(B28, "Gelatos de Leite", 7, "Sorbets", 10, "Gelatos de Leite com Fruta", 13, "Chocolate base água", 16, "Vegano", 19, "Alcoólicos", 22, "Zero", 25, "Gelatos Proteicos", 28, 7), 1)) + (ROUND(I28,4) &gt; INDEX('Tabela de ingredientes'!$O$1:$V$30, SWITCH(B28, "Gelatos de Leite", 8, "Sorbets", 11, "Gelatos de Leite com Fruta", 14, "Chocolate base água", 17, "Vegano", 20, "Alcoólicos", 23, "Zero", 26, "Gelatos Proteicos", 29, 8), 1)) + (ROUND(J28,4) &lt; INDEX('Tabela de ingredientes'!$O$1:$V$30, SWITCH(B28, "Gelatos de Leite", 7, "Sorbets", 10, "Gelatos de Leite com Fruta", 13, "Chocolate base água", 16, "Vegano", 19, "Alcoólicos", 22, "Zero", 25, "Gelatos Proteicos", 28, 7), 2)) + (ROUND(J28,4) &gt; INDEX('Tabela de ingredientes'!$O$1:$V$30, SWITCH(B28, "Gelatos de Leite", 8, "Sorbets", 11, "Gelatos de Leite com Fruta", 14, "Chocolate base água", 17, "Vegano", 20, "Alcoólicos", 23, "Zero", 26, "Gelatos Proteicos", 29, 8), 2)) + (ROUND(K28,4) &lt; INDEX('Tabela de ingredientes'!$O$1:$V$30, SWITCH(B28, "Gelatos de Leite", 7, "Sorbets", 10, "Gelatos de Leite com Fruta", 13, "Chocolate base água", 16, "Vegano", 19, "Alcoólicos", 22, "Zero", 25, "Gelatos Proteicos", 28, 7), 3)) + (ROUND(K28,4) &gt; INDEX('Tabela de ingredientes'!$O$1:$V$30, SWITCH(B28, "Gelatos de Leite", 8, "Sorbets", 11, "Gelatos de Leite com Fruta", 14, "Chocolate base água", 17, "Vegano", 20, "Alcoólicos", 23, "Zero", 26, "Gelatos Proteicos", 29, 8), 3)) + (ROUND(L28,4) &lt; INDEX('Tabela de ingredientes'!$O$1:$V$30, SWITCH(B28, "Gelatos de Leite", 7, "Sorbets", 10, "Gelatos de Leite com Fruta", 13, "Chocolate base água", 16, "Vegano", 19, "Alcoólicos", 22, "Zero", 25, "Gelatos Proteicos", 28, 7), 4)) + (ROUND(L28,4) &gt; INDEX('Tabela de ingredientes'!$O$1:$V$30, SWITCH(B28, "Gelatos de Leite", 8, "Sorbets", 11, "Gelatos de Leite com Fruta", 14, "Chocolate base água", 17, "Vegano", 20, "Alcoólicos", 23, "Zero", 26, "Gelatos Proteicos", 29, 8), 4)) + (ROUND(M28,4) &lt; INDEX('Tabela de ingredientes'!$O$1:$V$30, SWITCH(B28, "Gelatos de Leite", 7, "Sorbets", 10, "Gelatos de Leite com Fruta", 13, "Chocolate base água", 16, "Vegano", 19, "Alcoólicos", 22, "Zero", 25, "Gelatos Proteicos", 28, 7), 5)) + (ROUND(M28,4) &gt; INDEX('Tabela de ingredientes'!$O$1:$V$30, SWITCH(B28, "Gelatos de Leite", 8, "Sorbets", 11, "Gelatos de Leite com Fruta", 14, "Chocolate base água", 17, "Vegano", 20, "Alcoólicos", 23, "Zero", 26, "Gelatos Proteicos", 29, 8), 5)) + (ROUND(N28,4) &lt; INDEX('Tabela de ingredientes'!$O$1:$V$30, SWITCH(B28, "Gelatos de Leite", 7, "Sorbets", 10, "Gelatos de Leite com Fruta", 13, "Chocolate base água", 16, "Vegano", 19, "Alcoólicos", 22, "Zero", 25, "Gelatos Proteicos", 28, 7), 6)) + (ROUND(N28,4) &gt; INDEX('Tabela de ingredientes'!$O$1:$V$30, SWITCH(B28, "Gelatos de Leite", 8, "Sorbets", 11, "Gelatos de Leite com Fruta", 14, "Chocolate base água", 17, "Vegano", 20, "Alcoólicos", 23, "Zero", 26, "Gelatos Proteicos", 29, 8), 6)) + (ROUND(O28,4) &lt; INDEX('Tabela de ingredientes'!$O$1:$V$30, SWITCH(B28, "Gelatos de Leite", 7, "Sorbets", 10, "Gelatos de Leite com Fruta", 13, "Chocolate base água", 16, "Vegano", 19, "Alcoólicos", 22, "Zero", 25, "Gelatos Proteicos", 28, 7), 7)) + (ROUND(O28,4) &gt; INDEX('Tabela de ingredientes'!$O$1:$V$30, SWITCH(B28, "Gelatos de Leite", 8, "Sorbets", 11, "Gelatos de Leite com Fruta", 14, "Chocolate base água", 17, "Vegano", 20, "Alcoólicos", 23, "Zero", 26, "Gelatos Proteicos", 29, 8), 7)) + (ROUND(P28,4) &lt; INDEX('Tabela de ingredientes'!$O$1:$V$30, SWITCH(B28, "Gelatos de Leite", 7, "Sorbets", 10, "Gelatos de Leite com Fruta", 13, "Chocolate base água", 16, "Vegano", 19, "Alcoólicos", 22, "Zero", 25, "Gelatos Proteicos", 28, 7), 8)) + (ROUND(P28,4) &gt; INDEX('Tabela de ingredientes'!$O$1:$V$30, SWITCH(B28, "Gelatos de Leite", 8, "Sorbets", 11, "Gelatos de Leite com Fruta", 14, "Chocolate base água", 17, "Vegano", 20, "Alcoólicos", 23, "Zero", 26, "Gelatos Proteicos", 29, 8), 8)) + IF(B28="Gelatos Proteicos", (ROUND(Q28,4)&lt;'Tabela de ingredientes'!$W$28)+(ROUND(Q28,4)&gt;'Tabela de ingredientes'!$W$29), 0) = 0, "Ok", "Revisar"))</f>
        <v>Revisar</v>
      </c>
    </row>
    <row r="29">
      <c r="A29" s="39" t="str">
        <f>IFERROR(__xludf.DUMMYFUNCTION("""COMPUTED_VALUE"""),"Sucrilhos (Direto ao Ponto)")</f>
        <v>Sucrilhos (Direto ao Ponto)</v>
      </c>
      <c r="B29" s="39" t="s">
        <v>25</v>
      </c>
      <c r="C29" s="39">
        <v>9.0</v>
      </c>
      <c r="D29" s="39">
        <v>1101.0</v>
      </c>
      <c r="E29" s="39" t="s">
        <v>335</v>
      </c>
      <c r="F29" s="69">
        <v>13.827883742052677</v>
      </c>
      <c r="G29" s="69">
        <v>0.8296730245231606</v>
      </c>
      <c r="H29" s="69">
        <v>33.797917005010504</v>
      </c>
      <c r="I29" s="59">
        <v>0.20622161671207995</v>
      </c>
      <c r="J29" s="59">
        <v>0.05833333333333333</v>
      </c>
      <c r="K29" s="59">
        <v>0.09809264305177112</v>
      </c>
      <c r="L29" s="59">
        <v>0.0581289736603088</v>
      </c>
      <c r="M29" s="59">
        <v>0.4207765667574932</v>
      </c>
      <c r="N29" s="59">
        <v>0.5792234332425068</v>
      </c>
      <c r="O29" s="39">
        <v>190.55495004541328</v>
      </c>
      <c r="P29" s="39">
        <v>279.7456857402361</v>
      </c>
      <c r="Q29" s="59">
        <v>0.04205722070844686</v>
      </c>
      <c r="R29" s="39">
        <v>11.189827429609444</v>
      </c>
      <c r="S29" s="97" t="str">
        <f t="array" ref="S29">IF(A29="","", IF( (ROUND(I29,4) &lt; INDEX('Tabela de ingredientes'!$O$1:$V$30, SWITCH(B29, "Gelatos de Leite", 7, "Sorbets", 10, "Gelatos de Leite com Fruta", 13, "Chocolate base água", 16, "Vegano", 19, "Alcoólicos", 22, "Zero", 25, "Gelatos Proteicos", 28, 7), 1)) + (ROUND(I29,4) &gt; INDEX('Tabela de ingredientes'!$O$1:$V$30, SWITCH(B29, "Gelatos de Leite", 8, "Sorbets", 11, "Gelatos de Leite com Fruta", 14, "Chocolate base água", 17, "Vegano", 20, "Alcoólicos", 23, "Zero", 26, "Gelatos Proteicos", 29, 8), 1)) + (ROUND(J29,4) &lt; INDEX('Tabela de ingredientes'!$O$1:$V$30, SWITCH(B29, "Gelatos de Leite", 7, "Sorbets", 10, "Gelatos de Leite com Fruta", 13, "Chocolate base água", 16, "Vegano", 19, "Alcoólicos", 22, "Zero", 25, "Gelatos Proteicos", 28, 7), 2)) + (ROUND(J29,4) &gt; INDEX('Tabela de ingredientes'!$O$1:$V$30, SWITCH(B29, "Gelatos de Leite", 8, "Sorbets", 11, "Gelatos de Leite com Fruta", 14, "Chocolate base água", 17, "Vegano", 20, "Alcoólicos", 23, "Zero", 26, "Gelatos Proteicos", 29, 8), 2)) + (ROUND(K29,4) &lt; INDEX('Tabela de ingredientes'!$O$1:$V$30, SWITCH(B29, "Gelatos de Leite", 7, "Sorbets", 10, "Gelatos de Leite com Fruta", 13, "Chocolate base água", 16, "Vegano", 19, "Alcoólicos", 22, "Zero", 25, "Gelatos Proteicos", 28, 7), 3)) + (ROUND(K29,4) &gt; INDEX('Tabela de ingredientes'!$O$1:$V$30, SWITCH(B29, "Gelatos de Leite", 8, "Sorbets", 11, "Gelatos de Leite com Fruta", 14, "Chocolate base água", 17, "Vegano", 20, "Alcoólicos", 23, "Zero", 26, "Gelatos Proteicos", 29, 8), 3)) + (ROUND(L29,4) &lt; INDEX('Tabela de ingredientes'!$O$1:$V$30, SWITCH(B29, "Gelatos de Leite", 7, "Sorbets", 10, "Gelatos de Leite com Fruta", 13, "Chocolate base água", 16, "Vegano", 19, "Alcoólicos", 22, "Zero", 25, "Gelatos Proteicos", 28, 7), 4)) + (ROUND(L29,4) &gt; INDEX('Tabela de ingredientes'!$O$1:$V$30, SWITCH(B29, "Gelatos de Leite", 8, "Sorbets", 11, "Gelatos de Leite com Fruta", 14, "Chocolate base água", 17, "Vegano", 20, "Alcoólicos", 23, "Zero", 26, "Gelatos Proteicos", 29, 8), 4)) + (ROUND(M29,4) &lt; INDEX('Tabela de ingredientes'!$O$1:$V$30, SWITCH(B29, "Gelatos de Leite", 7, "Sorbets", 10, "Gelatos de Leite com Fruta", 13, "Chocolate base água", 16, "Vegano", 19, "Alcoólicos", 22, "Zero", 25, "Gelatos Proteicos", 28, 7), 5)) + (ROUND(M29,4) &gt; INDEX('Tabela de ingredientes'!$O$1:$V$30, SWITCH(B29, "Gelatos de Leite", 8, "Sorbets", 11, "Gelatos de Leite com Fruta", 14, "Chocolate base água", 17, "Vegano", 20, "Alcoólicos", 23, "Zero", 26, "Gelatos Proteicos", 29, 8), 5)) + (ROUND(N29,4) &lt; INDEX('Tabela de ingredientes'!$O$1:$V$30, SWITCH(B29, "Gelatos de Leite", 7, "Sorbets", 10, "Gelatos de Leite com Fruta", 13, "Chocolate base água", 16, "Vegano", 19, "Alcoólicos", 22, "Zero", 25, "Gelatos Proteicos", 28, 7), 6)) + (ROUND(N29,4) &gt; INDEX('Tabela de ingredientes'!$O$1:$V$30, SWITCH(B29, "Gelatos de Leite", 8, "Sorbets", 11, "Gelatos de Leite com Fruta", 14, "Chocolate base água", 17, "Vegano", 20, "Alcoólicos", 23, "Zero", 26, "Gelatos Proteicos", 29, 8), 6)) + (ROUND(O29,4) &lt; INDEX('Tabela de ingredientes'!$O$1:$V$30, SWITCH(B29, "Gelatos de Leite", 7, "Sorbets", 10, "Gelatos de Leite com Fruta", 13, "Chocolate base água", 16, "Vegano", 19, "Alcoólicos", 22, "Zero", 25, "Gelatos Proteicos", 28, 7), 7)) + (ROUND(O29,4) &gt; INDEX('Tabela de ingredientes'!$O$1:$V$30, SWITCH(B29, "Gelatos de Leite", 8, "Sorbets", 11, "Gelatos de Leite com Fruta", 14, "Chocolate base água", 17, "Vegano", 20, "Alcoólicos", 23, "Zero", 26, "Gelatos Proteicos", 29, 8), 7)) + (ROUND(P29,4) &lt; INDEX('Tabela de ingredientes'!$O$1:$V$30, SWITCH(B29, "Gelatos de Leite", 7, "Sorbets", 10, "Gelatos de Leite com Fruta", 13, "Chocolate base água", 16, "Vegano", 19, "Alcoólicos", 22, "Zero", 25, "Gelatos Proteicos", 28, 7), 8)) + (ROUND(P29,4) &gt; INDEX('Tabela de ingredientes'!$O$1:$V$30, SWITCH(B29, "Gelatos de Leite", 8, "Sorbets", 11, "Gelatos de Leite com Fruta", 14, "Chocolate base água", 17, "Vegano", 20, "Alcoólicos", 23, "Zero", 26, "Gelatos Proteicos", 29, 8), 8)) + IF(B29="Gelatos Proteicos", (ROUND(Q29,4)&lt;'Tabela de ingredientes'!$W$28)+(ROUND(Q29,4)&gt;'Tabela de ingredientes'!$W$29), 0) = 0, "Ok", "Revisar"))</f>
        <v>Revisar</v>
      </c>
    </row>
    <row r="30">
      <c r="A30" s="39" t="str">
        <f>IFERROR(__xludf.DUMMYFUNCTION("""COMPUTED_VALUE"""),"Intenso de Cacau (Direto ao Ponto)")</f>
        <v>Intenso de Cacau (Direto ao Ponto)</v>
      </c>
      <c r="B30" s="39" t="s">
        <v>25</v>
      </c>
      <c r="C30" s="39">
        <v>8.0</v>
      </c>
      <c r="D30" s="39">
        <v>975.0</v>
      </c>
      <c r="E30" s="39" t="s">
        <v>366</v>
      </c>
      <c r="F30" s="69">
        <v>12.716410256410256</v>
      </c>
      <c r="G30" s="69">
        <v>0.7629846153846154</v>
      </c>
      <c r="H30" s="69">
        <v>32.87782305994227</v>
      </c>
      <c r="I30" s="59">
        <v>0.18953846153846154</v>
      </c>
      <c r="J30" s="59">
        <v>0.05635897435897436</v>
      </c>
      <c r="K30" s="59">
        <v>0.0948205128205128</v>
      </c>
      <c r="L30" s="59">
        <v>0.06543589743589744</v>
      </c>
      <c r="M30" s="59">
        <v>0.40615384615384614</v>
      </c>
      <c r="N30" s="59">
        <v>0.5938461538461539</v>
      </c>
      <c r="O30" s="39">
        <v>185.625641025641</v>
      </c>
      <c r="P30" s="39">
        <v>296.15384615384613</v>
      </c>
      <c r="Q30" s="59">
        <v>0.04923076923076924</v>
      </c>
      <c r="R30" s="39">
        <v>11.846153846153845</v>
      </c>
      <c r="S30" s="97" t="str">
        <f t="array" ref="S30">IF(A30="","", IF( (ROUND(I30,4) &lt; INDEX('Tabela de ingredientes'!$O$1:$V$30, SWITCH(B30, "Gelatos de Leite", 7, "Sorbets", 10, "Gelatos de Leite com Fruta", 13, "Chocolate base água", 16, "Vegano", 19, "Alcoólicos", 22, "Zero", 25, "Gelatos Proteicos", 28, 7), 1)) + (ROUND(I30,4) &gt; INDEX('Tabela de ingredientes'!$O$1:$V$30, SWITCH(B30, "Gelatos de Leite", 8, "Sorbets", 11, "Gelatos de Leite com Fruta", 14, "Chocolate base água", 17, "Vegano", 20, "Alcoólicos", 23, "Zero", 26, "Gelatos Proteicos", 29, 8), 1)) + (ROUND(J30,4) &lt; INDEX('Tabela de ingredientes'!$O$1:$V$30, SWITCH(B30, "Gelatos de Leite", 7, "Sorbets", 10, "Gelatos de Leite com Fruta", 13, "Chocolate base água", 16, "Vegano", 19, "Alcoólicos", 22, "Zero", 25, "Gelatos Proteicos", 28, 7), 2)) + (ROUND(J30,4) &gt; INDEX('Tabela de ingredientes'!$O$1:$V$30, SWITCH(B30, "Gelatos de Leite", 8, "Sorbets", 11, "Gelatos de Leite com Fruta", 14, "Chocolate base água", 17, "Vegano", 20, "Alcoólicos", 23, "Zero", 26, "Gelatos Proteicos", 29, 8), 2)) + (ROUND(K30,4) &lt; INDEX('Tabela de ingredientes'!$O$1:$V$30, SWITCH(B30, "Gelatos de Leite", 7, "Sorbets", 10, "Gelatos de Leite com Fruta", 13, "Chocolate base água", 16, "Vegano", 19, "Alcoólicos", 22, "Zero", 25, "Gelatos Proteicos", 28, 7), 3)) + (ROUND(K30,4) &gt; INDEX('Tabela de ingredientes'!$O$1:$V$30, SWITCH(B30, "Gelatos de Leite", 8, "Sorbets", 11, "Gelatos de Leite com Fruta", 14, "Chocolate base água", 17, "Vegano", 20, "Alcoólicos", 23, "Zero", 26, "Gelatos Proteicos", 29, 8), 3)) + (ROUND(L30,4) &lt; INDEX('Tabela de ingredientes'!$O$1:$V$30, SWITCH(B30, "Gelatos de Leite", 7, "Sorbets", 10, "Gelatos de Leite com Fruta", 13, "Chocolate base água", 16, "Vegano", 19, "Alcoólicos", 22, "Zero", 25, "Gelatos Proteicos", 28, 7), 4)) + (ROUND(L30,4) &gt; INDEX('Tabela de ingredientes'!$O$1:$V$30, SWITCH(B30, "Gelatos de Leite", 8, "Sorbets", 11, "Gelatos de Leite com Fruta", 14, "Chocolate base água", 17, "Vegano", 20, "Alcoólicos", 23, "Zero", 26, "Gelatos Proteicos", 29, 8), 4)) + (ROUND(M30,4) &lt; INDEX('Tabela de ingredientes'!$O$1:$V$30, SWITCH(B30, "Gelatos de Leite", 7, "Sorbets", 10, "Gelatos de Leite com Fruta", 13, "Chocolate base água", 16, "Vegano", 19, "Alcoólicos", 22, "Zero", 25, "Gelatos Proteicos", 28, 7), 5)) + (ROUND(M30,4) &gt; INDEX('Tabela de ingredientes'!$O$1:$V$30, SWITCH(B30, "Gelatos de Leite", 8, "Sorbets", 11, "Gelatos de Leite com Fruta", 14, "Chocolate base água", 17, "Vegano", 20, "Alcoólicos", 23, "Zero", 26, "Gelatos Proteicos", 29, 8), 5)) + (ROUND(N30,4) &lt; INDEX('Tabela de ingredientes'!$O$1:$V$30, SWITCH(B30, "Gelatos de Leite", 7, "Sorbets", 10, "Gelatos de Leite com Fruta", 13, "Chocolate base água", 16, "Vegano", 19, "Alcoólicos", 22, "Zero", 25, "Gelatos Proteicos", 28, 7), 6)) + (ROUND(N30,4) &gt; INDEX('Tabela de ingredientes'!$O$1:$V$30, SWITCH(B30, "Gelatos de Leite", 8, "Sorbets", 11, "Gelatos de Leite com Fruta", 14, "Chocolate base água", 17, "Vegano", 20, "Alcoólicos", 23, "Zero", 26, "Gelatos Proteicos", 29, 8), 6)) + (ROUND(O30,4) &lt; INDEX('Tabela de ingredientes'!$O$1:$V$30, SWITCH(B30, "Gelatos de Leite", 7, "Sorbets", 10, "Gelatos de Leite com Fruta", 13, "Chocolate base água", 16, "Vegano", 19, "Alcoólicos", 22, "Zero", 25, "Gelatos Proteicos", 28, 7), 7)) + (ROUND(O30,4) &gt; INDEX('Tabela de ingredientes'!$O$1:$V$30, SWITCH(B30, "Gelatos de Leite", 8, "Sorbets", 11, "Gelatos de Leite com Fruta", 14, "Chocolate base água", 17, "Vegano", 20, "Alcoólicos", 23, "Zero", 26, "Gelatos Proteicos", 29, 8), 7)) + (ROUND(P30,4) &lt; INDEX('Tabela de ingredientes'!$O$1:$V$30, SWITCH(B30, "Gelatos de Leite", 7, "Sorbets", 10, "Gelatos de Leite com Fruta", 13, "Chocolate base água", 16, "Vegano", 19, "Alcoólicos", 22, "Zero", 25, "Gelatos Proteicos", 28, 7), 8)) + (ROUND(P30,4) &gt; INDEX('Tabela de ingredientes'!$O$1:$V$30, SWITCH(B30, "Gelatos de Leite", 8, "Sorbets", 11, "Gelatos de Leite com Fruta", 14, "Chocolate base água", 17, "Vegano", 20, "Alcoólicos", 23, "Zero", 26, "Gelatos Proteicos", 29, 8), 8)) + IF(B30="Gelatos Proteicos", (ROUND(Q30,4)&lt;'Tabela de ingredientes'!$W$28)+(ROUND(Q30,4)&gt;'Tabela de ingredientes'!$W$29), 0) = 0, "Ok", "Revisar"))</f>
        <v>Ok</v>
      </c>
    </row>
    <row r="31">
      <c r="A31" s="39" t="str">
        <f>IFERROR(__xludf.DUMMYFUNCTION("""COMPUTED_VALUE"""),"Chocolate 70% (Direto ao Ponto)")</f>
        <v>Chocolate 70% (Direto ao Ponto)</v>
      </c>
      <c r="B31" s="39" t="s">
        <v>25</v>
      </c>
      <c r="C31" s="39">
        <v>8.0</v>
      </c>
      <c r="D31" s="39">
        <v>1004.0</v>
      </c>
      <c r="E31" s="39" t="s">
        <v>368</v>
      </c>
      <c r="F31" s="69">
        <v>42.622011952191244</v>
      </c>
      <c r="G31" s="69">
        <v>2.5573207171314745</v>
      </c>
      <c r="H31" s="69">
        <v>57.63411585446296</v>
      </c>
      <c r="I31" s="59">
        <v>0.1657370517928287</v>
      </c>
      <c r="J31" s="59">
        <v>0.12241035856573705</v>
      </c>
      <c r="K31" s="59">
        <v>0.08152390438247012</v>
      </c>
      <c r="L31" s="59">
        <v>0.06772908366533864</v>
      </c>
      <c r="M31" s="59">
        <v>0.4374003984063745</v>
      </c>
      <c r="N31" s="59">
        <v>0.5625996015936254</v>
      </c>
      <c r="O31" s="39">
        <v>220.42529880478088</v>
      </c>
      <c r="P31" s="39">
        <v>186.60358565737053</v>
      </c>
      <c r="Q31" s="59">
        <v>0.04128486055776893</v>
      </c>
      <c r="R31" s="39">
        <v>7.464143426294822</v>
      </c>
      <c r="S31" s="97" t="str">
        <f t="array" ref="S31">IF(A31="","", IF( (ROUND(I31,4) &lt; INDEX('Tabela de ingredientes'!$O$1:$V$30, SWITCH(B31, "Gelatos de Leite", 7, "Sorbets", 10, "Gelatos de Leite com Fruta", 13, "Chocolate base água", 16, "Vegano", 19, "Alcoólicos", 22, "Zero", 25, "Gelatos Proteicos", 28, 7), 1)) + (ROUND(I31,4) &gt; INDEX('Tabela de ingredientes'!$O$1:$V$30, SWITCH(B31, "Gelatos de Leite", 8, "Sorbets", 11, "Gelatos de Leite com Fruta", 14, "Chocolate base água", 17, "Vegano", 20, "Alcoólicos", 23, "Zero", 26, "Gelatos Proteicos", 29, 8), 1)) + (ROUND(J31,4) &lt; INDEX('Tabela de ingredientes'!$O$1:$V$30, SWITCH(B31, "Gelatos de Leite", 7, "Sorbets", 10, "Gelatos de Leite com Fruta", 13, "Chocolate base água", 16, "Vegano", 19, "Alcoólicos", 22, "Zero", 25, "Gelatos Proteicos", 28, 7), 2)) + (ROUND(J31,4) &gt; INDEX('Tabela de ingredientes'!$O$1:$V$30, SWITCH(B31, "Gelatos de Leite", 8, "Sorbets", 11, "Gelatos de Leite com Fruta", 14, "Chocolate base água", 17, "Vegano", 20, "Alcoólicos", 23, "Zero", 26, "Gelatos Proteicos", 29, 8), 2)) + (ROUND(K31,4) &lt; INDEX('Tabela de ingredientes'!$O$1:$V$30, SWITCH(B31, "Gelatos de Leite", 7, "Sorbets", 10, "Gelatos de Leite com Fruta", 13, "Chocolate base água", 16, "Vegano", 19, "Alcoólicos", 22, "Zero", 25, "Gelatos Proteicos", 28, 7), 3)) + (ROUND(K31,4) &gt; INDEX('Tabela de ingredientes'!$O$1:$V$30, SWITCH(B31, "Gelatos de Leite", 8, "Sorbets", 11, "Gelatos de Leite com Fruta", 14, "Chocolate base água", 17, "Vegano", 20, "Alcoólicos", 23, "Zero", 26, "Gelatos Proteicos", 29, 8), 3)) + (ROUND(L31,4) &lt; INDEX('Tabela de ingredientes'!$O$1:$V$30, SWITCH(B31, "Gelatos de Leite", 7, "Sorbets", 10, "Gelatos de Leite com Fruta", 13, "Chocolate base água", 16, "Vegano", 19, "Alcoólicos", 22, "Zero", 25, "Gelatos Proteicos", 28, 7), 4)) + (ROUND(L31,4) &gt; INDEX('Tabela de ingredientes'!$O$1:$V$30, SWITCH(B31, "Gelatos de Leite", 8, "Sorbets", 11, "Gelatos de Leite com Fruta", 14, "Chocolate base água", 17, "Vegano", 20, "Alcoólicos", 23, "Zero", 26, "Gelatos Proteicos", 29, 8), 4)) + (ROUND(M31,4) &lt; INDEX('Tabela de ingredientes'!$O$1:$V$30, SWITCH(B31, "Gelatos de Leite", 7, "Sorbets", 10, "Gelatos de Leite com Fruta", 13, "Chocolate base água", 16, "Vegano", 19, "Alcoólicos", 22, "Zero", 25, "Gelatos Proteicos", 28, 7), 5)) + (ROUND(M31,4) &gt; INDEX('Tabela de ingredientes'!$O$1:$V$30, SWITCH(B31, "Gelatos de Leite", 8, "Sorbets", 11, "Gelatos de Leite com Fruta", 14, "Chocolate base água", 17, "Vegano", 20, "Alcoólicos", 23, "Zero", 26, "Gelatos Proteicos", 29, 8), 5)) + (ROUND(N31,4) &lt; INDEX('Tabela de ingredientes'!$O$1:$V$30, SWITCH(B31, "Gelatos de Leite", 7, "Sorbets", 10, "Gelatos de Leite com Fruta", 13, "Chocolate base água", 16, "Vegano", 19, "Alcoólicos", 22, "Zero", 25, "Gelatos Proteicos", 28, 7), 6)) + (ROUND(N31,4) &gt; INDEX('Tabela de ingredientes'!$O$1:$V$30, SWITCH(B31, "Gelatos de Leite", 8, "Sorbets", 11, "Gelatos de Leite com Fruta", 14, "Chocolate base água", 17, "Vegano", 20, "Alcoólicos", 23, "Zero", 26, "Gelatos Proteicos", 29, 8), 6)) + (ROUND(O31,4) &lt; INDEX('Tabela de ingredientes'!$O$1:$V$30, SWITCH(B31, "Gelatos de Leite", 7, "Sorbets", 10, "Gelatos de Leite com Fruta", 13, "Chocolate base água", 16, "Vegano", 19, "Alcoólicos", 22, "Zero", 25, "Gelatos Proteicos", 28, 7), 7)) + (ROUND(O31,4) &gt; INDEX('Tabela de ingredientes'!$O$1:$V$30, SWITCH(B31, "Gelatos de Leite", 8, "Sorbets", 11, "Gelatos de Leite com Fruta", 14, "Chocolate base água", 17, "Vegano", 20, "Alcoólicos", 23, "Zero", 26, "Gelatos Proteicos", 29, 8), 7)) + (ROUND(P31,4) &lt; INDEX('Tabela de ingredientes'!$O$1:$V$30, SWITCH(B31, "Gelatos de Leite", 7, "Sorbets", 10, "Gelatos de Leite com Fruta", 13, "Chocolate base água", 16, "Vegano", 19, "Alcoólicos", 22, "Zero", 25, "Gelatos Proteicos", 28, 7), 8)) + (ROUND(P31,4) &gt; INDEX('Tabela de ingredientes'!$O$1:$V$30, SWITCH(B31, "Gelatos de Leite", 8, "Sorbets", 11, "Gelatos de Leite com Fruta", 14, "Chocolate base água", 17, "Vegano", 20, "Alcoólicos", 23, "Zero", 26, "Gelatos Proteicos", 29, 8), 8)) + IF(B31="Gelatos Proteicos", (ROUND(Q31,4)&lt;'Tabela de ingredientes'!$W$28)+(ROUND(Q31,4)&gt;'Tabela de ingredientes'!$W$29), 0) = 0, "Ok", "Revisar"))</f>
        <v>Revisar</v>
      </c>
    </row>
    <row r="32">
      <c r="A32" s="39" t="str">
        <f>IFERROR(__xludf.DUMMYFUNCTION("""COMPUTED_VALUE"""),"Pistache - Base Oleaginosas (Direto ao Ponto)")</f>
        <v>Pistache - Base Oleaginosas (Direto ao Ponto)</v>
      </c>
      <c r="B32" s="39" t="s">
        <v>25</v>
      </c>
      <c r="C32" s="39">
        <v>8.0</v>
      </c>
      <c r="D32" s="39">
        <v>1001.0</v>
      </c>
      <c r="E32" s="39" t="s">
        <v>161</v>
      </c>
      <c r="F32" s="69">
        <v>35.523976023976026</v>
      </c>
      <c r="G32" s="69">
        <v>2.1314385614385616</v>
      </c>
      <c r="H32" s="69">
        <v>51.75825829799341</v>
      </c>
      <c r="I32" s="59">
        <v>0.16568431568431571</v>
      </c>
      <c r="J32" s="59">
        <v>0.10314685314685315</v>
      </c>
      <c r="K32" s="59">
        <v>0.099000999000999</v>
      </c>
      <c r="L32" s="59">
        <v>0.041508491508491514</v>
      </c>
      <c r="M32" s="59">
        <v>0.4093406593406594</v>
      </c>
      <c r="N32" s="59">
        <v>0.5906593406593406</v>
      </c>
      <c r="O32" s="39">
        <v>162.88111888111885</v>
      </c>
      <c r="P32" s="39">
        <v>246.85314685314685</v>
      </c>
      <c r="Q32" s="59">
        <v>0.04956043956043956</v>
      </c>
      <c r="R32" s="39">
        <v>9.874125874125873</v>
      </c>
      <c r="S32" s="97" t="str">
        <f t="array" ref="S32">IF(A32="","", IF( (ROUND(I32,4) &lt; INDEX('Tabela de ingredientes'!$O$1:$V$30, SWITCH(B32, "Gelatos de Leite", 7, "Sorbets", 10, "Gelatos de Leite com Fruta", 13, "Chocolate base água", 16, "Vegano", 19, "Alcoólicos", 22, "Zero", 25, "Gelatos Proteicos", 28, 7), 1)) + (ROUND(I32,4) &gt; INDEX('Tabela de ingredientes'!$O$1:$V$30, SWITCH(B32, "Gelatos de Leite", 8, "Sorbets", 11, "Gelatos de Leite com Fruta", 14, "Chocolate base água", 17, "Vegano", 20, "Alcoólicos", 23, "Zero", 26, "Gelatos Proteicos", 29, 8), 1)) + (ROUND(J32,4) &lt; INDEX('Tabela de ingredientes'!$O$1:$V$30, SWITCH(B32, "Gelatos de Leite", 7, "Sorbets", 10, "Gelatos de Leite com Fruta", 13, "Chocolate base água", 16, "Vegano", 19, "Alcoólicos", 22, "Zero", 25, "Gelatos Proteicos", 28, 7), 2)) + (ROUND(J32,4) &gt; INDEX('Tabela de ingredientes'!$O$1:$V$30, SWITCH(B32, "Gelatos de Leite", 8, "Sorbets", 11, "Gelatos de Leite com Fruta", 14, "Chocolate base água", 17, "Vegano", 20, "Alcoólicos", 23, "Zero", 26, "Gelatos Proteicos", 29, 8), 2)) + (ROUND(K32,4) &lt; INDEX('Tabela de ingredientes'!$O$1:$V$30, SWITCH(B32, "Gelatos de Leite", 7, "Sorbets", 10, "Gelatos de Leite com Fruta", 13, "Chocolate base água", 16, "Vegano", 19, "Alcoólicos", 22, "Zero", 25, "Gelatos Proteicos", 28, 7), 3)) + (ROUND(K32,4) &gt; INDEX('Tabela de ingredientes'!$O$1:$V$30, SWITCH(B32, "Gelatos de Leite", 8, "Sorbets", 11, "Gelatos de Leite com Fruta", 14, "Chocolate base água", 17, "Vegano", 20, "Alcoólicos", 23, "Zero", 26, "Gelatos Proteicos", 29, 8), 3)) + (ROUND(L32,4) &lt; INDEX('Tabela de ingredientes'!$O$1:$V$30, SWITCH(B32, "Gelatos de Leite", 7, "Sorbets", 10, "Gelatos de Leite com Fruta", 13, "Chocolate base água", 16, "Vegano", 19, "Alcoólicos", 22, "Zero", 25, "Gelatos Proteicos", 28, 7), 4)) + (ROUND(L32,4) &gt; INDEX('Tabela de ingredientes'!$O$1:$V$30, SWITCH(B32, "Gelatos de Leite", 8, "Sorbets", 11, "Gelatos de Leite com Fruta", 14, "Chocolate base água", 17, "Vegano", 20, "Alcoólicos", 23, "Zero", 26, "Gelatos Proteicos", 29, 8), 4)) + (ROUND(M32,4) &lt; INDEX('Tabela de ingredientes'!$O$1:$V$30, SWITCH(B32, "Gelatos de Leite", 7, "Sorbets", 10, "Gelatos de Leite com Fruta", 13, "Chocolate base água", 16, "Vegano", 19, "Alcoólicos", 22, "Zero", 25, "Gelatos Proteicos", 28, 7), 5)) + (ROUND(M32,4) &gt; INDEX('Tabela de ingredientes'!$O$1:$V$30, SWITCH(B32, "Gelatos de Leite", 8, "Sorbets", 11, "Gelatos de Leite com Fruta", 14, "Chocolate base água", 17, "Vegano", 20, "Alcoólicos", 23, "Zero", 26, "Gelatos Proteicos", 29, 8), 5)) + (ROUND(N32,4) &lt; INDEX('Tabela de ingredientes'!$O$1:$V$30, SWITCH(B32, "Gelatos de Leite", 7, "Sorbets", 10, "Gelatos de Leite com Fruta", 13, "Chocolate base água", 16, "Vegano", 19, "Alcoólicos", 22, "Zero", 25, "Gelatos Proteicos", 28, 7), 6)) + (ROUND(N32,4) &gt; INDEX('Tabela de ingredientes'!$O$1:$V$30, SWITCH(B32, "Gelatos de Leite", 8, "Sorbets", 11, "Gelatos de Leite com Fruta", 14, "Chocolate base água", 17, "Vegano", 20, "Alcoólicos", 23, "Zero", 26, "Gelatos Proteicos", 29, 8), 6)) + (ROUND(O32,4) &lt; INDEX('Tabela de ingredientes'!$O$1:$V$30, SWITCH(B32, "Gelatos de Leite", 7, "Sorbets", 10, "Gelatos de Leite com Fruta", 13, "Chocolate base água", 16, "Vegano", 19, "Alcoólicos", 22, "Zero", 25, "Gelatos Proteicos", 28, 7), 7)) + (ROUND(O32,4) &gt; INDEX('Tabela de ingredientes'!$O$1:$V$30, SWITCH(B32, "Gelatos de Leite", 8, "Sorbets", 11, "Gelatos de Leite com Fruta", 14, "Chocolate base água", 17, "Vegano", 20, "Alcoólicos", 23, "Zero", 26, "Gelatos Proteicos", 29, 8), 7)) + (ROUND(P32,4) &lt; INDEX('Tabela de ingredientes'!$O$1:$V$30, SWITCH(B32, "Gelatos de Leite", 7, "Sorbets", 10, "Gelatos de Leite com Fruta", 13, "Chocolate base água", 16, "Vegano", 19, "Alcoólicos", 22, "Zero", 25, "Gelatos Proteicos", 28, 7), 8)) + (ROUND(P32,4) &gt; INDEX('Tabela de ingredientes'!$O$1:$V$30, SWITCH(B32, "Gelatos de Leite", 8, "Sorbets", 11, "Gelatos de Leite com Fruta", 14, "Chocolate base água", 17, "Vegano", 20, "Alcoólicos", 23, "Zero", 26, "Gelatos Proteicos", 29, 8), 8)) + IF(B32="Gelatos Proteicos", (ROUND(Q32,4)&lt;'Tabela de ingredientes'!$W$28)+(ROUND(Q32,4)&gt;'Tabela de ingredientes'!$W$29), 0) = 0, "Ok", "Revisar"))</f>
        <v>Ok</v>
      </c>
    </row>
    <row r="33">
      <c r="A33" s="39" t="str">
        <f>IFERROR(__xludf.DUMMYFUNCTION("""COMPUTED_VALUE"""),"Gelato Base Branca (Addolcire)")</f>
        <v>Gelato Base Branca (Addolcire)</v>
      </c>
      <c r="B33" s="39" t="s">
        <v>25</v>
      </c>
      <c r="C33" s="39">
        <v>7.0</v>
      </c>
      <c r="D33" s="39">
        <v>1004.0</v>
      </c>
      <c r="E33" s="39" t="s">
        <v>368</v>
      </c>
      <c r="F33" s="69">
        <v>11.901593625498009</v>
      </c>
      <c r="G33" s="69">
        <v>0.7140956175298805</v>
      </c>
      <c r="H33" s="69">
        <v>32.20330598137253</v>
      </c>
      <c r="I33" s="59">
        <v>0.18080677290836653</v>
      </c>
      <c r="J33" s="59">
        <v>0.0945418326693227</v>
      </c>
      <c r="K33" s="59">
        <v>0.10876494023904383</v>
      </c>
      <c r="L33" s="59">
        <v>0.00398406374501992</v>
      </c>
      <c r="M33" s="59">
        <v>0.388097609561753</v>
      </c>
      <c r="N33" s="59">
        <v>0.611902390438247</v>
      </c>
      <c r="O33" s="39">
        <v>176.26693227091633</v>
      </c>
      <c r="P33" s="39">
        <v>245.0796812749004</v>
      </c>
      <c r="Q33" s="59">
        <v>0.041617529880478094</v>
      </c>
      <c r="R33" s="39">
        <v>9.803187250996016</v>
      </c>
      <c r="S33" s="97" t="str">
        <f t="array" ref="S33">IF(A33="","", IF( (ROUND(I33,4) &lt; INDEX('Tabela de ingredientes'!$O$1:$V$30, SWITCH(B33, "Gelatos de Leite", 7, "Sorbets", 10, "Gelatos de Leite com Fruta", 13, "Chocolate base água", 16, "Vegano", 19, "Alcoólicos", 22, "Zero", 25, "Gelatos Proteicos", 28, 7), 1)) + (ROUND(I33,4) &gt; INDEX('Tabela de ingredientes'!$O$1:$V$30, SWITCH(B33, "Gelatos de Leite", 8, "Sorbets", 11, "Gelatos de Leite com Fruta", 14, "Chocolate base água", 17, "Vegano", 20, "Alcoólicos", 23, "Zero", 26, "Gelatos Proteicos", 29, 8), 1)) + (ROUND(J33,4) &lt; INDEX('Tabela de ingredientes'!$O$1:$V$30, SWITCH(B33, "Gelatos de Leite", 7, "Sorbets", 10, "Gelatos de Leite com Fruta", 13, "Chocolate base água", 16, "Vegano", 19, "Alcoólicos", 22, "Zero", 25, "Gelatos Proteicos", 28, 7), 2)) + (ROUND(J33,4) &gt; INDEX('Tabela de ingredientes'!$O$1:$V$30, SWITCH(B33, "Gelatos de Leite", 8, "Sorbets", 11, "Gelatos de Leite com Fruta", 14, "Chocolate base água", 17, "Vegano", 20, "Alcoólicos", 23, "Zero", 26, "Gelatos Proteicos", 29, 8), 2)) + (ROUND(K33,4) &lt; INDEX('Tabela de ingredientes'!$O$1:$V$30, SWITCH(B33, "Gelatos de Leite", 7, "Sorbets", 10, "Gelatos de Leite com Fruta", 13, "Chocolate base água", 16, "Vegano", 19, "Alcoólicos", 22, "Zero", 25, "Gelatos Proteicos", 28, 7), 3)) + (ROUND(K33,4) &gt; INDEX('Tabela de ingredientes'!$O$1:$V$30, SWITCH(B33, "Gelatos de Leite", 8, "Sorbets", 11, "Gelatos de Leite com Fruta", 14, "Chocolate base água", 17, "Vegano", 20, "Alcoólicos", 23, "Zero", 26, "Gelatos Proteicos", 29, 8), 3)) + (ROUND(L33,4) &lt; INDEX('Tabela de ingredientes'!$O$1:$V$30, SWITCH(B33, "Gelatos de Leite", 7, "Sorbets", 10, "Gelatos de Leite com Fruta", 13, "Chocolate base água", 16, "Vegano", 19, "Alcoólicos", 22, "Zero", 25, "Gelatos Proteicos", 28, 7), 4)) + (ROUND(L33,4) &gt; INDEX('Tabela de ingredientes'!$O$1:$V$30, SWITCH(B33, "Gelatos de Leite", 8, "Sorbets", 11, "Gelatos de Leite com Fruta", 14, "Chocolate base água", 17, "Vegano", 20, "Alcoólicos", 23, "Zero", 26, "Gelatos Proteicos", 29, 8), 4)) + (ROUND(M33,4) &lt; INDEX('Tabela de ingredientes'!$O$1:$V$30, SWITCH(B33, "Gelatos de Leite", 7, "Sorbets", 10, "Gelatos de Leite com Fruta", 13, "Chocolate base água", 16, "Vegano", 19, "Alcoólicos", 22, "Zero", 25, "Gelatos Proteicos", 28, 7), 5)) + (ROUND(M33,4) &gt; INDEX('Tabela de ingredientes'!$O$1:$V$30, SWITCH(B33, "Gelatos de Leite", 8, "Sorbets", 11, "Gelatos de Leite com Fruta", 14, "Chocolate base água", 17, "Vegano", 20, "Alcoólicos", 23, "Zero", 26, "Gelatos Proteicos", 29, 8), 5)) + (ROUND(N33,4) &lt; INDEX('Tabela de ingredientes'!$O$1:$V$30, SWITCH(B33, "Gelatos de Leite", 7, "Sorbets", 10, "Gelatos de Leite com Fruta", 13, "Chocolate base água", 16, "Vegano", 19, "Alcoólicos", 22, "Zero", 25, "Gelatos Proteicos", 28, 7), 6)) + (ROUND(N33,4) &gt; INDEX('Tabela de ingredientes'!$O$1:$V$30, SWITCH(B33, "Gelatos de Leite", 8, "Sorbets", 11, "Gelatos de Leite com Fruta", 14, "Chocolate base água", 17, "Vegano", 20, "Alcoólicos", 23, "Zero", 26, "Gelatos Proteicos", 29, 8), 6)) + (ROUND(O33,4) &lt; INDEX('Tabela de ingredientes'!$O$1:$V$30, SWITCH(B33, "Gelatos de Leite", 7, "Sorbets", 10, "Gelatos de Leite com Fruta", 13, "Chocolate base água", 16, "Vegano", 19, "Alcoólicos", 22, "Zero", 25, "Gelatos Proteicos", 28, 7), 7)) + (ROUND(O33,4) &gt; INDEX('Tabela de ingredientes'!$O$1:$V$30, SWITCH(B33, "Gelatos de Leite", 8, "Sorbets", 11, "Gelatos de Leite com Fruta", 14, "Chocolate base água", 17, "Vegano", 20, "Alcoólicos", 23, "Zero", 26, "Gelatos Proteicos", 29, 8), 7)) + (ROUND(P33,4) &lt; INDEX('Tabela de ingredientes'!$O$1:$V$30, SWITCH(B33, "Gelatos de Leite", 7, "Sorbets", 10, "Gelatos de Leite com Fruta", 13, "Chocolate base água", 16, "Vegano", 19, "Alcoólicos", 22, "Zero", 25, "Gelatos Proteicos", 28, 7), 8)) + (ROUND(P33,4) &gt; INDEX('Tabela de ingredientes'!$O$1:$V$30, SWITCH(B33, "Gelatos de Leite", 8, "Sorbets", 11, "Gelatos de Leite com Fruta", 14, "Chocolate base água", 17, "Vegano", 20, "Alcoólicos", 23, "Zero", 26, "Gelatos Proteicos", 29, 8), 8)) + IF(B33="Gelatos Proteicos", (ROUND(Q33,4)&lt;'Tabela de ingredientes'!$W$28)+(ROUND(Q33,4)&gt;'Tabela de ingredientes'!$W$29), 0) = 0, "Ok", "Revisar"))</f>
        <v>Ok</v>
      </c>
    </row>
    <row r="34">
      <c r="A34" s="39" t="str">
        <f>IFERROR(__xludf.DUMMYFUNCTION("""COMPUTED_VALUE"""),"Gelato de Caffè Bianco (Addolcire)")</f>
        <v>Gelato de Caffè Bianco (Addolcire)</v>
      </c>
      <c r="B34" s="39" t="s">
        <v>25</v>
      </c>
      <c r="C34" s="39">
        <v>7.0</v>
      </c>
      <c r="D34" s="39">
        <v>991.0</v>
      </c>
      <c r="E34" s="39" t="s">
        <v>385</v>
      </c>
      <c r="F34" s="69">
        <v>11.73198789101917</v>
      </c>
      <c r="G34" s="69">
        <v>0.7039192734611501</v>
      </c>
      <c r="H34" s="69">
        <v>32.06290388329403</v>
      </c>
      <c r="I34" s="59">
        <v>0.1736125126135217</v>
      </c>
      <c r="J34" s="59">
        <v>0.09726538849646821</v>
      </c>
      <c r="K34" s="59">
        <v>0.10082744702320888</v>
      </c>
      <c r="L34" s="59">
        <v>0.004036326942482341</v>
      </c>
      <c r="M34" s="59">
        <v>0.3757416750756811</v>
      </c>
      <c r="N34" s="59">
        <v>0.6242583249243189</v>
      </c>
      <c r="O34" s="39">
        <v>167.15358224016143</v>
      </c>
      <c r="P34" s="39">
        <v>239.21291624621594</v>
      </c>
      <c r="Q34" s="59">
        <v>0.03869828456104945</v>
      </c>
      <c r="R34" s="39">
        <v>9.568516649848638</v>
      </c>
      <c r="S34" s="97" t="str">
        <f t="array" ref="S34">IF(A34="","", IF( (ROUND(I34,4) &lt; INDEX('Tabela de ingredientes'!$O$1:$V$30, SWITCH(B34, "Gelatos de Leite", 7, "Sorbets", 10, "Gelatos de Leite com Fruta", 13, "Chocolate base água", 16, "Vegano", 19, "Alcoólicos", 22, "Zero", 25, "Gelatos Proteicos", 28, 7), 1)) + (ROUND(I34,4) &gt; INDEX('Tabela de ingredientes'!$O$1:$V$30, SWITCH(B34, "Gelatos de Leite", 8, "Sorbets", 11, "Gelatos de Leite com Fruta", 14, "Chocolate base água", 17, "Vegano", 20, "Alcoólicos", 23, "Zero", 26, "Gelatos Proteicos", 29, 8), 1)) + (ROUND(J34,4) &lt; INDEX('Tabela de ingredientes'!$O$1:$V$30, SWITCH(B34, "Gelatos de Leite", 7, "Sorbets", 10, "Gelatos de Leite com Fruta", 13, "Chocolate base água", 16, "Vegano", 19, "Alcoólicos", 22, "Zero", 25, "Gelatos Proteicos", 28, 7), 2)) + (ROUND(J34,4) &gt; INDEX('Tabela de ingredientes'!$O$1:$V$30, SWITCH(B34, "Gelatos de Leite", 8, "Sorbets", 11, "Gelatos de Leite com Fruta", 14, "Chocolate base água", 17, "Vegano", 20, "Alcoólicos", 23, "Zero", 26, "Gelatos Proteicos", 29, 8), 2)) + (ROUND(K34,4) &lt; INDEX('Tabela de ingredientes'!$O$1:$V$30, SWITCH(B34, "Gelatos de Leite", 7, "Sorbets", 10, "Gelatos de Leite com Fruta", 13, "Chocolate base água", 16, "Vegano", 19, "Alcoólicos", 22, "Zero", 25, "Gelatos Proteicos", 28, 7), 3)) + (ROUND(K34,4) &gt; INDEX('Tabela de ingredientes'!$O$1:$V$30, SWITCH(B34, "Gelatos de Leite", 8, "Sorbets", 11, "Gelatos de Leite com Fruta", 14, "Chocolate base água", 17, "Vegano", 20, "Alcoólicos", 23, "Zero", 26, "Gelatos Proteicos", 29, 8), 3)) + (ROUND(L34,4) &lt; INDEX('Tabela de ingredientes'!$O$1:$V$30, SWITCH(B34, "Gelatos de Leite", 7, "Sorbets", 10, "Gelatos de Leite com Fruta", 13, "Chocolate base água", 16, "Vegano", 19, "Alcoólicos", 22, "Zero", 25, "Gelatos Proteicos", 28, 7), 4)) + (ROUND(L34,4) &gt; INDEX('Tabela de ingredientes'!$O$1:$V$30, SWITCH(B34, "Gelatos de Leite", 8, "Sorbets", 11, "Gelatos de Leite com Fruta", 14, "Chocolate base água", 17, "Vegano", 20, "Alcoólicos", 23, "Zero", 26, "Gelatos Proteicos", 29, 8), 4)) + (ROUND(M34,4) &lt; INDEX('Tabela de ingredientes'!$O$1:$V$30, SWITCH(B34, "Gelatos de Leite", 7, "Sorbets", 10, "Gelatos de Leite com Fruta", 13, "Chocolate base água", 16, "Vegano", 19, "Alcoólicos", 22, "Zero", 25, "Gelatos Proteicos", 28, 7), 5)) + (ROUND(M34,4) &gt; INDEX('Tabela de ingredientes'!$O$1:$V$30, SWITCH(B34, "Gelatos de Leite", 8, "Sorbets", 11, "Gelatos de Leite com Fruta", 14, "Chocolate base água", 17, "Vegano", 20, "Alcoólicos", 23, "Zero", 26, "Gelatos Proteicos", 29, 8), 5)) + (ROUND(N34,4) &lt; INDEX('Tabela de ingredientes'!$O$1:$V$30, SWITCH(B34, "Gelatos de Leite", 7, "Sorbets", 10, "Gelatos de Leite com Fruta", 13, "Chocolate base água", 16, "Vegano", 19, "Alcoólicos", 22, "Zero", 25, "Gelatos Proteicos", 28, 7), 6)) + (ROUND(N34,4) &gt; INDEX('Tabela de ingredientes'!$O$1:$V$30, SWITCH(B34, "Gelatos de Leite", 8, "Sorbets", 11, "Gelatos de Leite com Fruta", 14, "Chocolate base água", 17, "Vegano", 20, "Alcoólicos", 23, "Zero", 26, "Gelatos Proteicos", 29, 8), 6)) + (ROUND(O34,4) &lt; INDEX('Tabela de ingredientes'!$O$1:$V$30, SWITCH(B34, "Gelatos de Leite", 7, "Sorbets", 10, "Gelatos de Leite com Fruta", 13, "Chocolate base água", 16, "Vegano", 19, "Alcoólicos", 22, "Zero", 25, "Gelatos Proteicos", 28, 7), 7)) + (ROUND(O34,4) &gt; INDEX('Tabela de ingredientes'!$O$1:$V$30, SWITCH(B34, "Gelatos de Leite", 8, "Sorbets", 11, "Gelatos de Leite com Fruta", 14, "Chocolate base água", 17, "Vegano", 20, "Alcoólicos", 23, "Zero", 26, "Gelatos Proteicos", 29, 8), 7)) + (ROUND(P34,4) &lt; INDEX('Tabela de ingredientes'!$O$1:$V$30, SWITCH(B34, "Gelatos de Leite", 7, "Sorbets", 10, "Gelatos de Leite com Fruta", 13, "Chocolate base água", 16, "Vegano", 19, "Alcoólicos", 22, "Zero", 25, "Gelatos Proteicos", 28, 7), 8)) + (ROUND(P34,4) &gt; INDEX('Tabela de ingredientes'!$O$1:$V$30, SWITCH(B34, "Gelatos de Leite", 8, "Sorbets", 11, "Gelatos de Leite com Fruta", 14, "Chocolate base água", 17, "Vegano", 20, "Alcoólicos", 23, "Zero", 26, "Gelatos Proteicos", 29, 8), 8)) + IF(B34="Gelatos Proteicos", (ROUND(Q34,4)&lt;'Tabela de ingredientes'!$W$28)+(ROUND(Q34,4)&gt;'Tabela de ingredientes'!$W$29), 0) = 0, "Ok", "Revisar"))</f>
        <v>Ok</v>
      </c>
    </row>
    <row r="35">
      <c r="A35" s="39" t="str">
        <f>IFERROR(__xludf.DUMMYFUNCTION("""COMPUTED_VALUE"""),"Gelato de Iogurte com Amarena (Addolcire)")</f>
        <v>Gelato de Iogurte com Amarena (Addolcire)</v>
      </c>
      <c r="B35" s="39" t="s">
        <v>25</v>
      </c>
      <c r="C35" s="39">
        <v>9.0</v>
      </c>
      <c r="D35" s="39">
        <v>1040.0</v>
      </c>
      <c r="E35" s="39" t="s">
        <v>392</v>
      </c>
      <c r="F35" s="69">
        <v>9.670192307692307</v>
      </c>
      <c r="G35" s="69">
        <v>0.5802115384615384</v>
      </c>
      <c r="H35" s="69">
        <v>30.35611946001019</v>
      </c>
      <c r="I35" s="59">
        <v>0.24125</v>
      </c>
      <c r="J35" s="59">
        <v>0.044870192307692305</v>
      </c>
      <c r="K35" s="59">
        <v>0.07365384615384615</v>
      </c>
      <c r="L35" s="59">
        <v>0.004615384615384615</v>
      </c>
      <c r="M35" s="59">
        <v>0.36438942307692307</v>
      </c>
      <c r="N35" s="59">
        <v>0.6356105769230769</v>
      </c>
      <c r="O35" s="39">
        <v>184.21442307692308</v>
      </c>
      <c r="P35" s="39">
        <v>331.0673076923076</v>
      </c>
      <c r="Q35" s="59">
        <v>0.03344711538461538</v>
      </c>
      <c r="R35" s="39">
        <v>13.242692307692305</v>
      </c>
      <c r="S35" s="97" t="str">
        <f t="array" ref="S35">IF(A35="","", IF( (ROUND(I35,4) &lt; INDEX('Tabela de ingredientes'!$O$1:$V$30, SWITCH(B35, "Gelatos de Leite", 7, "Sorbets", 10, "Gelatos de Leite com Fruta", 13, "Chocolate base água", 16, "Vegano", 19, "Alcoólicos", 22, "Zero", 25, "Gelatos Proteicos", 28, 7), 1)) + (ROUND(I35,4) &gt; INDEX('Tabela de ingredientes'!$O$1:$V$30, SWITCH(B35, "Gelatos de Leite", 8, "Sorbets", 11, "Gelatos de Leite com Fruta", 14, "Chocolate base água", 17, "Vegano", 20, "Alcoólicos", 23, "Zero", 26, "Gelatos Proteicos", 29, 8), 1)) + (ROUND(J35,4) &lt; INDEX('Tabela de ingredientes'!$O$1:$V$30, SWITCH(B35, "Gelatos de Leite", 7, "Sorbets", 10, "Gelatos de Leite com Fruta", 13, "Chocolate base água", 16, "Vegano", 19, "Alcoólicos", 22, "Zero", 25, "Gelatos Proteicos", 28, 7), 2)) + (ROUND(J35,4) &gt; INDEX('Tabela de ingredientes'!$O$1:$V$30, SWITCH(B35, "Gelatos de Leite", 8, "Sorbets", 11, "Gelatos de Leite com Fruta", 14, "Chocolate base água", 17, "Vegano", 20, "Alcoólicos", 23, "Zero", 26, "Gelatos Proteicos", 29, 8), 2)) + (ROUND(K35,4) &lt; INDEX('Tabela de ingredientes'!$O$1:$V$30, SWITCH(B35, "Gelatos de Leite", 7, "Sorbets", 10, "Gelatos de Leite com Fruta", 13, "Chocolate base água", 16, "Vegano", 19, "Alcoólicos", 22, "Zero", 25, "Gelatos Proteicos", 28, 7), 3)) + (ROUND(K35,4) &gt; INDEX('Tabela de ingredientes'!$O$1:$V$30, SWITCH(B35, "Gelatos de Leite", 8, "Sorbets", 11, "Gelatos de Leite com Fruta", 14, "Chocolate base água", 17, "Vegano", 20, "Alcoólicos", 23, "Zero", 26, "Gelatos Proteicos", 29, 8), 3)) + (ROUND(L35,4) &lt; INDEX('Tabela de ingredientes'!$O$1:$V$30, SWITCH(B35, "Gelatos de Leite", 7, "Sorbets", 10, "Gelatos de Leite com Fruta", 13, "Chocolate base água", 16, "Vegano", 19, "Alcoólicos", 22, "Zero", 25, "Gelatos Proteicos", 28, 7), 4)) + (ROUND(L35,4) &gt; INDEX('Tabela de ingredientes'!$O$1:$V$30, SWITCH(B35, "Gelatos de Leite", 8, "Sorbets", 11, "Gelatos de Leite com Fruta", 14, "Chocolate base água", 17, "Vegano", 20, "Alcoólicos", 23, "Zero", 26, "Gelatos Proteicos", 29, 8), 4)) + (ROUND(M35,4) &lt; INDEX('Tabela de ingredientes'!$O$1:$V$30, SWITCH(B35, "Gelatos de Leite", 7, "Sorbets", 10, "Gelatos de Leite com Fruta", 13, "Chocolate base água", 16, "Vegano", 19, "Alcoólicos", 22, "Zero", 25, "Gelatos Proteicos", 28, 7), 5)) + (ROUND(M35,4) &gt; INDEX('Tabela de ingredientes'!$O$1:$V$30, SWITCH(B35, "Gelatos de Leite", 8, "Sorbets", 11, "Gelatos de Leite com Fruta", 14, "Chocolate base água", 17, "Vegano", 20, "Alcoólicos", 23, "Zero", 26, "Gelatos Proteicos", 29, 8), 5)) + (ROUND(N35,4) &lt; INDEX('Tabela de ingredientes'!$O$1:$V$30, SWITCH(B35, "Gelatos de Leite", 7, "Sorbets", 10, "Gelatos de Leite com Fruta", 13, "Chocolate base água", 16, "Vegano", 19, "Alcoólicos", 22, "Zero", 25, "Gelatos Proteicos", 28, 7), 6)) + (ROUND(N35,4) &gt; INDEX('Tabela de ingredientes'!$O$1:$V$30, SWITCH(B35, "Gelatos de Leite", 8, "Sorbets", 11, "Gelatos de Leite com Fruta", 14, "Chocolate base água", 17, "Vegano", 20, "Alcoólicos", 23, "Zero", 26, "Gelatos Proteicos", 29, 8), 6)) + (ROUND(O35,4) &lt; INDEX('Tabela de ingredientes'!$O$1:$V$30, SWITCH(B35, "Gelatos de Leite", 7, "Sorbets", 10, "Gelatos de Leite com Fruta", 13, "Chocolate base água", 16, "Vegano", 19, "Alcoólicos", 22, "Zero", 25, "Gelatos Proteicos", 28, 7), 7)) + (ROUND(O35,4) &gt; INDEX('Tabela de ingredientes'!$O$1:$V$30, SWITCH(B35, "Gelatos de Leite", 8, "Sorbets", 11, "Gelatos de Leite com Fruta", 14, "Chocolate base água", 17, "Vegano", 20, "Alcoólicos", 23, "Zero", 26, "Gelatos Proteicos", 29, 8), 7)) + (ROUND(P35,4) &lt; INDEX('Tabela de ingredientes'!$O$1:$V$30, SWITCH(B35, "Gelatos de Leite", 7, "Sorbets", 10, "Gelatos de Leite com Fruta", 13, "Chocolate base água", 16, "Vegano", 19, "Alcoólicos", 22, "Zero", 25, "Gelatos Proteicos", 28, 7), 8)) + (ROUND(P35,4) &gt; INDEX('Tabela de ingredientes'!$O$1:$V$30, SWITCH(B35, "Gelatos de Leite", 8, "Sorbets", 11, "Gelatos de Leite com Fruta", 14, "Chocolate base água", 17, "Vegano", 20, "Alcoólicos", 23, "Zero", 26, "Gelatos Proteicos", 29, 8), 8)) + IF(B35="Gelatos Proteicos", (ROUND(Q35,4)&lt;'Tabela de ingredientes'!$W$28)+(ROUND(Q35,4)&gt;'Tabela de ingredientes'!$W$29), 0) = 0, "Ok", "Revisar"))</f>
        <v>Revisar</v>
      </c>
    </row>
    <row r="36">
      <c r="A36" s="39" t="str">
        <f>IFERROR(__xludf.DUMMYFUNCTION("""COMPUTED_VALUE"""),"Gelato de Cheesecake (Addolcire)")</f>
        <v>Gelato de Cheesecake (Addolcire)</v>
      </c>
      <c r="B36" s="39" t="s">
        <v>25</v>
      </c>
      <c r="C36" s="39">
        <v>8.0</v>
      </c>
      <c r="D36" s="39">
        <v>1018.0</v>
      </c>
      <c r="E36" s="39" t="s">
        <v>414</v>
      </c>
      <c r="F36" s="69">
        <v>17.54459724950884</v>
      </c>
      <c r="G36" s="69">
        <v>1.0526758349705303</v>
      </c>
      <c r="H36" s="69">
        <v>36.874666597275535</v>
      </c>
      <c r="I36" s="59">
        <v>0.21115913555992138</v>
      </c>
      <c r="J36" s="59">
        <v>0.10264243614931239</v>
      </c>
      <c r="K36" s="59">
        <v>0.09614931237721021</v>
      </c>
      <c r="L36" s="59">
        <v>0.003929273084479371</v>
      </c>
      <c r="M36" s="59">
        <v>0.41388015717092336</v>
      </c>
      <c r="N36" s="59">
        <v>0.5861198428290766</v>
      </c>
      <c r="O36" s="39">
        <v>204.08840864440077</v>
      </c>
      <c r="P36" s="39">
        <v>267.70137524557964</v>
      </c>
      <c r="Q36" s="59">
        <v>0.04618664047151277</v>
      </c>
      <c r="R36" s="39">
        <v>10.708055009823186</v>
      </c>
      <c r="S36" s="97" t="str">
        <f t="array" ref="S36">IF(A36="","", IF( (ROUND(I36,4) &lt; INDEX('Tabela de ingredientes'!$O$1:$V$30, SWITCH(B36, "Gelatos de Leite", 7, "Sorbets", 10, "Gelatos de Leite com Fruta", 13, "Chocolate base água", 16, "Vegano", 19, "Alcoólicos", 22, "Zero", 25, "Gelatos Proteicos", 28, 7), 1)) + (ROUND(I36,4) &gt; INDEX('Tabela de ingredientes'!$O$1:$V$30, SWITCH(B36, "Gelatos de Leite", 8, "Sorbets", 11, "Gelatos de Leite com Fruta", 14, "Chocolate base água", 17, "Vegano", 20, "Alcoólicos", 23, "Zero", 26, "Gelatos Proteicos", 29, 8), 1)) + (ROUND(J36,4) &lt; INDEX('Tabela de ingredientes'!$O$1:$V$30, SWITCH(B36, "Gelatos de Leite", 7, "Sorbets", 10, "Gelatos de Leite com Fruta", 13, "Chocolate base água", 16, "Vegano", 19, "Alcoólicos", 22, "Zero", 25, "Gelatos Proteicos", 28, 7), 2)) + (ROUND(J36,4) &gt; INDEX('Tabela de ingredientes'!$O$1:$V$30, SWITCH(B36, "Gelatos de Leite", 8, "Sorbets", 11, "Gelatos de Leite com Fruta", 14, "Chocolate base água", 17, "Vegano", 20, "Alcoólicos", 23, "Zero", 26, "Gelatos Proteicos", 29, 8), 2)) + (ROUND(K36,4) &lt; INDEX('Tabela de ingredientes'!$O$1:$V$30, SWITCH(B36, "Gelatos de Leite", 7, "Sorbets", 10, "Gelatos de Leite com Fruta", 13, "Chocolate base água", 16, "Vegano", 19, "Alcoólicos", 22, "Zero", 25, "Gelatos Proteicos", 28, 7), 3)) + (ROUND(K36,4) &gt; INDEX('Tabela de ingredientes'!$O$1:$V$30, SWITCH(B36, "Gelatos de Leite", 8, "Sorbets", 11, "Gelatos de Leite com Fruta", 14, "Chocolate base água", 17, "Vegano", 20, "Alcoólicos", 23, "Zero", 26, "Gelatos Proteicos", 29, 8), 3)) + (ROUND(L36,4) &lt; INDEX('Tabela de ingredientes'!$O$1:$V$30, SWITCH(B36, "Gelatos de Leite", 7, "Sorbets", 10, "Gelatos de Leite com Fruta", 13, "Chocolate base água", 16, "Vegano", 19, "Alcoólicos", 22, "Zero", 25, "Gelatos Proteicos", 28, 7), 4)) + (ROUND(L36,4) &gt; INDEX('Tabela de ingredientes'!$O$1:$V$30, SWITCH(B36, "Gelatos de Leite", 8, "Sorbets", 11, "Gelatos de Leite com Fruta", 14, "Chocolate base água", 17, "Vegano", 20, "Alcoólicos", 23, "Zero", 26, "Gelatos Proteicos", 29, 8), 4)) + (ROUND(M36,4) &lt; INDEX('Tabela de ingredientes'!$O$1:$V$30, SWITCH(B36, "Gelatos de Leite", 7, "Sorbets", 10, "Gelatos de Leite com Fruta", 13, "Chocolate base água", 16, "Vegano", 19, "Alcoólicos", 22, "Zero", 25, "Gelatos Proteicos", 28, 7), 5)) + (ROUND(M36,4) &gt; INDEX('Tabela de ingredientes'!$O$1:$V$30, SWITCH(B36, "Gelatos de Leite", 8, "Sorbets", 11, "Gelatos de Leite com Fruta", 14, "Chocolate base água", 17, "Vegano", 20, "Alcoólicos", 23, "Zero", 26, "Gelatos Proteicos", 29, 8), 5)) + (ROUND(N36,4) &lt; INDEX('Tabela de ingredientes'!$O$1:$V$30, SWITCH(B36, "Gelatos de Leite", 7, "Sorbets", 10, "Gelatos de Leite com Fruta", 13, "Chocolate base água", 16, "Vegano", 19, "Alcoólicos", 22, "Zero", 25, "Gelatos Proteicos", 28, 7), 6)) + (ROUND(N36,4) &gt; INDEX('Tabela de ingredientes'!$O$1:$V$30, SWITCH(B36, "Gelatos de Leite", 8, "Sorbets", 11, "Gelatos de Leite com Fruta", 14, "Chocolate base água", 17, "Vegano", 20, "Alcoólicos", 23, "Zero", 26, "Gelatos Proteicos", 29, 8), 6)) + (ROUND(O36,4) &lt; INDEX('Tabela de ingredientes'!$O$1:$V$30, SWITCH(B36, "Gelatos de Leite", 7, "Sorbets", 10, "Gelatos de Leite com Fruta", 13, "Chocolate base água", 16, "Vegano", 19, "Alcoólicos", 22, "Zero", 25, "Gelatos Proteicos", 28, 7), 7)) + (ROUND(O36,4) &gt; INDEX('Tabela de ingredientes'!$O$1:$V$30, SWITCH(B36, "Gelatos de Leite", 8, "Sorbets", 11, "Gelatos de Leite com Fruta", 14, "Chocolate base água", 17, "Vegano", 20, "Alcoólicos", 23, "Zero", 26, "Gelatos Proteicos", 29, 8), 7)) + (ROUND(P36,4) &lt; INDEX('Tabela de ingredientes'!$O$1:$V$30, SWITCH(B36, "Gelatos de Leite", 7, "Sorbets", 10, "Gelatos de Leite com Fruta", 13, "Chocolate base água", 16, "Vegano", 19, "Alcoólicos", 22, "Zero", 25, "Gelatos Proteicos", 28, 7), 8)) + (ROUND(P36,4) &gt; INDEX('Tabela de ingredientes'!$O$1:$V$30, SWITCH(B36, "Gelatos de Leite", 8, "Sorbets", 11, "Gelatos de Leite com Fruta", 14, "Chocolate base água", 17, "Vegano", 20, "Alcoólicos", 23, "Zero", 26, "Gelatos Proteicos", 29, 8), 8)) + IF(B36="Gelatos Proteicos", (ROUND(Q36,4)&lt;'Tabela de ingredientes'!$W$28)+(ROUND(Q36,4)&gt;'Tabela de ingredientes'!$W$29), 0) = 0, "Ok", "Revisar"))</f>
        <v>Revisar</v>
      </c>
    </row>
    <row r="37">
      <c r="A37" s="39" t="str">
        <f>IFERROR(__xludf.DUMMYFUNCTION("""COMPUTED_VALUE"""),"Gelato de Tiramisù (Addolcire)")</f>
        <v>Gelato de Tiramisù (Addolcire)</v>
      </c>
      <c r="B37" s="39" t="s">
        <v>25</v>
      </c>
      <c r="C37" s="39">
        <v>8.0</v>
      </c>
      <c r="D37" s="39">
        <v>1021.0</v>
      </c>
      <c r="E37" s="39" t="s">
        <v>433</v>
      </c>
      <c r="F37" s="69">
        <v>12.53281096963761</v>
      </c>
      <c r="G37" s="69">
        <v>0.7519686581782566</v>
      </c>
      <c r="H37" s="69">
        <v>32.72583689539538</v>
      </c>
      <c r="I37" s="59">
        <v>0.20672869735553379</v>
      </c>
      <c r="J37" s="59">
        <v>0.08459843290891284</v>
      </c>
      <c r="K37" s="59">
        <v>0.09603330068560235</v>
      </c>
      <c r="L37" s="59">
        <v>0.014593535749265427</v>
      </c>
      <c r="M37" s="59">
        <v>0.4019539666993144</v>
      </c>
      <c r="N37" s="59">
        <v>0.5980460333006856</v>
      </c>
      <c r="O37" s="39">
        <v>193.34280117531833</v>
      </c>
      <c r="P37" s="39">
        <v>286.0920666013712</v>
      </c>
      <c r="Q37" s="59">
        <v>0.04538197845249755</v>
      </c>
      <c r="R37" s="39">
        <v>11.443682664054847</v>
      </c>
      <c r="S37" s="97" t="str">
        <f t="array" ref="S37">IF(A37="","", IF( (ROUND(I37,4) &lt; INDEX('Tabela de ingredientes'!$O$1:$V$30, SWITCH(B37, "Gelatos de Leite", 7, "Sorbets", 10, "Gelatos de Leite com Fruta", 13, "Chocolate base água", 16, "Vegano", 19, "Alcoólicos", 22, "Zero", 25, "Gelatos Proteicos", 28, 7), 1)) + (ROUND(I37,4) &gt; INDEX('Tabela de ingredientes'!$O$1:$V$30, SWITCH(B37, "Gelatos de Leite", 8, "Sorbets", 11, "Gelatos de Leite com Fruta", 14, "Chocolate base água", 17, "Vegano", 20, "Alcoólicos", 23, "Zero", 26, "Gelatos Proteicos", 29, 8), 1)) + (ROUND(J37,4) &lt; INDEX('Tabela de ingredientes'!$O$1:$V$30, SWITCH(B37, "Gelatos de Leite", 7, "Sorbets", 10, "Gelatos de Leite com Fruta", 13, "Chocolate base água", 16, "Vegano", 19, "Alcoólicos", 22, "Zero", 25, "Gelatos Proteicos", 28, 7), 2)) + (ROUND(J37,4) &gt; INDEX('Tabela de ingredientes'!$O$1:$V$30, SWITCH(B37, "Gelatos de Leite", 8, "Sorbets", 11, "Gelatos de Leite com Fruta", 14, "Chocolate base água", 17, "Vegano", 20, "Alcoólicos", 23, "Zero", 26, "Gelatos Proteicos", 29, 8), 2)) + (ROUND(K37,4) &lt; INDEX('Tabela de ingredientes'!$O$1:$V$30, SWITCH(B37, "Gelatos de Leite", 7, "Sorbets", 10, "Gelatos de Leite com Fruta", 13, "Chocolate base água", 16, "Vegano", 19, "Alcoólicos", 22, "Zero", 25, "Gelatos Proteicos", 28, 7), 3)) + (ROUND(K37,4) &gt; INDEX('Tabela de ingredientes'!$O$1:$V$30, SWITCH(B37, "Gelatos de Leite", 8, "Sorbets", 11, "Gelatos de Leite com Fruta", 14, "Chocolate base água", 17, "Vegano", 20, "Alcoólicos", 23, "Zero", 26, "Gelatos Proteicos", 29, 8), 3)) + (ROUND(L37,4) &lt; INDEX('Tabela de ingredientes'!$O$1:$V$30, SWITCH(B37, "Gelatos de Leite", 7, "Sorbets", 10, "Gelatos de Leite com Fruta", 13, "Chocolate base água", 16, "Vegano", 19, "Alcoólicos", 22, "Zero", 25, "Gelatos Proteicos", 28, 7), 4)) + (ROUND(L37,4) &gt; INDEX('Tabela de ingredientes'!$O$1:$V$30, SWITCH(B37, "Gelatos de Leite", 8, "Sorbets", 11, "Gelatos de Leite com Fruta", 14, "Chocolate base água", 17, "Vegano", 20, "Alcoólicos", 23, "Zero", 26, "Gelatos Proteicos", 29, 8), 4)) + (ROUND(M37,4) &lt; INDEX('Tabela de ingredientes'!$O$1:$V$30, SWITCH(B37, "Gelatos de Leite", 7, "Sorbets", 10, "Gelatos de Leite com Fruta", 13, "Chocolate base água", 16, "Vegano", 19, "Alcoólicos", 22, "Zero", 25, "Gelatos Proteicos", 28, 7), 5)) + (ROUND(M37,4) &gt; INDEX('Tabela de ingredientes'!$O$1:$V$30, SWITCH(B37, "Gelatos de Leite", 8, "Sorbets", 11, "Gelatos de Leite com Fruta", 14, "Chocolate base água", 17, "Vegano", 20, "Alcoólicos", 23, "Zero", 26, "Gelatos Proteicos", 29, 8), 5)) + (ROUND(N37,4) &lt; INDEX('Tabela de ingredientes'!$O$1:$V$30, SWITCH(B37, "Gelatos de Leite", 7, "Sorbets", 10, "Gelatos de Leite com Fruta", 13, "Chocolate base água", 16, "Vegano", 19, "Alcoólicos", 22, "Zero", 25, "Gelatos Proteicos", 28, 7), 6)) + (ROUND(N37,4) &gt; INDEX('Tabela de ingredientes'!$O$1:$V$30, SWITCH(B37, "Gelatos de Leite", 8, "Sorbets", 11, "Gelatos de Leite com Fruta", 14, "Chocolate base água", 17, "Vegano", 20, "Alcoólicos", 23, "Zero", 26, "Gelatos Proteicos", 29, 8), 6)) + (ROUND(O37,4) &lt; INDEX('Tabela de ingredientes'!$O$1:$V$30, SWITCH(B37, "Gelatos de Leite", 7, "Sorbets", 10, "Gelatos de Leite com Fruta", 13, "Chocolate base água", 16, "Vegano", 19, "Alcoólicos", 22, "Zero", 25, "Gelatos Proteicos", 28, 7), 7)) + (ROUND(O37,4) &gt; INDEX('Tabela de ingredientes'!$O$1:$V$30, SWITCH(B37, "Gelatos de Leite", 8, "Sorbets", 11, "Gelatos de Leite com Fruta", 14, "Chocolate base água", 17, "Vegano", 20, "Alcoólicos", 23, "Zero", 26, "Gelatos Proteicos", 29, 8), 7)) + (ROUND(P37,4) &lt; INDEX('Tabela de ingredientes'!$O$1:$V$30, SWITCH(B37, "Gelatos de Leite", 7, "Sorbets", 10, "Gelatos de Leite com Fruta", 13, "Chocolate base água", 16, "Vegano", 19, "Alcoólicos", 22, "Zero", 25, "Gelatos Proteicos", 28, 7), 8)) + (ROUND(P37,4) &gt; INDEX('Tabela de ingredientes'!$O$1:$V$30, SWITCH(B37, "Gelatos de Leite", 8, "Sorbets", 11, "Gelatos de Leite com Fruta", 14, "Chocolate base água", 17, "Vegano", 20, "Alcoólicos", 23, "Zero", 26, "Gelatos Proteicos", 29, 8), 8)) + IF(B37="Gelatos Proteicos", (ROUND(Q37,4)&lt;'Tabela de ingredientes'!$W$28)+(ROUND(Q37,4)&gt;'Tabela de ingredientes'!$W$29), 0) = 0, "Ok", "Revisar"))</f>
        <v>Ok</v>
      </c>
    </row>
    <row r="38">
      <c r="A38" s="39" t="str">
        <f>IFERROR(__xludf.DUMMYFUNCTION("""COMPUTED_VALUE"""),"Gelato de Queijo de Cabra e Pecã (Addolcire)")</f>
        <v>Gelato de Queijo de Cabra e Pecã (Addolcire)</v>
      </c>
      <c r="B38" s="39" t="s">
        <v>25</v>
      </c>
      <c r="C38" s="39">
        <v>8.0</v>
      </c>
      <c r="D38" s="39">
        <v>1038.0</v>
      </c>
      <c r="E38" s="39" t="s">
        <v>439</v>
      </c>
      <c r="F38" s="69">
        <v>22.825626204238922</v>
      </c>
      <c r="G38" s="69">
        <v>1.3695375722543353</v>
      </c>
      <c r="H38" s="69">
        <v>41.24637930814481</v>
      </c>
      <c r="I38" s="59">
        <v>0.16324662813102117</v>
      </c>
      <c r="J38" s="59">
        <v>0.10183044315992294</v>
      </c>
      <c r="K38" s="59">
        <v>0.09863198458574181</v>
      </c>
      <c r="L38" s="59">
        <v>0.0038535645472061657</v>
      </c>
      <c r="M38" s="59">
        <v>0.36756262042389204</v>
      </c>
      <c r="N38" s="59">
        <v>0.632437379576108</v>
      </c>
      <c r="O38" s="39">
        <v>150.90655105973025</v>
      </c>
      <c r="P38" s="39">
        <v>242.8227360308285</v>
      </c>
      <c r="Q38" s="59">
        <v>0.05586705202312139</v>
      </c>
      <c r="R38" s="39">
        <v>9.71290944123314</v>
      </c>
      <c r="S38" s="97" t="str">
        <f t="array" ref="S38">IF(A38="","", IF( (ROUND(I38,4) &lt; INDEX('Tabela de ingredientes'!$O$1:$V$30, SWITCH(B38, "Gelatos de Leite", 7, "Sorbets", 10, "Gelatos de Leite com Fruta", 13, "Chocolate base água", 16, "Vegano", 19, "Alcoólicos", 22, "Zero", 25, "Gelatos Proteicos", 28, 7), 1)) + (ROUND(I38,4) &gt; INDEX('Tabela de ingredientes'!$O$1:$V$30, SWITCH(B38, "Gelatos de Leite", 8, "Sorbets", 11, "Gelatos de Leite com Fruta", 14, "Chocolate base água", 17, "Vegano", 20, "Alcoólicos", 23, "Zero", 26, "Gelatos Proteicos", 29, 8), 1)) + (ROUND(J38,4) &lt; INDEX('Tabela de ingredientes'!$O$1:$V$30, SWITCH(B38, "Gelatos de Leite", 7, "Sorbets", 10, "Gelatos de Leite com Fruta", 13, "Chocolate base água", 16, "Vegano", 19, "Alcoólicos", 22, "Zero", 25, "Gelatos Proteicos", 28, 7), 2)) + (ROUND(J38,4) &gt; INDEX('Tabela de ingredientes'!$O$1:$V$30, SWITCH(B38, "Gelatos de Leite", 8, "Sorbets", 11, "Gelatos de Leite com Fruta", 14, "Chocolate base água", 17, "Vegano", 20, "Alcoólicos", 23, "Zero", 26, "Gelatos Proteicos", 29, 8), 2)) + (ROUND(K38,4) &lt; INDEX('Tabela de ingredientes'!$O$1:$V$30, SWITCH(B38, "Gelatos de Leite", 7, "Sorbets", 10, "Gelatos de Leite com Fruta", 13, "Chocolate base água", 16, "Vegano", 19, "Alcoólicos", 22, "Zero", 25, "Gelatos Proteicos", 28, 7), 3)) + (ROUND(K38,4) &gt; INDEX('Tabela de ingredientes'!$O$1:$V$30, SWITCH(B38, "Gelatos de Leite", 8, "Sorbets", 11, "Gelatos de Leite com Fruta", 14, "Chocolate base água", 17, "Vegano", 20, "Alcoólicos", 23, "Zero", 26, "Gelatos Proteicos", 29, 8), 3)) + (ROUND(L38,4) &lt; INDEX('Tabela de ingredientes'!$O$1:$V$30, SWITCH(B38, "Gelatos de Leite", 7, "Sorbets", 10, "Gelatos de Leite com Fruta", 13, "Chocolate base água", 16, "Vegano", 19, "Alcoólicos", 22, "Zero", 25, "Gelatos Proteicos", 28, 7), 4)) + (ROUND(L38,4) &gt; INDEX('Tabela de ingredientes'!$O$1:$V$30, SWITCH(B38, "Gelatos de Leite", 8, "Sorbets", 11, "Gelatos de Leite com Fruta", 14, "Chocolate base água", 17, "Vegano", 20, "Alcoólicos", 23, "Zero", 26, "Gelatos Proteicos", 29, 8), 4)) + (ROUND(M38,4) &lt; INDEX('Tabela de ingredientes'!$O$1:$V$30, SWITCH(B38, "Gelatos de Leite", 7, "Sorbets", 10, "Gelatos de Leite com Fruta", 13, "Chocolate base água", 16, "Vegano", 19, "Alcoólicos", 22, "Zero", 25, "Gelatos Proteicos", 28, 7), 5)) + (ROUND(M38,4) &gt; INDEX('Tabela de ingredientes'!$O$1:$V$30, SWITCH(B38, "Gelatos de Leite", 8, "Sorbets", 11, "Gelatos de Leite com Fruta", 14, "Chocolate base água", 17, "Vegano", 20, "Alcoólicos", 23, "Zero", 26, "Gelatos Proteicos", 29, 8), 5)) + (ROUND(N38,4) &lt; INDEX('Tabela de ingredientes'!$O$1:$V$30, SWITCH(B38, "Gelatos de Leite", 7, "Sorbets", 10, "Gelatos de Leite com Fruta", 13, "Chocolate base água", 16, "Vegano", 19, "Alcoólicos", 22, "Zero", 25, "Gelatos Proteicos", 28, 7), 6)) + (ROUND(N38,4) &gt; INDEX('Tabela de ingredientes'!$O$1:$V$30, SWITCH(B38, "Gelatos de Leite", 8, "Sorbets", 11, "Gelatos de Leite com Fruta", 14, "Chocolate base água", 17, "Vegano", 20, "Alcoólicos", 23, "Zero", 26, "Gelatos Proteicos", 29, 8), 6)) + (ROUND(O38,4) &lt; INDEX('Tabela de ingredientes'!$O$1:$V$30, SWITCH(B38, "Gelatos de Leite", 7, "Sorbets", 10, "Gelatos de Leite com Fruta", 13, "Chocolate base água", 16, "Vegano", 19, "Alcoólicos", 22, "Zero", 25, "Gelatos Proteicos", 28, 7), 7)) + (ROUND(O38,4) &gt; INDEX('Tabela de ingredientes'!$O$1:$V$30, SWITCH(B38, "Gelatos de Leite", 8, "Sorbets", 11, "Gelatos de Leite com Fruta", 14, "Chocolate base água", 17, "Vegano", 20, "Alcoólicos", 23, "Zero", 26, "Gelatos Proteicos", 29, 8), 7)) + (ROUND(P38,4) &lt; INDEX('Tabela de ingredientes'!$O$1:$V$30, SWITCH(B38, "Gelatos de Leite", 7, "Sorbets", 10, "Gelatos de Leite com Fruta", 13, "Chocolate base água", 16, "Vegano", 19, "Alcoólicos", 22, "Zero", 25, "Gelatos Proteicos", 28, 7), 8)) + (ROUND(P38,4) &gt; INDEX('Tabela de ingredientes'!$O$1:$V$30, SWITCH(B38, "Gelatos de Leite", 8, "Sorbets", 11, "Gelatos de Leite com Fruta", 14, "Chocolate base água", 17, "Vegano", 20, "Alcoólicos", 23, "Zero", 26, "Gelatos Proteicos", 29, 8), 8)) + IF(B38="Gelatos Proteicos", (ROUND(Q38,4)&lt;'Tabela de ingredientes'!$W$28)+(ROUND(Q38,4)&gt;'Tabela de ingredientes'!$W$29), 0) = 0, "Ok", "Revisar"))</f>
        <v>Ok</v>
      </c>
    </row>
    <row r="39">
      <c r="A39" s="39" t="str">
        <f>IFERROR(__xludf.DUMMYFUNCTION("""COMPUTED_VALUE"""),"Gelato de Caramelo Brûlée (Addolcire)")</f>
        <v>Gelato de Caramelo Brûlée (Addolcire)</v>
      </c>
      <c r="B39" s="39" t="s">
        <v>25</v>
      </c>
      <c r="C39" s="39">
        <v>7.0</v>
      </c>
      <c r="D39" s="39">
        <v>1081.0</v>
      </c>
      <c r="E39" s="39" t="s">
        <v>445</v>
      </c>
      <c r="F39" s="69">
        <v>14.927289546716002</v>
      </c>
      <c r="G39" s="69">
        <v>0.8956373728029601</v>
      </c>
      <c r="H39" s="69">
        <v>34.70802114794372</v>
      </c>
      <c r="I39" s="59">
        <v>0.16933395004625348</v>
      </c>
      <c r="J39" s="59">
        <v>0.10443108233117483</v>
      </c>
      <c r="K39" s="59">
        <v>0.10658649398704903</v>
      </c>
      <c r="L39" s="59">
        <v>0.0037002775208140612</v>
      </c>
      <c r="M39" s="59">
        <v>0.3840518038852914</v>
      </c>
      <c r="N39" s="59">
        <v>0.6159481961147086</v>
      </c>
      <c r="O39" s="39">
        <v>165.87530064754856</v>
      </c>
      <c r="P39" s="39">
        <v>224.66234967622572</v>
      </c>
      <c r="Q39" s="59">
        <v>0.04409805735430158</v>
      </c>
      <c r="R39" s="39">
        <v>8.986493987049029</v>
      </c>
      <c r="S39" s="97" t="str">
        <f t="array" ref="S39">IF(A39="","", IF( (ROUND(I39,4) &lt; INDEX('Tabela de ingredientes'!$O$1:$V$30, SWITCH(B39, "Gelatos de Leite", 7, "Sorbets", 10, "Gelatos de Leite com Fruta", 13, "Chocolate base água", 16, "Vegano", 19, "Alcoólicos", 22, "Zero", 25, "Gelatos Proteicos", 28, 7), 1)) + (ROUND(I39,4) &gt; INDEX('Tabela de ingredientes'!$O$1:$V$30, SWITCH(B39, "Gelatos de Leite", 8, "Sorbets", 11, "Gelatos de Leite com Fruta", 14, "Chocolate base água", 17, "Vegano", 20, "Alcoólicos", 23, "Zero", 26, "Gelatos Proteicos", 29, 8), 1)) + (ROUND(J39,4) &lt; INDEX('Tabela de ingredientes'!$O$1:$V$30, SWITCH(B39, "Gelatos de Leite", 7, "Sorbets", 10, "Gelatos de Leite com Fruta", 13, "Chocolate base água", 16, "Vegano", 19, "Alcoólicos", 22, "Zero", 25, "Gelatos Proteicos", 28, 7), 2)) + (ROUND(J39,4) &gt; INDEX('Tabela de ingredientes'!$O$1:$V$30, SWITCH(B39, "Gelatos de Leite", 8, "Sorbets", 11, "Gelatos de Leite com Fruta", 14, "Chocolate base água", 17, "Vegano", 20, "Alcoólicos", 23, "Zero", 26, "Gelatos Proteicos", 29, 8), 2)) + (ROUND(K39,4) &lt; INDEX('Tabela de ingredientes'!$O$1:$V$30, SWITCH(B39, "Gelatos de Leite", 7, "Sorbets", 10, "Gelatos de Leite com Fruta", 13, "Chocolate base água", 16, "Vegano", 19, "Alcoólicos", 22, "Zero", 25, "Gelatos Proteicos", 28, 7), 3)) + (ROUND(K39,4) &gt; INDEX('Tabela de ingredientes'!$O$1:$V$30, SWITCH(B39, "Gelatos de Leite", 8, "Sorbets", 11, "Gelatos de Leite com Fruta", 14, "Chocolate base água", 17, "Vegano", 20, "Alcoólicos", 23, "Zero", 26, "Gelatos Proteicos", 29, 8), 3)) + (ROUND(L39,4) &lt; INDEX('Tabela de ingredientes'!$O$1:$V$30, SWITCH(B39, "Gelatos de Leite", 7, "Sorbets", 10, "Gelatos de Leite com Fruta", 13, "Chocolate base água", 16, "Vegano", 19, "Alcoólicos", 22, "Zero", 25, "Gelatos Proteicos", 28, 7), 4)) + (ROUND(L39,4) &gt; INDEX('Tabela de ingredientes'!$O$1:$V$30, SWITCH(B39, "Gelatos de Leite", 8, "Sorbets", 11, "Gelatos de Leite com Fruta", 14, "Chocolate base água", 17, "Vegano", 20, "Alcoólicos", 23, "Zero", 26, "Gelatos Proteicos", 29, 8), 4)) + (ROUND(M39,4) &lt; INDEX('Tabela de ingredientes'!$O$1:$V$30, SWITCH(B39, "Gelatos de Leite", 7, "Sorbets", 10, "Gelatos de Leite com Fruta", 13, "Chocolate base água", 16, "Vegano", 19, "Alcoólicos", 22, "Zero", 25, "Gelatos Proteicos", 28, 7), 5)) + (ROUND(M39,4) &gt; INDEX('Tabela de ingredientes'!$O$1:$V$30, SWITCH(B39, "Gelatos de Leite", 8, "Sorbets", 11, "Gelatos de Leite com Fruta", 14, "Chocolate base água", 17, "Vegano", 20, "Alcoólicos", 23, "Zero", 26, "Gelatos Proteicos", 29, 8), 5)) + (ROUND(N39,4) &lt; INDEX('Tabela de ingredientes'!$O$1:$V$30, SWITCH(B39, "Gelatos de Leite", 7, "Sorbets", 10, "Gelatos de Leite com Fruta", 13, "Chocolate base água", 16, "Vegano", 19, "Alcoólicos", 22, "Zero", 25, "Gelatos Proteicos", 28, 7), 6)) + (ROUND(N39,4) &gt; INDEX('Tabela de ingredientes'!$O$1:$V$30, SWITCH(B39, "Gelatos de Leite", 8, "Sorbets", 11, "Gelatos de Leite com Fruta", 14, "Chocolate base água", 17, "Vegano", 20, "Alcoólicos", 23, "Zero", 26, "Gelatos Proteicos", 29, 8), 6)) + (ROUND(O39,4) &lt; INDEX('Tabela de ingredientes'!$O$1:$V$30, SWITCH(B39, "Gelatos de Leite", 7, "Sorbets", 10, "Gelatos de Leite com Fruta", 13, "Chocolate base água", 16, "Vegano", 19, "Alcoólicos", 22, "Zero", 25, "Gelatos Proteicos", 28, 7), 7)) + (ROUND(O39,4) &gt; INDEX('Tabela de ingredientes'!$O$1:$V$30, SWITCH(B39, "Gelatos de Leite", 8, "Sorbets", 11, "Gelatos de Leite com Fruta", 14, "Chocolate base água", 17, "Vegano", 20, "Alcoólicos", 23, "Zero", 26, "Gelatos Proteicos", 29, 8), 7)) + (ROUND(P39,4) &lt; INDEX('Tabela de ingredientes'!$O$1:$V$30, SWITCH(B39, "Gelatos de Leite", 7, "Sorbets", 10, "Gelatos de Leite com Fruta", 13, "Chocolate base água", 16, "Vegano", 19, "Alcoólicos", 22, "Zero", 25, "Gelatos Proteicos", 28, 7), 8)) + (ROUND(P39,4) &gt; INDEX('Tabela de ingredientes'!$O$1:$V$30, SWITCH(B39, "Gelatos de Leite", 8, "Sorbets", 11, "Gelatos de Leite com Fruta", 14, "Chocolate base água", 17, "Vegano", 20, "Alcoólicos", 23, "Zero", 26, "Gelatos Proteicos", 29, 8), 8)) + IF(B39="Gelatos Proteicos", (ROUND(Q39,4)&lt;'Tabela de ingredientes'!$W$28)+(ROUND(Q39,4)&gt;'Tabela de ingredientes'!$W$29), 0) = 0, "Ok", "Revisar"))</f>
        <v>Ok</v>
      </c>
    </row>
    <row r="40">
      <c r="A40" s="39" t="str">
        <f>IFERROR(__xludf.DUMMYFUNCTION("""COMPUTED_VALUE"""),"Gelato de Pistache (Addolcire)")</f>
        <v>Gelato de Pistache (Addolcire)</v>
      </c>
      <c r="B40" s="39" t="s">
        <v>25</v>
      </c>
      <c r="C40" s="39">
        <v>9.0</v>
      </c>
      <c r="D40" s="39">
        <v>942.0</v>
      </c>
      <c r="E40" s="39" t="s">
        <v>450</v>
      </c>
      <c r="F40" s="69">
        <v>47.08004246284499</v>
      </c>
      <c r="G40" s="69">
        <v>2.8248025477706995</v>
      </c>
      <c r="H40" s="69">
        <v>61.32453846262005</v>
      </c>
      <c r="I40" s="59">
        <v>0.153343949044586</v>
      </c>
      <c r="J40" s="59">
        <v>0.12164543524416137</v>
      </c>
      <c r="K40" s="59">
        <v>0.09715498938428874</v>
      </c>
      <c r="L40" s="59">
        <v>0.05668789808917198</v>
      </c>
      <c r="M40" s="59">
        <v>0.42883227176220806</v>
      </c>
      <c r="N40" s="59">
        <v>0.5711677282377919</v>
      </c>
      <c r="O40" s="39">
        <v>135.23694267515924</v>
      </c>
      <c r="P40" s="39">
        <v>241.8895966029724</v>
      </c>
      <c r="Q40" s="59">
        <v>0.053704883227176224</v>
      </c>
      <c r="R40" s="39">
        <v>9.675583864118897</v>
      </c>
      <c r="S40" s="97" t="str">
        <f t="array" ref="S40">IF(A40="","", IF( (ROUND(I40,4) &lt; INDEX('Tabela de ingredientes'!$O$1:$V$30, SWITCH(B40, "Gelatos de Leite", 7, "Sorbets", 10, "Gelatos de Leite com Fruta", 13, "Chocolate base água", 16, "Vegano", 19, "Alcoólicos", 22, "Zero", 25, "Gelatos Proteicos", 28, 7), 1)) + (ROUND(I40,4) &gt; INDEX('Tabela de ingredientes'!$O$1:$V$30, SWITCH(B40, "Gelatos de Leite", 8, "Sorbets", 11, "Gelatos de Leite com Fruta", 14, "Chocolate base água", 17, "Vegano", 20, "Alcoólicos", 23, "Zero", 26, "Gelatos Proteicos", 29, 8), 1)) + (ROUND(J40,4) &lt; INDEX('Tabela de ingredientes'!$O$1:$V$30, SWITCH(B40, "Gelatos de Leite", 7, "Sorbets", 10, "Gelatos de Leite com Fruta", 13, "Chocolate base água", 16, "Vegano", 19, "Alcoólicos", 22, "Zero", 25, "Gelatos Proteicos", 28, 7), 2)) + (ROUND(J40,4) &gt; INDEX('Tabela de ingredientes'!$O$1:$V$30, SWITCH(B40, "Gelatos de Leite", 8, "Sorbets", 11, "Gelatos de Leite com Fruta", 14, "Chocolate base água", 17, "Vegano", 20, "Alcoólicos", 23, "Zero", 26, "Gelatos Proteicos", 29, 8), 2)) + (ROUND(K40,4) &lt; INDEX('Tabela de ingredientes'!$O$1:$V$30, SWITCH(B40, "Gelatos de Leite", 7, "Sorbets", 10, "Gelatos de Leite com Fruta", 13, "Chocolate base água", 16, "Vegano", 19, "Alcoólicos", 22, "Zero", 25, "Gelatos Proteicos", 28, 7), 3)) + (ROUND(K40,4) &gt; INDEX('Tabela de ingredientes'!$O$1:$V$30, SWITCH(B40, "Gelatos de Leite", 8, "Sorbets", 11, "Gelatos de Leite com Fruta", 14, "Chocolate base água", 17, "Vegano", 20, "Alcoólicos", 23, "Zero", 26, "Gelatos Proteicos", 29, 8), 3)) + (ROUND(L40,4) &lt; INDEX('Tabela de ingredientes'!$O$1:$V$30, SWITCH(B40, "Gelatos de Leite", 7, "Sorbets", 10, "Gelatos de Leite com Fruta", 13, "Chocolate base água", 16, "Vegano", 19, "Alcoólicos", 22, "Zero", 25, "Gelatos Proteicos", 28, 7), 4)) + (ROUND(L40,4) &gt; INDEX('Tabela de ingredientes'!$O$1:$V$30, SWITCH(B40, "Gelatos de Leite", 8, "Sorbets", 11, "Gelatos de Leite com Fruta", 14, "Chocolate base água", 17, "Vegano", 20, "Alcoólicos", 23, "Zero", 26, "Gelatos Proteicos", 29, 8), 4)) + (ROUND(M40,4) &lt; INDEX('Tabela de ingredientes'!$O$1:$V$30, SWITCH(B40, "Gelatos de Leite", 7, "Sorbets", 10, "Gelatos de Leite com Fruta", 13, "Chocolate base água", 16, "Vegano", 19, "Alcoólicos", 22, "Zero", 25, "Gelatos Proteicos", 28, 7), 5)) + (ROUND(M40,4) &gt; INDEX('Tabela de ingredientes'!$O$1:$V$30, SWITCH(B40, "Gelatos de Leite", 8, "Sorbets", 11, "Gelatos de Leite com Fruta", 14, "Chocolate base água", 17, "Vegano", 20, "Alcoólicos", 23, "Zero", 26, "Gelatos Proteicos", 29, 8), 5)) + (ROUND(N40,4) &lt; INDEX('Tabela de ingredientes'!$O$1:$V$30, SWITCH(B40, "Gelatos de Leite", 7, "Sorbets", 10, "Gelatos de Leite com Fruta", 13, "Chocolate base água", 16, "Vegano", 19, "Alcoólicos", 22, "Zero", 25, "Gelatos Proteicos", 28, 7), 6)) + (ROUND(N40,4) &gt; INDEX('Tabela de ingredientes'!$O$1:$V$30, SWITCH(B40, "Gelatos de Leite", 8, "Sorbets", 11, "Gelatos de Leite com Fruta", 14, "Chocolate base água", 17, "Vegano", 20, "Alcoólicos", 23, "Zero", 26, "Gelatos Proteicos", 29, 8), 6)) + (ROUND(O40,4) &lt; INDEX('Tabela de ingredientes'!$O$1:$V$30, SWITCH(B40, "Gelatos de Leite", 7, "Sorbets", 10, "Gelatos de Leite com Fruta", 13, "Chocolate base água", 16, "Vegano", 19, "Alcoólicos", 22, "Zero", 25, "Gelatos Proteicos", 28, 7), 7)) + (ROUND(O40,4) &gt; INDEX('Tabela de ingredientes'!$O$1:$V$30, SWITCH(B40, "Gelatos de Leite", 8, "Sorbets", 11, "Gelatos de Leite com Fruta", 14, "Chocolate base água", 17, "Vegano", 20, "Alcoólicos", 23, "Zero", 26, "Gelatos Proteicos", 29, 8), 7)) + (ROUND(P40,4) &lt; INDEX('Tabela de ingredientes'!$O$1:$V$30, SWITCH(B40, "Gelatos de Leite", 7, "Sorbets", 10, "Gelatos de Leite com Fruta", 13, "Chocolate base água", 16, "Vegano", 19, "Alcoólicos", 22, "Zero", 25, "Gelatos Proteicos", 28, 7), 8)) + (ROUND(P40,4) &gt; INDEX('Tabela de ingredientes'!$O$1:$V$30, SWITCH(B40, "Gelatos de Leite", 8, "Sorbets", 11, "Gelatos de Leite com Fruta", 14, "Chocolate base água", 17, "Vegano", 20, "Alcoólicos", 23, "Zero", 26, "Gelatos Proteicos", 29, 8), 8)) + IF(B40="Gelatos Proteicos", (ROUND(Q40,4)&lt;'Tabela de ingredientes'!$W$28)+(ROUND(Q40,4)&gt;'Tabela de ingredientes'!$W$29), 0) = 0, "Ok", "Revisar"))</f>
        <v>Revisar</v>
      </c>
    </row>
    <row r="41">
      <c r="A41" s="39" t="str">
        <f>IFERROR(__xludf.DUMMYFUNCTION("""COMPUTED_VALUE"""),"Gelato de Chocolate Branco e Frutas Vermelhas (Addolcire)")</f>
        <v>Gelato de Chocolate Branco e Frutas Vermelhas (Addolcire)</v>
      </c>
      <c r="B41" s="39" t="s">
        <v>25</v>
      </c>
      <c r="C41" s="39">
        <v>9.0</v>
      </c>
      <c r="D41" s="39">
        <v>1000.0</v>
      </c>
      <c r="E41" s="39" t="s">
        <v>171</v>
      </c>
      <c r="F41" s="69">
        <v>44.9576</v>
      </c>
      <c r="G41" s="69">
        <v>2.697456</v>
      </c>
      <c r="H41" s="69">
        <v>59.567549668874186</v>
      </c>
      <c r="I41" s="59">
        <v>0.22851</v>
      </c>
      <c r="J41" s="59">
        <v>0.07996</v>
      </c>
      <c r="K41" s="59">
        <v>0.07869</v>
      </c>
      <c r="L41" s="59">
        <v>0.03</v>
      </c>
      <c r="M41" s="59">
        <v>0.41716</v>
      </c>
      <c r="N41" s="59">
        <v>0.58284</v>
      </c>
      <c r="O41" s="39">
        <v>236.7408</v>
      </c>
      <c r="P41" s="39">
        <v>178.34</v>
      </c>
      <c r="Q41" s="59">
        <v>0.0258</v>
      </c>
      <c r="R41" s="39">
        <v>7.1336</v>
      </c>
      <c r="S41" s="97" t="str">
        <f t="array" ref="S41">IF(A41="","", IF( (ROUND(I41,4) &lt; INDEX('Tabela de ingredientes'!$O$1:$V$30, SWITCH(B41, "Gelatos de Leite", 7, "Sorbets", 10, "Gelatos de Leite com Fruta", 13, "Chocolate base água", 16, "Vegano", 19, "Alcoólicos", 22, "Zero", 25, "Gelatos Proteicos", 28, 7), 1)) + (ROUND(I41,4) &gt; INDEX('Tabela de ingredientes'!$O$1:$V$30, SWITCH(B41, "Gelatos de Leite", 8, "Sorbets", 11, "Gelatos de Leite com Fruta", 14, "Chocolate base água", 17, "Vegano", 20, "Alcoólicos", 23, "Zero", 26, "Gelatos Proteicos", 29, 8), 1)) + (ROUND(J41,4) &lt; INDEX('Tabela de ingredientes'!$O$1:$V$30, SWITCH(B41, "Gelatos de Leite", 7, "Sorbets", 10, "Gelatos de Leite com Fruta", 13, "Chocolate base água", 16, "Vegano", 19, "Alcoólicos", 22, "Zero", 25, "Gelatos Proteicos", 28, 7), 2)) + (ROUND(J41,4) &gt; INDEX('Tabela de ingredientes'!$O$1:$V$30, SWITCH(B41, "Gelatos de Leite", 8, "Sorbets", 11, "Gelatos de Leite com Fruta", 14, "Chocolate base água", 17, "Vegano", 20, "Alcoólicos", 23, "Zero", 26, "Gelatos Proteicos", 29, 8), 2)) + (ROUND(K41,4) &lt; INDEX('Tabela de ingredientes'!$O$1:$V$30, SWITCH(B41, "Gelatos de Leite", 7, "Sorbets", 10, "Gelatos de Leite com Fruta", 13, "Chocolate base água", 16, "Vegano", 19, "Alcoólicos", 22, "Zero", 25, "Gelatos Proteicos", 28, 7), 3)) + (ROUND(K41,4) &gt; INDEX('Tabela de ingredientes'!$O$1:$V$30, SWITCH(B41, "Gelatos de Leite", 8, "Sorbets", 11, "Gelatos de Leite com Fruta", 14, "Chocolate base água", 17, "Vegano", 20, "Alcoólicos", 23, "Zero", 26, "Gelatos Proteicos", 29, 8), 3)) + (ROUND(L41,4) &lt; INDEX('Tabela de ingredientes'!$O$1:$V$30, SWITCH(B41, "Gelatos de Leite", 7, "Sorbets", 10, "Gelatos de Leite com Fruta", 13, "Chocolate base água", 16, "Vegano", 19, "Alcoólicos", 22, "Zero", 25, "Gelatos Proteicos", 28, 7), 4)) + (ROUND(L41,4) &gt; INDEX('Tabela de ingredientes'!$O$1:$V$30, SWITCH(B41, "Gelatos de Leite", 8, "Sorbets", 11, "Gelatos de Leite com Fruta", 14, "Chocolate base água", 17, "Vegano", 20, "Alcoólicos", 23, "Zero", 26, "Gelatos Proteicos", 29, 8), 4)) + (ROUND(M41,4) &lt; INDEX('Tabela de ingredientes'!$O$1:$V$30, SWITCH(B41, "Gelatos de Leite", 7, "Sorbets", 10, "Gelatos de Leite com Fruta", 13, "Chocolate base água", 16, "Vegano", 19, "Alcoólicos", 22, "Zero", 25, "Gelatos Proteicos", 28, 7), 5)) + (ROUND(M41,4) &gt; INDEX('Tabela de ingredientes'!$O$1:$V$30, SWITCH(B41, "Gelatos de Leite", 8, "Sorbets", 11, "Gelatos de Leite com Fruta", 14, "Chocolate base água", 17, "Vegano", 20, "Alcoólicos", 23, "Zero", 26, "Gelatos Proteicos", 29, 8), 5)) + (ROUND(N41,4) &lt; INDEX('Tabela de ingredientes'!$O$1:$V$30, SWITCH(B41, "Gelatos de Leite", 7, "Sorbets", 10, "Gelatos de Leite com Fruta", 13, "Chocolate base água", 16, "Vegano", 19, "Alcoólicos", 22, "Zero", 25, "Gelatos Proteicos", 28, 7), 6)) + (ROUND(N41,4) &gt; INDEX('Tabela de ingredientes'!$O$1:$V$30, SWITCH(B41, "Gelatos de Leite", 8, "Sorbets", 11, "Gelatos de Leite com Fruta", 14, "Chocolate base água", 17, "Vegano", 20, "Alcoólicos", 23, "Zero", 26, "Gelatos Proteicos", 29, 8), 6)) + (ROUND(O41,4) &lt; INDEX('Tabela de ingredientes'!$O$1:$V$30, SWITCH(B41, "Gelatos de Leite", 7, "Sorbets", 10, "Gelatos de Leite com Fruta", 13, "Chocolate base água", 16, "Vegano", 19, "Alcoólicos", 22, "Zero", 25, "Gelatos Proteicos", 28, 7), 7)) + (ROUND(O41,4) &gt; INDEX('Tabela de ingredientes'!$O$1:$V$30, SWITCH(B41, "Gelatos de Leite", 8, "Sorbets", 11, "Gelatos de Leite com Fruta", 14, "Chocolate base água", 17, "Vegano", 20, "Alcoólicos", 23, "Zero", 26, "Gelatos Proteicos", 29, 8), 7)) + (ROUND(P41,4) &lt; INDEX('Tabela de ingredientes'!$O$1:$V$30, SWITCH(B41, "Gelatos de Leite", 7, "Sorbets", 10, "Gelatos de Leite com Fruta", 13, "Chocolate base água", 16, "Vegano", 19, "Alcoólicos", 22, "Zero", 25, "Gelatos Proteicos", 28, 7), 8)) + (ROUND(P41,4) &gt; INDEX('Tabela de ingredientes'!$O$1:$V$30, SWITCH(B41, "Gelatos de Leite", 8, "Sorbets", 11, "Gelatos de Leite com Fruta", 14, "Chocolate base água", 17, "Vegano", 20, "Alcoólicos", 23, "Zero", 26, "Gelatos Proteicos", 29, 8), 8)) + IF(B41="Gelatos Proteicos", (ROUND(Q41,4)&lt;'Tabela de ingredientes'!$W$28)+(ROUND(Q41,4)&gt;'Tabela de ingredientes'!$W$29), 0) = 0, "Ok", "Revisar"))</f>
        <v>Revisar</v>
      </c>
    </row>
    <row r="42">
      <c r="A42" s="39" t="str">
        <f>IFERROR(__xludf.DUMMYFUNCTION("""COMPUTED_VALUE"""),"Gelato de Whey Protein com Brownie (Addolcire)")</f>
        <v>Gelato de Whey Protein com Brownie (Addolcire)</v>
      </c>
      <c r="B42" s="39" t="s">
        <v>25</v>
      </c>
      <c r="C42" s="39">
        <v>9.0</v>
      </c>
      <c r="D42" s="39">
        <v>939.0</v>
      </c>
      <c r="E42" s="39" t="s">
        <v>465</v>
      </c>
      <c r="F42" s="69">
        <v>38.51437699680511</v>
      </c>
      <c r="G42" s="69">
        <v>2.3108626198083067</v>
      </c>
      <c r="H42" s="69">
        <v>54.233755792057224</v>
      </c>
      <c r="I42" s="59">
        <v>0.22172523961661342</v>
      </c>
      <c r="J42" s="59">
        <v>0.09673411430599929</v>
      </c>
      <c r="K42" s="59">
        <v>0.13752218672346467</v>
      </c>
      <c r="L42" s="59">
        <v>0.07268370607028754</v>
      </c>
      <c r="M42" s="59">
        <v>0.528665246716365</v>
      </c>
      <c r="N42" s="59">
        <v>0.47133475328363506</v>
      </c>
      <c r="O42" s="39">
        <v>216.18743343982962</v>
      </c>
      <c r="P42" s="39">
        <v>279.0202342917998</v>
      </c>
      <c r="Q42" s="59">
        <v>0.09446219382321619</v>
      </c>
      <c r="R42" s="39">
        <v>11.160809371671991</v>
      </c>
      <c r="S42" s="97" t="str">
        <f t="array" ref="S42">IF(A42="","", IF( (ROUND(I42,4) &lt; INDEX('Tabela de ingredientes'!$O$1:$V$30, SWITCH(B42, "Gelatos de Leite", 7, "Sorbets", 10, "Gelatos de Leite com Fruta", 13, "Chocolate base água", 16, "Vegano", 19, "Alcoólicos", 22, "Zero", 25, "Gelatos Proteicos", 28, 7), 1)) + (ROUND(I42,4) &gt; INDEX('Tabela de ingredientes'!$O$1:$V$30, SWITCH(B42, "Gelatos de Leite", 8, "Sorbets", 11, "Gelatos de Leite com Fruta", 14, "Chocolate base água", 17, "Vegano", 20, "Alcoólicos", 23, "Zero", 26, "Gelatos Proteicos", 29, 8), 1)) + (ROUND(J42,4) &lt; INDEX('Tabela de ingredientes'!$O$1:$V$30, SWITCH(B42, "Gelatos de Leite", 7, "Sorbets", 10, "Gelatos de Leite com Fruta", 13, "Chocolate base água", 16, "Vegano", 19, "Alcoólicos", 22, "Zero", 25, "Gelatos Proteicos", 28, 7), 2)) + (ROUND(J42,4) &gt; INDEX('Tabela de ingredientes'!$O$1:$V$30, SWITCH(B42, "Gelatos de Leite", 8, "Sorbets", 11, "Gelatos de Leite com Fruta", 14, "Chocolate base água", 17, "Vegano", 20, "Alcoólicos", 23, "Zero", 26, "Gelatos Proteicos", 29, 8), 2)) + (ROUND(K42,4) &lt; INDEX('Tabela de ingredientes'!$O$1:$V$30, SWITCH(B42, "Gelatos de Leite", 7, "Sorbets", 10, "Gelatos de Leite com Fruta", 13, "Chocolate base água", 16, "Vegano", 19, "Alcoólicos", 22, "Zero", 25, "Gelatos Proteicos", 28, 7), 3)) + (ROUND(K42,4) &gt; INDEX('Tabela de ingredientes'!$O$1:$V$30, SWITCH(B42, "Gelatos de Leite", 8, "Sorbets", 11, "Gelatos de Leite com Fruta", 14, "Chocolate base água", 17, "Vegano", 20, "Alcoólicos", 23, "Zero", 26, "Gelatos Proteicos", 29, 8), 3)) + (ROUND(L42,4) &lt; INDEX('Tabela de ingredientes'!$O$1:$V$30, SWITCH(B42, "Gelatos de Leite", 7, "Sorbets", 10, "Gelatos de Leite com Fruta", 13, "Chocolate base água", 16, "Vegano", 19, "Alcoólicos", 22, "Zero", 25, "Gelatos Proteicos", 28, 7), 4)) + (ROUND(L42,4) &gt; INDEX('Tabela de ingredientes'!$O$1:$V$30, SWITCH(B42, "Gelatos de Leite", 8, "Sorbets", 11, "Gelatos de Leite com Fruta", 14, "Chocolate base água", 17, "Vegano", 20, "Alcoólicos", 23, "Zero", 26, "Gelatos Proteicos", 29, 8), 4)) + (ROUND(M42,4) &lt; INDEX('Tabela de ingredientes'!$O$1:$V$30, SWITCH(B42, "Gelatos de Leite", 7, "Sorbets", 10, "Gelatos de Leite com Fruta", 13, "Chocolate base água", 16, "Vegano", 19, "Alcoólicos", 22, "Zero", 25, "Gelatos Proteicos", 28, 7), 5)) + (ROUND(M42,4) &gt; INDEX('Tabela de ingredientes'!$O$1:$V$30, SWITCH(B42, "Gelatos de Leite", 8, "Sorbets", 11, "Gelatos de Leite com Fruta", 14, "Chocolate base água", 17, "Vegano", 20, "Alcoólicos", 23, "Zero", 26, "Gelatos Proteicos", 29, 8), 5)) + (ROUND(N42,4) &lt; INDEX('Tabela de ingredientes'!$O$1:$V$30, SWITCH(B42, "Gelatos de Leite", 7, "Sorbets", 10, "Gelatos de Leite com Fruta", 13, "Chocolate base água", 16, "Vegano", 19, "Alcoólicos", 22, "Zero", 25, "Gelatos Proteicos", 28, 7), 6)) + (ROUND(N42,4) &gt; INDEX('Tabela de ingredientes'!$O$1:$V$30, SWITCH(B42, "Gelatos de Leite", 8, "Sorbets", 11, "Gelatos de Leite com Fruta", 14, "Chocolate base água", 17, "Vegano", 20, "Alcoólicos", 23, "Zero", 26, "Gelatos Proteicos", 29, 8), 6)) + (ROUND(O42,4) &lt; INDEX('Tabela de ingredientes'!$O$1:$V$30, SWITCH(B42, "Gelatos de Leite", 7, "Sorbets", 10, "Gelatos de Leite com Fruta", 13, "Chocolate base água", 16, "Vegano", 19, "Alcoólicos", 22, "Zero", 25, "Gelatos Proteicos", 28, 7), 7)) + (ROUND(O42,4) &gt; INDEX('Tabela de ingredientes'!$O$1:$V$30, SWITCH(B42, "Gelatos de Leite", 8, "Sorbets", 11, "Gelatos de Leite com Fruta", 14, "Chocolate base água", 17, "Vegano", 20, "Alcoólicos", 23, "Zero", 26, "Gelatos Proteicos", 29, 8), 7)) + (ROUND(P42,4) &lt; INDEX('Tabela de ingredientes'!$O$1:$V$30, SWITCH(B42, "Gelatos de Leite", 7, "Sorbets", 10, "Gelatos de Leite com Fruta", 13, "Chocolate base água", 16, "Vegano", 19, "Alcoólicos", 22, "Zero", 25, "Gelatos Proteicos", 28, 7), 8)) + (ROUND(P42,4) &gt; INDEX('Tabela de ingredientes'!$O$1:$V$30, SWITCH(B42, "Gelatos de Leite", 8, "Sorbets", 11, "Gelatos de Leite com Fruta", 14, "Chocolate base água", 17, "Vegano", 20, "Alcoólicos", 23, "Zero", 26, "Gelatos Proteicos", 29, 8), 8)) + IF(B42="Gelatos Proteicos", (ROUND(Q42,4)&lt;'Tabela de ingredientes'!$W$28)+(ROUND(Q42,4)&gt;'Tabela de ingredientes'!$W$29), 0) = 0, "Ok", "Revisar"))</f>
        <v>Revisar</v>
      </c>
    </row>
    <row r="43">
      <c r="A43" s="39" t="str">
        <f>IFERROR(__xludf.DUMMYFUNCTION("""COMPUTED_VALUE"""),"Gelato de Abóbora (Addolcire)")</f>
        <v>Gelato de Abóbora (Addolcire)</v>
      </c>
      <c r="B43" s="39" t="s">
        <v>25</v>
      </c>
      <c r="C43" s="39">
        <v>8.0</v>
      </c>
      <c r="D43" s="39">
        <v>1000.91</v>
      </c>
      <c r="E43" s="39" t="s">
        <v>161</v>
      </c>
      <c r="F43" s="69">
        <v>8.826168186949877</v>
      </c>
      <c r="G43" s="69">
        <v>0.5295700912169926</v>
      </c>
      <c r="H43" s="69">
        <v>29.657423995819443</v>
      </c>
      <c r="I43" s="59">
        <v>0.1950824749477975</v>
      </c>
      <c r="J43" s="59">
        <v>0.06878240800871208</v>
      </c>
      <c r="K43" s="59">
        <v>0.0697265488405551</v>
      </c>
      <c r="L43" s="59">
        <v>0.01819344396599095</v>
      </c>
      <c r="M43" s="59">
        <v>0.35178487576305556</v>
      </c>
      <c r="N43" s="59">
        <v>0.6482151242369445</v>
      </c>
      <c r="O43" s="39">
        <v>188.31523313784456</v>
      </c>
      <c r="P43" s="39">
        <v>252.20049754723203</v>
      </c>
      <c r="Q43" s="59">
        <v>0.029288347603680653</v>
      </c>
      <c r="R43" s="39">
        <v>10.08801990188928</v>
      </c>
      <c r="S43" s="97" t="str">
        <f t="array" ref="S43">IF(A43="","", IF( (ROUND(I43,4) &lt; INDEX('Tabela de ingredientes'!$O$1:$V$30, SWITCH(B43, "Gelatos de Leite", 7, "Sorbets", 10, "Gelatos de Leite com Fruta", 13, "Chocolate base água", 16, "Vegano", 19, "Alcoólicos", 22, "Zero", 25, "Gelatos Proteicos", 28, 7), 1)) + (ROUND(I43,4) &gt; INDEX('Tabela de ingredientes'!$O$1:$V$30, SWITCH(B43, "Gelatos de Leite", 8, "Sorbets", 11, "Gelatos de Leite com Fruta", 14, "Chocolate base água", 17, "Vegano", 20, "Alcoólicos", 23, "Zero", 26, "Gelatos Proteicos", 29, 8), 1)) + (ROUND(J43,4) &lt; INDEX('Tabela de ingredientes'!$O$1:$V$30, SWITCH(B43, "Gelatos de Leite", 7, "Sorbets", 10, "Gelatos de Leite com Fruta", 13, "Chocolate base água", 16, "Vegano", 19, "Alcoólicos", 22, "Zero", 25, "Gelatos Proteicos", 28, 7), 2)) + (ROUND(J43,4) &gt; INDEX('Tabela de ingredientes'!$O$1:$V$30, SWITCH(B43, "Gelatos de Leite", 8, "Sorbets", 11, "Gelatos de Leite com Fruta", 14, "Chocolate base água", 17, "Vegano", 20, "Alcoólicos", 23, "Zero", 26, "Gelatos Proteicos", 29, 8), 2)) + (ROUND(K43,4) &lt; INDEX('Tabela de ingredientes'!$O$1:$V$30, SWITCH(B43, "Gelatos de Leite", 7, "Sorbets", 10, "Gelatos de Leite com Fruta", 13, "Chocolate base água", 16, "Vegano", 19, "Alcoólicos", 22, "Zero", 25, "Gelatos Proteicos", 28, 7), 3)) + (ROUND(K43,4) &gt; INDEX('Tabela de ingredientes'!$O$1:$V$30, SWITCH(B43, "Gelatos de Leite", 8, "Sorbets", 11, "Gelatos de Leite com Fruta", 14, "Chocolate base água", 17, "Vegano", 20, "Alcoólicos", 23, "Zero", 26, "Gelatos Proteicos", 29, 8), 3)) + (ROUND(L43,4) &lt; INDEX('Tabela de ingredientes'!$O$1:$V$30, SWITCH(B43, "Gelatos de Leite", 7, "Sorbets", 10, "Gelatos de Leite com Fruta", 13, "Chocolate base água", 16, "Vegano", 19, "Alcoólicos", 22, "Zero", 25, "Gelatos Proteicos", 28, 7), 4)) + (ROUND(L43,4) &gt; INDEX('Tabela de ingredientes'!$O$1:$V$30, SWITCH(B43, "Gelatos de Leite", 8, "Sorbets", 11, "Gelatos de Leite com Fruta", 14, "Chocolate base água", 17, "Vegano", 20, "Alcoólicos", 23, "Zero", 26, "Gelatos Proteicos", 29, 8), 4)) + (ROUND(M43,4) &lt; INDEX('Tabela de ingredientes'!$O$1:$V$30, SWITCH(B43, "Gelatos de Leite", 7, "Sorbets", 10, "Gelatos de Leite com Fruta", 13, "Chocolate base água", 16, "Vegano", 19, "Alcoólicos", 22, "Zero", 25, "Gelatos Proteicos", 28, 7), 5)) + (ROUND(M43,4) &gt; INDEX('Tabela de ingredientes'!$O$1:$V$30, SWITCH(B43, "Gelatos de Leite", 8, "Sorbets", 11, "Gelatos de Leite com Fruta", 14, "Chocolate base água", 17, "Vegano", 20, "Alcoólicos", 23, "Zero", 26, "Gelatos Proteicos", 29, 8), 5)) + (ROUND(N43,4) &lt; INDEX('Tabela de ingredientes'!$O$1:$V$30, SWITCH(B43, "Gelatos de Leite", 7, "Sorbets", 10, "Gelatos de Leite com Fruta", 13, "Chocolate base água", 16, "Vegano", 19, "Alcoólicos", 22, "Zero", 25, "Gelatos Proteicos", 28, 7), 6)) + (ROUND(N43,4) &gt; INDEX('Tabela de ingredientes'!$O$1:$V$30, SWITCH(B43, "Gelatos de Leite", 8, "Sorbets", 11, "Gelatos de Leite com Fruta", 14, "Chocolate base água", 17, "Vegano", 20, "Alcoólicos", 23, "Zero", 26, "Gelatos Proteicos", 29, 8), 6)) + (ROUND(O43,4) &lt; INDEX('Tabela de ingredientes'!$O$1:$V$30, SWITCH(B43, "Gelatos de Leite", 7, "Sorbets", 10, "Gelatos de Leite com Fruta", 13, "Chocolate base água", 16, "Vegano", 19, "Alcoólicos", 22, "Zero", 25, "Gelatos Proteicos", 28, 7), 7)) + (ROUND(O43,4) &gt; INDEX('Tabela de ingredientes'!$O$1:$V$30, SWITCH(B43, "Gelatos de Leite", 8, "Sorbets", 11, "Gelatos de Leite com Fruta", 14, "Chocolate base água", 17, "Vegano", 20, "Alcoólicos", 23, "Zero", 26, "Gelatos Proteicos", 29, 8), 7)) + (ROUND(P43,4) &lt; INDEX('Tabela de ingredientes'!$O$1:$V$30, SWITCH(B43, "Gelatos de Leite", 7, "Sorbets", 10, "Gelatos de Leite com Fruta", 13, "Chocolate base água", 16, "Vegano", 19, "Alcoólicos", 22, "Zero", 25, "Gelatos Proteicos", 28, 7), 8)) + (ROUND(P43,4) &gt; INDEX('Tabela de ingredientes'!$O$1:$V$30, SWITCH(B43, "Gelatos de Leite", 8, "Sorbets", 11, "Gelatos de Leite com Fruta", 14, "Chocolate base água", 17, "Vegano", 20, "Alcoólicos", 23, "Zero", 26, "Gelatos Proteicos", 29, 8), 8)) + IF(B43="Gelatos Proteicos", (ROUND(Q43,4)&lt;'Tabela de ingredientes'!$W$28)+(ROUND(Q43,4)&gt;'Tabela de ingredientes'!$W$29), 0) = 0, "Ok", "Revisar"))</f>
        <v>Revisar</v>
      </c>
    </row>
    <row r="44">
      <c r="A44" s="39" t="str">
        <f>IFERROR(__xludf.DUMMYFUNCTION("""COMPUTED_VALUE"""),"Gelato de Amendoim (Addolcire)")</f>
        <v>Gelato de Amendoim (Addolcire)</v>
      </c>
      <c r="B44" s="39" t="s">
        <v>25</v>
      </c>
      <c r="C44" s="39">
        <v>8.0</v>
      </c>
      <c r="D44" s="39">
        <v>925.0</v>
      </c>
      <c r="E44" s="39" t="s">
        <v>479</v>
      </c>
      <c r="F44" s="69">
        <v>9.732324324324324</v>
      </c>
      <c r="G44" s="69">
        <v>0.5839394594594595</v>
      </c>
      <c r="H44" s="69">
        <v>30.407553248612857</v>
      </c>
      <c r="I44" s="59">
        <v>0.16654054054054054</v>
      </c>
      <c r="J44" s="59">
        <v>0.10452972972972972</v>
      </c>
      <c r="K44" s="59">
        <v>0.09894054054054054</v>
      </c>
      <c r="L44" s="59">
        <v>0.04735135135135136</v>
      </c>
      <c r="M44" s="59">
        <v>0.41736216216216215</v>
      </c>
      <c r="N44" s="59">
        <v>0.5826378378378378</v>
      </c>
      <c r="O44" s="39">
        <v>148.74940540540538</v>
      </c>
      <c r="P44" s="39">
        <v>227.95675675675676</v>
      </c>
      <c r="Q44" s="59">
        <v>0.06452972972972973</v>
      </c>
      <c r="R44" s="39">
        <v>9.118270270270271</v>
      </c>
      <c r="S44" s="97" t="str">
        <f t="array" ref="S44">IF(A44="","", IF( (ROUND(I44,4) &lt; INDEX('Tabela de ingredientes'!$O$1:$V$30, SWITCH(B44, "Gelatos de Leite", 7, "Sorbets", 10, "Gelatos de Leite com Fruta", 13, "Chocolate base água", 16, "Vegano", 19, "Alcoólicos", 22, "Zero", 25, "Gelatos Proteicos", 28, 7), 1)) + (ROUND(I44,4) &gt; INDEX('Tabela de ingredientes'!$O$1:$V$30, SWITCH(B44, "Gelatos de Leite", 8, "Sorbets", 11, "Gelatos de Leite com Fruta", 14, "Chocolate base água", 17, "Vegano", 20, "Alcoólicos", 23, "Zero", 26, "Gelatos Proteicos", 29, 8), 1)) + (ROUND(J44,4) &lt; INDEX('Tabela de ingredientes'!$O$1:$V$30, SWITCH(B44, "Gelatos de Leite", 7, "Sorbets", 10, "Gelatos de Leite com Fruta", 13, "Chocolate base água", 16, "Vegano", 19, "Alcoólicos", 22, "Zero", 25, "Gelatos Proteicos", 28, 7), 2)) + (ROUND(J44,4) &gt; INDEX('Tabela de ingredientes'!$O$1:$V$30, SWITCH(B44, "Gelatos de Leite", 8, "Sorbets", 11, "Gelatos de Leite com Fruta", 14, "Chocolate base água", 17, "Vegano", 20, "Alcoólicos", 23, "Zero", 26, "Gelatos Proteicos", 29, 8), 2)) + (ROUND(K44,4) &lt; INDEX('Tabela de ingredientes'!$O$1:$V$30, SWITCH(B44, "Gelatos de Leite", 7, "Sorbets", 10, "Gelatos de Leite com Fruta", 13, "Chocolate base água", 16, "Vegano", 19, "Alcoólicos", 22, "Zero", 25, "Gelatos Proteicos", 28, 7), 3)) + (ROUND(K44,4) &gt; INDEX('Tabela de ingredientes'!$O$1:$V$30, SWITCH(B44, "Gelatos de Leite", 8, "Sorbets", 11, "Gelatos de Leite com Fruta", 14, "Chocolate base água", 17, "Vegano", 20, "Alcoólicos", 23, "Zero", 26, "Gelatos Proteicos", 29, 8), 3)) + (ROUND(L44,4) &lt; INDEX('Tabela de ingredientes'!$O$1:$V$30, SWITCH(B44, "Gelatos de Leite", 7, "Sorbets", 10, "Gelatos de Leite com Fruta", 13, "Chocolate base água", 16, "Vegano", 19, "Alcoólicos", 22, "Zero", 25, "Gelatos Proteicos", 28, 7), 4)) + (ROUND(L44,4) &gt; INDEX('Tabela de ingredientes'!$O$1:$V$30, SWITCH(B44, "Gelatos de Leite", 8, "Sorbets", 11, "Gelatos de Leite com Fruta", 14, "Chocolate base água", 17, "Vegano", 20, "Alcoólicos", 23, "Zero", 26, "Gelatos Proteicos", 29, 8), 4)) + (ROUND(M44,4) &lt; INDEX('Tabela de ingredientes'!$O$1:$V$30, SWITCH(B44, "Gelatos de Leite", 7, "Sorbets", 10, "Gelatos de Leite com Fruta", 13, "Chocolate base água", 16, "Vegano", 19, "Alcoólicos", 22, "Zero", 25, "Gelatos Proteicos", 28, 7), 5)) + (ROUND(M44,4) &gt; INDEX('Tabela de ingredientes'!$O$1:$V$30, SWITCH(B44, "Gelatos de Leite", 8, "Sorbets", 11, "Gelatos de Leite com Fruta", 14, "Chocolate base água", 17, "Vegano", 20, "Alcoólicos", 23, "Zero", 26, "Gelatos Proteicos", 29, 8), 5)) + (ROUND(N44,4) &lt; INDEX('Tabela de ingredientes'!$O$1:$V$30, SWITCH(B44, "Gelatos de Leite", 7, "Sorbets", 10, "Gelatos de Leite com Fruta", 13, "Chocolate base água", 16, "Vegano", 19, "Alcoólicos", 22, "Zero", 25, "Gelatos Proteicos", 28, 7), 6)) + (ROUND(N44,4) &gt; INDEX('Tabela de ingredientes'!$O$1:$V$30, SWITCH(B44, "Gelatos de Leite", 8, "Sorbets", 11, "Gelatos de Leite com Fruta", 14, "Chocolate base água", 17, "Vegano", 20, "Alcoólicos", 23, "Zero", 26, "Gelatos Proteicos", 29, 8), 6)) + (ROUND(O44,4) &lt; INDEX('Tabela de ingredientes'!$O$1:$V$30, SWITCH(B44, "Gelatos de Leite", 7, "Sorbets", 10, "Gelatos de Leite com Fruta", 13, "Chocolate base água", 16, "Vegano", 19, "Alcoólicos", 22, "Zero", 25, "Gelatos Proteicos", 28, 7), 7)) + (ROUND(O44,4) &gt; INDEX('Tabela de ingredientes'!$O$1:$V$30, SWITCH(B44, "Gelatos de Leite", 8, "Sorbets", 11, "Gelatos de Leite com Fruta", 14, "Chocolate base água", 17, "Vegano", 20, "Alcoólicos", 23, "Zero", 26, "Gelatos Proteicos", 29, 8), 7)) + (ROUND(P44,4) &lt; INDEX('Tabela de ingredientes'!$O$1:$V$30, SWITCH(B44, "Gelatos de Leite", 7, "Sorbets", 10, "Gelatos de Leite com Fruta", 13, "Chocolate base água", 16, "Vegano", 19, "Alcoólicos", 22, "Zero", 25, "Gelatos Proteicos", 28, 7), 8)) + (ROUND(P44,4) &gt; INDEX('Tabela de ingredientes'!$O$1:$V$30, SWITCH(B44, "Gelatos de Leite", 8, "Sorbets", 11, "Gelatos de Leite com Fruta", 14, "Chocolate base água", 17, "Vegano", 20, "Alcoólicos", 23, "Zero", 26, "Gelatos Proteicos", 29, 8), 8)) + IF(B44="Gelatos Proteicos", (ROUND(Q44,4)&lt;'Tabela de ingredientes'!$W$28)+(ROUND(Q44,4)&gt;'Tabela de ingredientes'!$W$29), 0) = 0, "Ok", "Revisar"))</f>
        <v>Ok</v>
      </c>
    </row>
    <row r="45">
      <c r="A45" s="39" t="str">
        <f>IFERROR(__xludf.DUMMYFUNCTION("""COMPUTED_VALUE"""),"Gelato de Avelã (Addolcire)")</f>
        <v>Gelato de Avelã (Addolcire)</v>
      </c>
      <c r="B45" s="39" t="s">
        <v>25</v>
      </c>
      <c r="C45" s="39">
        <v>8.0</v>
      </c>
      <c r="D45" s="39">
        <v>940.0</v>
      </c>
      <c r="E45" s="39" t="s">
        <v>482</v>
      </c>
      <c r="F45" s="69">
        <v>27.185531914893623</v>
      </c>
      <c r="G45" s="69">
        <v>1.6311319148936174</v>
      </c>
      <c r="H45" s="69">
        <v>44.85557277722983</v>
      </c>
      <c r="I45" s="59">
        <v>0.17609574468085107</v>
      </c>
      <c r="J45" s="59">
        <v>0.11956382978723404</v>
      </c>
      <c r="K45" s="59">
        <v>0.09736170212765957</v>
      </c>
      <c r="L45" s="59">
        <v>0.03723404255319149</v>
      </c>
      <c r="M45" s="59">
        <v>0.4302553191489362</v>
      </c>
      <c r="N45" s="59">
        <v>0.5697446808510638</v>
      </c>
      <c r="O45" s="39">
        <v>165.37574468085106</v>
      </c>
      <c r="P45" s="39">
        <v>230.91489361702128</v>
      </c>
      <c r="Q45" s="59">
        <v>0.052117021276595746</v>
      </c>
      <c r="R45" s="39">
        <v>9.236595744680852</v>
      </c>
      <c r="S45" s="97" t="str">
        <f t="array" ref="S45">IF(A45="","", IF( (ROUND(I45,4) &lt; INDEX('Tabela de ingredientes'!$O$1:$V$30, SWITCH(B45, "Gelatos de Leite", 7, "Sorbets", 10, "Gelatos de Leite com Fruta", 13, "Chocolate base água", 16, "Vegano", 19, "Alcoólicos", 22, "Zero", 25, "Gelatos Proteicos", 28, 7), 1)) + (ROUND(I45,4) &gt; INDEX('Tabela de ingredientes'!$O$1:$V$30, SWITCH(B45, "Gelatos de Leite", 8, "Sorbets", 11, "Gelatos de Leite com Fruta", 14, "Chocolate base água", 17, "Vegano", 20, "Alcoólicos", 23, "Zero", 26, "Gelatos Proteicos", 29, 8), 1)) + (ROUND(J45,4) &lt; INDEX('Tabela de ingredientes'!$O$1:$V$30, SWITCH(B45, "Gelatos de Leite", 7, "Sorbets", 10, "Gelatos de Leite com Fruta", 13, "Chocolate base água", 16, "Vegano", 19, "Alcoólicos", 22, "Zero", 25, "Gelatos Proteicos", 28, 7), 2)) + (ROUND(J45,4) &gt; INDEX('Tabela de ingredientes'!$O$1:$V$30, SWITCH(B45, "Gelatos de Leite", 8, "Sorbets", 11, "Gelatos de Leite com Fruta", 14, "Chocolate base água", 17, "Vegano", 20, "Alcoólicos", 23, "Zero", 26, "Gelatos Proteicos", 29, 8), 2)) + (ROUND(K45,4) &lt; INDEX('Tabela de ingredientes'!$O$1:$V$30, SWITCH(B45, "Gelatos de Leite", 7, "Sorbets", 10, "Gelatos de Leite com Fruta", 13, "Chocolate base água", 16, "Vegano", 19, "Alcoólicos", 22, "Zero", 25, "Gelatos Proteicos", 28, 7), 3)) + (ROUND(K45,4) &gt; INDEX('Tabela de ingredientes'!$O$1:$V$30, SWITCH(B45, "Gelatos de Leite", 8, "Sorbets", 11, "Gelatos de Leite com Fruta", 14, "Chocolate base água", 17, "Vegano", 20, "Alcoólicos", 23, "Zero", 26, "Gelatos Proteicos", 29, 8), 3)) + (ROUND(L45,4) &lt; INDEX('Tabela de ingredientes'!$O$1:$V$30, SWITCH(B45, "Gelatos de Leite", 7, "Sorbets", 10, "Gelatos de Leite com Fruta", 13, "Chocolate base água", 16, "Vegano", 19, "Alcoólicos", 22, "Zero", 25, "Gelatos Proteicos", 28, 7), 4)) + (ROUND(L45,4) &gt; INDEX('Tabela de ingredientes'!$O$1:$V$30, SWITCH(B45, "Gelatos de Leite", 8, "Sorbets", 11, "Gelatos de Leite com Fruta", 14, "Chocolate base água", 17, "Vegano", 20, "Alcoólicos", 23, "Zero", 26, "Gelatos Proteicos", 29, 8), 4)) + (ROUND(M45,4) &lt; INDEX('Tabela de ingredientes'!$O$1:$V$30, SWITCH(B45, "Gelatos de Leite", 7, "Sorbets", 10, "Gelatos de Leite com Fruta", 13, "Chocolate base água", 16, "Vegano", 19, "Alcoólicos", 22, "Zero", 25, "Gelatos Proteicos", 28, 7), 5)) + (ROUND(M45,4) &gt; INDEX('Tabela de ingredientes'!$O$1:$V$30, SWITCH(B45, "Gelatos de Leite", 8, "Sorbets", 11, "Gelatos de Leite com Fruta", 14, "Chocolate base água", 17, "Vegano", 20, "Alcoólicos", 23, "Zero", 26, "Gelatos Proteicos", 29, 8), 5)) + (ROUND(N45,4) &lt; INDEX('Tabela de ingredientes'!$O$1:$V$30, SWITCH(B45, "Gelatos de Leite", 7, "Sorbets", 10, "Gelatos de Leite com Fruta", 13, "Chocolate base água", 16, "Vegano", 19, "Alcoólicos", 22, "Zero", 25, "Gelatos Proteicos", 28, 7), 6)) + (ROUND(N45,4) &gt; INDEX('Tabela de ingredientes'!$O$1:$V$30, SWITCH(B45, "Gelatos de Leite", 8, "Sorbets", 11, "Gelatos de Leite com Fruta", 14, "Chocolate base água", 17, "Vegano", 20, "Alcoólicos", 23, "Zero", 26, "Gelatos Proteicos", 29, 8), 6)) + (ROUND(O45,4) &lt; INDEX('Tabela de ingredientes'!$O$1:$V$30, SWITCH(B45, "Gelatos de Leite", 7, "Sorbets", 10, "Gelatos de Leite com Fruta", 13, "Chocolate base água", 16, "Vegano", 19, "Alcoólicos", 22, "Zero", 25, "Gelatos Proteicos", 28, 7), 7)) + (ROUND(O45,4) &gt; INDEX('Tabela de ingredientes'!$O$1:$V$30, SWITCH(B45, "Gelatos de Leite", 8, "Sorbets", 11, "Gelatos de Leite com Fruta", 14, "Chocolate base água", 17, "Vegano", 20, "Alcoólicos", 23, "Zero", 26, "Gelatos Proteicos", 29, 8), 7)) + (ROUND(P45,4) &lt; INDEX('Tabela de ingredientes'!$O$1:$V$30, SWITCH(B45, "Gelatos de Leite", 7, "Sorbets", 10, "Gelatos de Leite com Fruta", 13, "Chocolate base água", 16, "Vegano", 19, "Alcoólicos", 22, "Zero", 25, "Gelatos Proteicos", 28, 7), 8)) + (ROUND(P45,4) &gt; INDEX('Tabela de ingredientes'!$O$1:$V$30, SWITCH(B45, "Gelatos de Leite", 8, "Sorbets", 11, "Gelatos de Leite com Fruta", 14, "Chocolate base água", 17, "Vegano", 20, "Alcoólicos", 23, "Zero", 26, "Gelatos Proteicos", 29, 8), 8)) + IF(B45="Gelatos Proteicos", (ROUND(Q45,4)&lt;'Tabela de ingredientes'!$W$28)+(ROUND(Q45,4)&gt;'Tabela de ingredientes'!$W$29), 0) = 0, "Ok", "Revisar"))</f>
        <v>Revisar</v>
      </c>
    </row>
    <row r="46">
      <c r="A46" s="39" t="str">
        <f>IFERROR(__xludf.DUMMYFUNCTION("""COMPUTED_VALUE"""),"Gelato de Beijinho (Addolcire)")</f>
        <v>Gelato de Beijinho (Addolcire)</v>
      </c>
      <c r="B46" s="39" t="s">
        <v>25</v>
      </c>
      <c r="C46" s="39">
        <v>10.0</v>
      </c>
      <c r="D46" s="39">
        <v>1108.0</v>
      </c>
      <c r="E46" s="39" t="s">
        <v>484</v>
      </c>
      <c r="F46" s="69">
        <v>11.459566787003611</v>
      </c>
      <c r="G46" s="69">
        <v>0.6875740072202167</v>
      </c>
      <c r="H46" s="69">
        <v>31.837389724340742</v>
      </c>
      <c r="I46" s="59">
        <v>0.16762635379061375</v>
      </c>
      <c r="J46" s="59">
        <v>0.11277527075812274</v>
      </c>
      <c r="K46" s="59">
        <v>0.0682797833935018</v>
      </c>
      <c r="L46" s="59">
        <v>0.015953068592057765</v>
      </c>
      <c r="M46" s="59">
        <v>0.3646344765342961</v>
      </c>
      <c r="N46" s="59">
        <v>0.6353655234657039</v>
      </c>
      <c r="O46" s="39">
        <v>154.0176895306859</v>
      </c>
      <c r="P46" s="39">
        <v>236.30866425992784</v>
      </c>
      <c r="Q46" s="59">
        <v>0.0320442238267148</v>
      </c>
      <c r="R46" s="39">
        <v>9.452346570397113</v>
      </c>
      <c r="S46" s="97" t="str">
        <f t="array" ref="S46">IF(A46="","", IF( (ROUND(I46,4) &lt; INDEX('Tabela de ingredientes'!$O$1:$V$30, SWITCH(B46, "Gelatos de Leite", 7, "Sorbets", 10, "Gelatos de Leite com Fruta", 13, "Chocolate base água", 16, "Vegano", 19, "Alcoólicos", 22, "Zero", 25, "Gelatos Proteicos", 28, 7), 1)) + (ROUND(I46,4) &gt; INDEX('Tabela de ingredientes'!$O$1:$V$30, SWITCH(B46, "Gelatos de Leite", 8, "Sorbets", 11, "Gelatos de Leite com Fruta", 14, "Chocolate base água", 17, "Vegano", 20, "Alcoólicos", 23, "Zero", 26, "Gelatos Proteicos", 29, 8), 1)) + (ROUND(J46,4) &lt; INDEX('Tabela de ingredientes'!$O$1:$V$30, SWITCH(B46, "Gelatos de Leite", 7, "Sorbets", 10, "Gelatos de Leite com Fruta", 13, "Chocolate base água", 16, "Vegano", 19, "Alcoólicos", 22, "Zero", 25, "Gelatos Proteicos", 28, 7), 2)) + (ROUND(J46,4) &gt; INDEX('Tabela de ingredientes'!$O$1:$V$30, SWITCH(B46, "Gelatos de Leite", 8, "Sorbets", 11, "Gelatos de Leite com Fruta", 14, "Chocolate base água", 17, "Vegano", 20, "Alcoólicos", 23, "Zero", 26, "Gelatos Proteicos", 29, 8), 2)) + (ROUND(K46,4) &lt; INDEX('Tabela de ingredientes'!$O$1:$V$30, SWITCH(B46, "Gelatos de Leite", 7, "Sorbets", 10, "Gelatos de Leite com Fruta", 13, "Chocolate base água", 16, "Vegano", 19, "Alcoólicos", 22, "Zero", 25, "Gelatos Proteicos", 28, 7), 3)) + (ROUND(K46,4) &gt; INDEX('Tabela de ingredientes'!$O$1:$V$30, SWITCH(B46, "Gelatos de Leite", 8, "Sorbets", 11, "Gelatos de Leite com Fruta", 14, "Chocolate base água", 17, "Vegano", 20, "Alcoólicos", 23, "Zero", 26, "Gelatos Proteicos", 29, 8), 3)) + (ROUND(L46,4) &lt; INDEX('Tabela de ingredientes'!$O$1:$V$30, SWITCH(B46, "Gelatos de Leite", 7, "Sorbets", 10, "Gelatos de Leite com Fruta", 13, "Chocolate base água", 16, "Vegano", 19, "Alcoólicos", 22, "Zero", 25, "Gelatos Proteicos", 28, 7), 4)) + (ROUND(L46,4) &gt; INDEX('Tabela de ingredientes'!$O$1:$V$30, SWITCH(B46, "Gelatos de Leite", 8, "Sorbets", 11, "Gelatos de Leite com Fruta", 14, "Chocolate base água", 17, "Vegano", 20, "Alcoólicos", 23, "Zero", 26, "Gelatos Proteicos", 29, 8), 4)) + (ROUND(M46,4) &lt; INDEX('Tabela de ingredientes'!$O$1:$V$30, SWITCH(B46, "Gelatos de Leite", 7, "Sorbets", 10, "Gelatos de Leite com Fruta", 13, "Chocolate base água", 16, "Vegano", 19, "Alcoólicos", 22, "Zero", 25, "Gelatos Proteicos", 28, 7), 5)) + (ROUND(M46,4) &gt; INDEX('Tabela de ingredientes'!$O$1:$V$30, SWITCH(B46, "Gelatos de Leite", 8, "Sorbets", 11, "Gelatos de Leite com Fruta", 14, "Chocolate base água", 17, "Vegano", 20, "Alcoólicos", 23, "Zero", 26, "Gelatos Proteicos", 29, 8), 5)) + (ROUND(N46,4) &lt; INDEX('Tabela de ingredientes'!$O$1:$V$30, SWITCH(B46, "Gelatos de Leite", 7, "Sorbets", 10, "Gelatos de Leite com Fruta", 13, "Chocolate base água", 16, "Vegano", 19, "Alcoólicos", 22, "Zero", 25, "Gelatos Proteicos", 28, 7), 6)) + (ROUND(N46,4) &gt; INDEX('Tabela de ingredientes'!$O$1:$V$30, SWITCH(B46, "Gelatos de Leite", 8, "Sorbets", 11, "Gelatos de Leite com Fruta", 14, "Chocolate base água", 17, "Vegano", 20, "Alcoólicos", 23, "Zero", 26, "Gelatos Proteicos", 29, 8), 6)) + (ROUND(O46,4) &lt; INDEX('Tabela de ingredientes'!$O$1:$V$30, SWITCH(B46, "Gelatos de Leite", 7, "Sorbets", 10, "Gelatos de Leite com Fruta", 13, "Chocolate base água", 16, "Vegano", 19, "Alcoólicos", 22, "Zero", 25, "Gelatos Proteicos", 28, 7), 7)) + (ROUND(O46,4) &gt; INDEX('Tabela de ingredientes'!$O$1:$V$30, SWITCH(B46, "Gelatos de Leite", 8, "Sorbets", 11, "Gelatos de Leite com Fruta", 14, "Chocolate base água", 17, "Vegano", 20, "Alcoólicos", 23, "Zero", 26, "Gelatos Proteicos", 29, 8), 7)) + (ROUND(P46,4) &lt; INDEX('Tabela de ingredientes'!$O$1:$V$30, SWITCH(B46, "Gelatos de Leite", 7, "Sorbets", 10, "Gelatos de Leite com Fruta", 13, "Chocolate base água", 16, "Vegano", 19, "Alcoólicos", 22, "Zero", 25, "Gelatos Proteicos", 28, 7), 8)) + (ROUND(P46,4) &gt; INDEX('Tabela de ingredientes'!$O$1:$V$30, SWITCH(B46, "Gelatos de Leite", 8, "Sorbets", 11, "Gelatos de Leite com Fruta", 14, "Chocolate base água", 17, "Vegano", 20, "Alcoólicos", 23, "Zero", 26, "Gelatos Proteicos", 29, 8), 8)) + IF(B46="Gelatos Proteicos", (ROUND(Q46,4)&lt;'Tabela de ingredientes'!$W$28)+(ROUND(Q46,4)&gt;'Tabela de ingredientes'!$W$29), 0) = 0, "Ok", "Revisar"))</f>
        <v>Revisar</v>
      </c>
    </row>
    <row r="47">
      <c r="A47" s="39" t="str">
        <f>IFERROR(__xludf.DUMMYFUNCTION("""COMPUTED_VALUE"""),"Gelato de Baba de Moça (Addolcire)")</f>
        <v>Gelato de Baba de Moça (Addolcire)</v>
      </c>
      <c r="B47" s="39" t="s">
        <v>25</v>
      </c>
      <c r="C47" s="39">
        <v>10.0</v>
      </c>
      <c r="D47" s="39">
        <v>965.0</v>
      </c>
      <c r="E47" s="39" t="s">
        <v>487</v>
      </c>
      <c r="F47" s="69">
        <v>10.558549222797927</v>
      </c>
      <c r="G47" s="69">
        <v>0.6335129533678756</v>
      </c>
      <c r="H47" s="69">
        <v>31.09151425728306</v>
      </c>
      <c r="I47" s="59">
        <v>0.20701761658031087</v>
      </c>
      <c r="J47" s="59">
        <v>0.07756476683937823</v>
      </c>
      <c r="K47" s="59">
        <v>0.06324352331606217</v>
      </c>
      <c r="L47" s="59">
        <v>0.02927979274611399</v>
      </c>
      <c r="M47" s="59">
        <v>0.3771056994818653</v>
      </c>
      <c r="N47" s="59">
        <v>0.6228943005181347</v>
      </c>
      <c r="O47" s="39">
        <v>202.9081865284974</v>
      </c>
      <c r="P47" s="39">
        <v>270.8103626943005</v>
      </c>
      <c r="Q47" s="59">
        <v>0.041496373056994815</v>
      </c>
      <c r="R47" s="39">
        <v>10.832414507772022</v>
      </c>
      <c r="S47" s="97" t="str">
        <f t="array" ref="S47">IF(A47="","", IF( (ROUND(I47,4) &lt; INDEX('Tabela de ingredientes'!$O$1:$V$30, SWITCH(B47, "Gelatos de Leite", 7, "Sorbets", 10, "Gelatos de Leite com Fruta", 13, "Chocolate base água", 16, "Vegano", 19, "Alcoólicos", 22, "Zero", 25, "Gelatos Proteicos", 28, 7), 1)) + (ROUND(I47,4) &gt; INDEX('Tabela de ingredientes'!$O$1:$V$30, SWITCH(B47, "Gelatos de Leite", 8, "Sorbets", 11, "Gelatos de Leite com Fruta", 14, "Chocolate base água", 17, "Vegano", 20, "Alcoólicos", 23, "Zero", 26, "Gelatos Proteicos", 29, 8), 1)) + (ROUND(J47,4) &lt; INDEX('Tabela de ingredientes'!$O$1:$V$30, SWITCH(B47, "Gelatos de Leite", 7, "Sorbets", 10, "Gelatos de Leite com Fruta", 13, "Chocolate base água", 16, "Vegano", 19, "Alcoólicos", 22, "Zero", 25, "Gelatos Proteicos", 28, 7), 2)) + (ROUND(J47,4) &gt; INDEX('Tabela de ingredientes'!$O$1:$V$30, SWITCH(B47, "Gelatos de Leite", 8, "Sorbets", 11, "Gelatos de Leite com Fruta", 14, "Chocolate base água", 17, "Vegano", 20, "Alcoólicos", 23, "Zero", 26, "Gelatos Proteicos", 29, 8), 2)) + (ROUND(K47,4) &lt; INDEX('Tabela de ingredientes'!$O$1:$V$30, SWITCH(B47, "Gelatos de Leite", 7, "Sorbets", 10, "Gelatos de Leite com Fruta", 13, "Chocolate base água", 16, "Vegano", 19, "Alcoólicos", 22, "Zero", 25, "Gelatos Proteicos", 28, 7), 3)) + (ROUND(K47,4) &gt; INDEX('Tabela de ingredientes'!$O$1:$V$30, SWITCH(B47, "Gelatos de Leite", 8, "Sorbets", 11, "Gelatos de Leite com Fruta", 14, "Chocolate base água", 17, "Vegano", 20, "Alcoólicos", 23, "Zero", 26, "Gelatos Proteicos", 29, 8), 3)) + (ROUND(L47,4) &lt; INDEX('Tabela de ingredientes'!$O$1:$V$30, SWITCH(B47, "Gelatos de Leite", 7, "Sorbets", 10, "Gelatos de Leite com Fruta", 13, "Chocolate base água", 16, "Vegano", 19, "Alcoólicos", 22, "Zero", 25, "Gelatos Proteicos", 28, 7), 4)) + (ROUND(L47,4) &gt; INDEX('Tabela de ingredientes'!$O$1:$V$30, SWITCH(B47, "Gelatos de Leite", 8, "Sorbets", 11, "Gelatos de Leite com Fruta", 14, "Chocolate base água", 17, "Vegano", 20, "Alcoólicos", 23, "Zero", 26, "Gelatos Proteicos", 29, 8), 4)) + (ROUND(M47,4) &lt; INDEX('Tabela de ingredientes'!$O$1:$V$30, SWITCH(B47, "Gelatos de Leite", 7, "Sorbets", 10, "Gelatos de Leite com Fruta", 13, "Chocolate base água", 16, "Vegano", 19, "Alcoólicos", 22, "Zero", 25, "Gelatos Proteicos", 28, 7), 5)) + (ROUND(M47,4) &gt; INDEX('Tabela de ingredientes'!$O$1:$V$30, SWITCH(B47, "Gelatos de Leite", 8, "Sorbets", 11, "Gelatos de Leite com Fruta", 14, "Chocolate base água", 17, "Vegano", 20, "Alcoólicos", 23, "Zero", 26, "Gelatos Proteicos", 29, 8), 5)) + (ROUND(N47,4) &lt; INDEX('Tabela de ingredientes'!$O$1:$V$30, SWITCH(B47, "Gelatos de Leite", 7, "Sorbets", 10, "Gelatos de Leite com Fruta", 13, "Chocolate base água", 16, "Vegano", 19, "Alcoólicos", 22, "Zero", 25, "Gelatos Proteicos", 28, 7), 6)) + (ROUND(N47,4) &gt; INDEX('Tabela de ingredientes'!$O$1:$V$30, SWITCH(B47, "Gelatos de Leite", 8, "Sorbets", 11, "Gelatos de Leite com Fruta", 14, "Chocolate base água", 17, "Vegano", 20, "Alcoólicos", 23, "Zero", 26, "Gelatos Proteicos", 29, 8), 6)) + (ROUND(O47,4) &lt; INDEX('Tabela de ingredientes'!$O$1:$V$30, SWITCH(B47, "Gelatos de Leite", 7, "Sorbets", 10, "Gelatos de Leite com Fruta", 13, "Chocolate base água", 16, "Vegano", 19, "Alcoólicos", 22, "Zero", 25, "Gelatos Proteicos", 28, 7), 7)) + (ROUND(O47,4) &gt; INDEX('Tabela de ingredientes'!$O$1:$V$30, SWITCH(B47, "Gelatos de Leite", 8, "Sorbets", 11, "Gelatos de Leite com Fruta", 14, "Chocolate base água", 17, "Vegano", 20, "Alcoólicos", 23, "Zero", 26, "Gelatos Proteicos", 29, 8), 7)) + (ROUND(P47,4) &lt; INDEX('Tabela de ingredientes'!$O$1:$V$30, SWITCH(B47, "Gelatos de Leite", 7, "Sorbets", 10, "Gelatos de Leite com Fruta", 13, "Chocolate base água", 16, "Vegano", 19, "Alcoólicos", 22, "Zero", 25, "Gelatos Proteicos", 28, 7), 8)) + (ROUND(P47,4) &gt; INDEX('Tabela de ingredientes'!$O$1:$V$30, SWITCH(B47, "Gelatos de Leite", 8, "Sorbets", 11, "Gelatos de Leite com Fruta", 14, "Chocolate base água", 17, "Vegano", 20, "Alcoólicos", 23, "Zero", 26, "Gelatos Proteicos", 29, 8), 8)) + IF(B47="Gelatos Proteicos", (ROUND(Q47,4)&lt;'Tabela de ingredientes'!$W$28)+(ROUND(Q47,4)&gt;'Tabela de ingredientes'!$W$29), 0) = 0, "Ok", "Revisar"))</f>
        <v>Revisar</v>
      </c>
    </row>
    <row r="48">
      <c r="A48" s="39" t="str">
        <f>IFERROR(__xludf.DUMMYFUNCTION("""COMPUTED_VALUE"""),"Gelato de Bolo de Cenoura (Addolcire)")</f>
        <v>Gelato de Bolo de Cenoura (Addolcire)</v>
      </c>
      <c r="B48" s="39" t="s">
        <v>25</v>
      </c>
      <c r="C48" s="39">
        <v>8.0</v>
      </c>
      <c r="D48" s="39">
        <v>927.0</v>
      </c>
      <c r="E48" s="39" t="s">
        <v>490</v>
      </c>
      <c r="F48" s="69">
        <v>13.423085221143474</v>
      </c>
      <c r="G48" s="69">
        <v>0.8053851132686084</v>
      </c>
      <c r="H48" s="69">
        <v>33.46281889167507</v>
      </c>
      <c r="I48" s="59">
        <v>0.2065264293419633</v>
      </c>
      <c r="J48" s="59">
        <v>0.11258899676375403</v>
      </c>
      <c r="K48" s="59">
        <v>0.08663430420711975</v>
      </c>
      <c r="L48" s="59">
        <v>0.009169363538295576</v>
      </c>
      <c r="M48" s="59">
        <v>0.4149190938511326</v>
      </c>
      <c r="N48" s="59">
        <v>0.5850809061488673</v>
      </c>
      <c r="O48" s="39">
        <v>184.2269687162891</v>
      </c>
      <c r="P48" s="39">
        <v>287.1251348435814</v>
      </c>
      <c r="Q48" s="59">
        <v>0.03407551240560949</v>
      </c>
      <c r="R48" s="39">
        <v>11.485005393743256</v>
      </c>
      <c r="S48" s="97" t="str">
        <f t="array" ref="S48">IF(A48="","", IF( (ROUND(I48,4) &lt; INDEX('Tabela de ingredientes'!$O$1:$V$30, SWITCH(B48, "Gelatos de Leite", 7, "Sorbets", 10, "Gelatos de Leite com Fruta", 13, "Chocolate base água", 16, "Vegano", 19, "Alcoólicos", 22, "Zero", 25, "Gelatos Proteicos", 28, 7), 1)) + (ROUND(I48,4) &gt; INDEX('Tabela de ingredientes'!$O$1:$V$30, SWITCH(B48, "Gelatos de Leite", 8, "Sorbets", 11, "Gelatos de Leite com Fruta", 14, "Chocolate base água", 17, "Vegano", 20, "Alcoólicos", 23, "Zero", 26, "Gelatos Proteicos", 29, 8), 1)) + (ROUND(J48,4) &lt; INDEX('Tabela de ingredientes'!$O$1:$V$30, SWITCH(B48, "Gelatos de Leite", 7, "Sorbets", 10, "Gelatos de Leite com Fruta", 13, "Chocolate base água", 16, "Vegano", 19, "Alcoólicos", 22, "Zero", 25, "Gelatos Proteicos", 28, 7), 2)) + (ROUND(J48,4) &gt; INDEX('Tabela de ingredientes'!$O$1:$V$30, SWITCH(B48, "Gelatos de Leite", 8, "Sorbets", 11, "Gelatos de Leite com Fruta", 14, "Chocolate base água", 17, "Vegano", 20, "Alcoólicos", 23, "Zero", 26, "Gelatos Proteicos", 29, 8), 2)) + (ROUND(K48,4) &lt; INDEX('Tabela de ingredientes'!$O$1:$V$30, SWITCH(B48, "Gelatos de Leite", 7, "Sorbets", 10, "Gelatos de Leite com Fruta", 13, "Chocolate base água", 16, "Vegano", 19, "Alcoólicos", 22, "Zero", 25, "Gelatos Proteicos", 28, 7), 3)) + (ROUND(K48,4) &gt; INDEX('Tabela de ingredientes'!$O$1:$V$30, SWITCH(B48, "Gelatos de Leite", 8, "Sorbets", 11, "Gelatos de Leite com Fruta", 14, "Chocolate base água", 17, "Vegano", 20, "Alcoólicos", 23, "Zero", 26, "Gelatos Proteicos", 29, 8), 3)) + (ROUND(L48,4) &lt; INDEX('Tabela de ingredientes'!$O$1:$V$30, SWITCH(B48, "Gelatos de Leite", 7, "Sorbets", 10, "Gelatos de Leite com Fruta", 13, "Chocolate base água", 16, "Vegano", 19, "Alcoólicos", 22, "Zero", 25, "Gelatos Proteicos", 28, 7), 4)) + (ROUND(L48,4) &gt; INDEX('Tabela de ingredientes'!$O$1:$V$30, SWITCH(B48, "Gelatos de Leite", 8, "Sorbets", 11, "Gelatos de Leite com Fruta", 14, "Chocolate base água", 17, "Vegano", 20, "Alcoólicos", 23, "Zero", 26, "Gelatos Proteicos", 29, 8), 4)) + (ROUND(M48,4) &lt; INDEX('Tabela de ingredientes'!$O$1:$V$30, SWITCH(B48, "Gelatos de Leite", 7, "Sorbets", 10, "Gelatos de Leite com Fruta", 13, "Chocolate base água", 16, "Vegano", 19, "Alcoólicos", 22, "Zero", 25, "Gelatos Proteicos", 28, 7), 5)) + (ROUND(M48,4) &gt; INDEX('Tabela de ingredientes'!$O$1:$V$30, SWITCH(B48, "Gelatos de Leite", 8, "Sorbets", 11, "Gelatos de Leite com Fruta", 14, "Chocolate base água", 17, "Vegano", 20, "Alcoólicos", 23, "Zero", 26, "Gelatos Proteicos", 29, 8), 5)) + (ROUND(N48,4) &lt; INDEX('Tabela de ingredientes'!$O$1:$V$30, SWITCH(B48, "Gelatos de Leite", 7, "Sorbets", 10, "Gelatos de Leite com Fruta", 13, "Chocolate base água", 16, "Vegano", 19, "Alcoólicos", 22, "Zero", 25, "Gelatos Proteicos", 28, 7), 6)) + (ROUND(N48,4) &gt; INDEX('Tabela de ingredientes'!$O$1:$V$30, SWITCH(B48, "Gelatos de Leite", 8, "Sorbets", 11, "Gelatos de Leite com Fruta", 14, "Chocolate base água", 17, "Vegano", 20, "Alcoólicos", 23, "Zero", 26, "Gelatos Proteicos", 29, 8), 6)) + (ROUND(O48,4) &lt; INDEX('Tabela de ingredientes'!$O$1:$V$30, SWITCH(B48, "Gelatos de Leite", 7, "Sorbets", 10, "Gelatos de Leite com Fruta", 13, "Chocolate base água", 16, "Vegano", 19, "Alcoólicos", 22, "Zero", 25, "Gelatos Proteicos", 28, 7), 7)) + (ROUND(O48,4) &gt; INDEX('Tabela de ingredientes'!$O$1:$V$30, SWITCH(B48, "Gelatos de Leite", 8, "Sorbets", 11, "Gelatos de Leite com Fruta", 14, "Chocolate base água", 17, "Vegano", 20, "Alcoólicos", 23, "Zero", 26, "Gelatos Proteicos", 29, 8), 7)) + (ROUND(P48,4) &lt; INDEX('Tabela de ingredientes'!$O$1:$V$30, SWITCH(B48, "Gelatos de Leite", 7, "Sorbets", 10, "Gelatos de Leite com Fruta", 13, "Chocolate base água", 16, "Vegano", 19, "Alcoólicos", 22, "Zero", 25, "Gelatos Proteicos", 28, 7), 8)) + (ROUND(P48,4) &gt; INDEX('Tabela de ingredientes'!$O$1:$V$30, SWITCH(B48, "Gelatos de Leite", 8, "Sorbets", 11, "Gelatos de Leite com Fruta", 14, "Chocolate base água", 17, "Vegano", 20, "Alcoólicos", 23, "Zero", 26, "Gelatos Proteicos", 29, 8), 8)) + IF(B48="Gelatos Proteicos", (ROUND(Q48,4)&lt;'Tabela de ingredientes'!$W$28)+(ROUND(Q48,4)&gt;'Tabela de ingredientes'!$W$29), 0) = 0, "Ok", "Revisar"))</f>
        <v>Ok</v>
      </c>
    </row>
    <row r="49">
      <c r="A49" s="39" t="str">
        <f>IFERROR(__xludf.DUMMYFUNCTION("""COMPUTED_VALUE"""),"Gelato de Brie e Damasco (Addolcire)")</f>
        <v>Gelato de Brie e Damasco (Addolcire)</v>
      </c>
      <c r="B49" s="39" t="s">
        <v>25</v>
      </c>
      <c r="C49" s="39">
        <v>8.0</v>
      </c>
      <c r="D49" s="39">
        <v>943.0</v>
      </c>
      <c r="E49" s="39" t="s">
        <v>492</v>
      </c>
      <c r="F49" s="69">
        <v>23.82757158006363</v>
      </c>
      <c r="G49" s="69">
        <v>1.4296542948038178</v>
      </c>
      <c r="H49" s="69">
        <v>42.075804288132154</v>
      </c>
      <c r="I49" s="59">
        <v>0.20811240721102864</v>
      </c>
      <c r="J49" s="59">
        <v>0.09572110286320257</v>
      </c>
      <c r="K49" s="59">
        <v>0.10382820784729586</v>
      </c>
      <c r="L49" s="59">
        <v>0.0042417815482502655</v>
      </c>
      <c r="M49" s="59">
        <v>0.41190349946977733</v>
      </c>
      <c r="N49" s="59">
        <v>0.5880965005302227</v>
      </c>
      <c r="O49" s="39">
        <v>196.5240721102863</v>
      </c>
      <c r="P49" s="39">
        <v>269.52279957582186</v>
      </c>
      <c r="Q49" s="59">
        <v>0.05951749734888653</v>
      </c>
      <c r="R49" s="39">
        <v>10.780911983032874</v>
      </c>
      <c r="S49" s="97" t="str">
        <f t="array" ref="S49">IF(A49="","", IF( (ROUND(I49,4) &lt; INDEX('Tabela de ingredientes'!$O$1:$V$30, SWITCH(B49, "Gelatos de Leite", 7, "Sorbets", 10, "Gelatos de Leite com Fruta", 13, "Chocolate base água", 16, "Vegano", 19, "Alcoólicos", 22, "Zero", 25, "Gelatos Proteicos", 28, 7), 1)) + (ROUND(I49,4) &gt; INDEX('Tabela de ingredientes'!$O$1:$V$30, SWITCH(B49, "Gelatos de Leite", 8, "Sorbets", 11, "Gelatos de Leite com Fruta", 14, "Chocolate base água", 17, "Vegano", 20, "Alcoólicos", 23, "Zero", 26, "Gelatos Proteicos", 29, 8), 1)) + (ROUND(J49,4) &lt; INDEX('Tabela de ingredientes'!$O$1:$V$30, SWITCH(B49, "Gelatos de Leite", 7, "Sorbets", 10, "Gelatos de Leite com Fruta", 13, "Chocolate base água", 16, "Vegano", 19, "Alcoólicos", 22, "Zero", 25, "Gelatos Proteicos", 28, 7), 2)) + (ROUND(J49,4) &gt; INDEX('Tabela de ingredientes'!$O$1:$V$30, SWITCH(B49, "Gelatos de Leite", 8, "Sorbets", 11, "Gelatos de Leite com Fruta", 14, "Chocolate base água", 17, "Vegano", 20, "Alcoólicos", 23, "Zero", 26, "Gelatos Proteicos", 29, 8), 2)) + (ROUND(K49,4) &lt; INDEX('Tabela de ingredientes'!$O$1:$V$30, SWITCH(B49, "Gelatos de Leite", 7, "Sorbets", 10, "Gelatos de Leite com Fruta", 13, "Chocolate base água", 16, "Vegano", 19, "Alcoólicos", 22, "Zero", 25, "Gelatos Proteicos", 28, 7), 3)) + (ROUND(K49,4) &gt; INDEX('Tabela de ingredientes'!$O$1:$V$30, SWITCH(B49, "Gelatos de Leite", 8, "Sorbets", 11, "Gelatos de Leite com Fruta", 14, "Chocolate base água", 17, "Vegano", 20, "Alcoólicos", 23, "Zero", 26, "Gelatos Proteicos", 29, 8), 3)) + (ROUND(L49,4) &lt; INDEX('Tabela de ingredientes'!$O$1:$V$30, SWITCH(B49, "Gelatos de Leite", 7, "Sorbets", 10, "Gelatos de Leite com Fruta", 13, "Chocolate base água", 16, "Vegano", 19, "Alcoólicos", 22, "Zero", 25, "Gelatos Proteicos", 28, 7), 4)) + (ROUND(L49,4) &gt; INDEX('Tabela de ingredientes'!$O$1:$V$30, SWITCH(B49, "Gelatos de Leite", 8, "Sorbets", 11, "Gelatos de Leite com Fruta", 14, "Chocolate base água", 17, "Vegano", 20, "Alcoólicos", 23, "Zero", 26, "Gelatos Proteicos", 29, 8), 4)) + (ROUND(M49,4) &lt; INDEX('Tabela de ingredientes'!$O$1:$V$30, SWITCH(B49, "Gelatos de Leite", 7, "Sorbets", 10, "Gelatos de Leite com Fruta", 13, "Chocolate base água", 16, "Vegano", 19, "Alcoólicos", 22, "Zero", 25, "Gelatos Proteicos", 28, 7), 5)) + (ROUND(M49,4) &gt; INDEX('Tabela de ingredientes'!$O$1:$V$30, SWITCH(B49, "Gelatos de Leite", 8, "Sorbets", 11, "Gelatos de Leite com Fruta", 14, "Chocolate base água", 17, "Vegano", 20, "Alcoólicos", 23, "Zero", 26, "Gelatos Proteicos", 29, 8), 5)) + (ROUND(N49,4) &lt; INDEX('Tabela de ingredientes'!$O$1:$V$30, SWITCH(B49, "Gelatos de Leite", 7, "Sorbets", 10, "Gelatos de Leite com Fruta", 13, "Chocolate base água", 16, "Vegano", 19, "Alcoólicos", 22, "Zero", 25, "Gelatos Proteicos", 28, 7), 6)) + (ROUND(N49,4) &gt; INDEX('Tabela de ingredientes'!$O$1:$V$30, SWITCH(B49, "Gelatos de Leite", 8, "Sorbets", 11, "Gelatos de Leite com Fruta", 14, "Chocolate base água", 17, "Vegano", 20, "Alcoólicos", 23, "Zero", 26, "Gelatos Proteicos", 29, 8), 6)) + (ROUND(O49,4) &lt; INDEX('Tabela de ingredientes'!$O$1:$V$30, SWITCH(B49, "Gelatos de Leite", 7, "Sorbets", 10, "Gelatos de Leite com Fruta", 13, "Chocolate base água", 16, "Vegano", 19, "Alcoólicos", 22, "Zero", 25, "Gelatos Proteicos", 28, 7), 7)) + (ROUND(O49,4) &gt; INDEX('Tabela de ingredientes'!$O$1:$V$30, SWITCH(B49, "Gelatos de Leite", 8, "Sorbets", 11, "Gelatos de Leite com Fruta", 14, "Chocolate base água", 17, "Vegano", 20, "Alcoólicos", 23, "Zero", 26, "Gelatos Proteicos", 29, 8), 7)) + (ROUND(P49,4) &lt; INDEX('Tabela de ingredientes'!$O$1:$V$30, SWITCH(B49, "Gelatos de Leite", 7, "Sorbets", 10, "Gelatos de Leite com Fruta", 13, "Chocolate base água", 16, "Vegano", 19, "Alcoólicos", 22, "Zero", 25, "Gelatos Proteicos", 28, 7), 8)) + (ROUND(P49,4) &gt; INDEX('Tabela de ingredientes'!$O$1:$V$30, SWITCH(B49, "Gelatos de Leite", 8, "Sorbets", 11, "Gelatos de Leite com Fruta", 14, "Chocolate base água", 17, "Vegano", 20, "Alcoólicos", 23, "Zero", 26, "Gelatos Proteicos", 29, 8), 8)) + IF(B49="Gelatos Proteicos", (ROUND(Q49,4)&lt;'Tabela de ingredientes'!$W$28)+(ROUND(Q49,4)&gt;'Tabela de ingredientes'!$W$29), 0) = 0, "Ok", "Revisar"))</f>
        <v>Ok</v>
      </c>
    </row>
    <row r="50">
      <c r="A50" s="39" t="str">
        <f>IFERROR(__xludf.DUMMYFUNCTION("""COMPUTED_VALUE"""),"Gelato de Brigadeiro (Addolcire)")</f>
        <v>Gelato de Brigadeiro (Addolcire)</v>
      </c>
      <c r="B50" s="39" t="s">
        <v>25</v>
      </c>
      <c r="C50" s="39">
        <v>9.0</v>
      </c>
      <c r="D50" s="39">
        <v>953.0</v>
      </c>
      <c r="E50" s="39" t="s">
        <v>495</v>
      </c>
      <c r="F50" s="69">
        <v>25.725288562434415</v>
      </c>
      <c r="G50" s="69">
        <v>1.5435173137460647</v>
      </c>
      <c r="H50" s="69">
        <v>43.646762054995385</v>
      </c>
      <c r="I50" s="59">
        <v>0.19585519412381952</v>
      </c>
      <c r="J50" s="59">
        <v>0.10371983210912906</v>
      </c>
      <c r="K50" s="59">
        <v>0.08890870933892968</v>
      </c>
      <c r="L50" s="59">
        <v>0.04837355718782791</v>
      </c>
      <c r="M50" s="59">
        <v>0.4368572927597062</v>
      </c>
      <c r="N50" s="59">
        <v>0.5631427072402938</v>
      </c>
      <c r="O50" s="39">
        <v>178.25876180482686</v>
      </c>
      <c r="P50" s="39">
        <v>244.99475341028335</v>
      </c>
      <c r="Q50" s="59">
        <v>0.049239244491080796</v>
      </c>
      <c r="R50" s="39">
        <v>9.799790136411334</v>
      </c>
      <c r="S50" s="97" t="str">
        <f t="array" ref="S50">IF(A50="","", IF( (ROUND(I50,4) &lt; INDEX('Tabela de ingredientes'!$O$1:$V$30, SWITCH(B50, "Gelatos de Leite", 7, "Sorbets", 10, "Gelatos de Leite com Fruta", 13, "Chocolate base água", 16, "Vegano", 19, "Alcoólicos", 22, "Zero", 25, "Gelatos Proteicos", 28, 7), 1)) + (ROUND(I50,4) &gt; INDEX('Tabela de ingredientes'!$O$1:$V$30, SWITCH(B50, "Gelatos de Leite", 8, "Sorbets", 11, "Gelatos de Leite com Fruta", 14, "Chocolate base água", 17, "Vegano", 20, "Alcoólicos", 23, "Zero", 26, "Gelatos Proteicos", 29, 8), 1)) + (ROUND(J50,4) &lt; INDEX('Tabela de ingredientes'!$O$1:$V$30, SWITCH(B50, "Gelatos de Leite", 7, "Sorbets", 10, "Gelatos de Leite com Fruta", 13, "Chocolate base água", 16, "Vegano", 19, "Alcoólicos", 22, "Zero", 25, "Gelatos Proteicos", 28, 7), 2)) + (ROUND(J50,4) &gt; INDEX('Tabela de ingredientes'!$O$1:$V$30, SWITCH(B50, "Gelatos de Leite", 8, "Sorbets", 11, "Gelatos de Leite com Fruta", 14, "Chocolate base água", 17, "Vegano", 20, "Alcoólicos", 23, "Zero", 26, "Gelatos Proteicos", 29, 8), 2)) + (ROUND(K50,4) &lt; INDEX('Tabela de ingredientes'!$O$1:$V$30, SWITCH(B50, "Gelatos de Leite", 7, "Sorbets", 10, "Gelatos de Leite com Fruta", 13, "Chocolate base água", 16, "Vegano", 19, "Alcoólicos", 22, "Zero", 25, "Gelatos Proteicos", 28, 7), 3)) + (ROUND(K50,4) &gt; INDEX('Tabela de ingredientes'!$O$1:$V$30, SWITCH(B50, "Gelatos de Leite", 8, "Sorbets", 11, "Gelatos de Leite com Fruta", 14, "Chocolate base água", 17, "Vegano", 20, "Alcoólicos", 23, "Zero", 26, "Gelatos Proteicos", 29, 8), 3)) + (ROUND(L50,4) &lt; INDEX('Tabela de ingredientes'!$O$1:$V$30, SWITCH(B50, "Gelatos de Leite", 7, "Sorbets", 10, "Gelatos de Leite com Fruta", 13, "Chocolate base água", 16, "Vegano", 19, "Alcoólicos", 22, "Zero", 25, "Gelatos Proteicos", 28, 7), 4)) + (ROUND(L50,4) &gt; INDEX('Tabela de ingredientes'!$O$1:$V$30, SWITCH(B50, "Gelatos de Leite", 8, "Sorbets", 11, "Gelatos de Leite com Fruta", 14, "Chocolate base água", 17, "Vegano", 20, "Alcoólicos", 23, "Zero", 26, "Gelatos Proteicos", 29, 8), 4)) + (ROUND(M50,4) &lt; INDEX('Tabela de ingredientes'!$O$1:$V$30, SWITCH(B50, "Gelatos de Leite", 7, "Sorbets", 10, "Gelatos de Leite com Fruta", 13, "Chocolate base água", 16, "Vegano", 19, "Alcoólicos", 22, "Zero", 25, "Gelatos Proteicos", 28, 7), 5)) + (ROUND(M50,4) &gt; INDEX('Tabela de ingredientes'!$O$1:$V$30, SWITCH(B50, "Gelatos de Leite", 8, "Sorbets", 11, "Gelatos de Leite com Fruta", 14, "Chocolate base água", 17, "Vegano", 20, "Alcoólicos", 23, "Zero", 26, "Gelatos Proteicos", 29, 8), 5)) + (ROUND(N50,4) &lt; INDEX('Tabela de ingredientes'!$O$1:$V$30, SWITCH(B50, "Gelatos de Leite", 7, "Sorbets", 10, "Gelatos de Leite com Fruta", 13, "Chocolate base água", 16, "Vegano", 19, "Alcoólicos", 22, "Zero", 25, "Gelatos Proteicos", 28, 7), 6)) + (ROUND(N50,4) &gt; INDEX('Tabela de ingredientes'!$O$1:$V$30, SWITCH(B50, "Gelatos de Leite", 8, "Sorbets", 11, "Gelatos de Leite com Fruta", 14, "Chocolate base água", 17, "Vegano", 20, "Alcoólicos", 23, "Zero", 26, "Gelatos Proteicos", 29, 8), 6)) + (ROUND(O50,4) &lt; INDEX('Tabela de ingredientes'!$O$1:$V$30, SWITCH(B50, "Gelatos de Leite", 7, "Sorbets", 10, "Gelatos de Leite com Fruta", 13, "Chocolate base água", 16, "Vegano", 19, "Alcoólicos", 22, "Zero", 25, "Gelatos Proteicos", 28, 7), 7)) + (ROUND(O50,4) &gt; INDEX('Tabela de ingredientes'!$O$1:$V$30, SWITCH(B50, "Gelatos de Leite", 8, "Sorbets", 11, "Gelatos de Leite com Fruta", 14, "Chocolate base água", 17, "Vegano", 20, "Alcoólicos", 23, "Zero", 26, "Gelatos Proteicos", 29, 8), 7)) + (ROUND(P50,4) &lt; INDEX('Tabela de ingredientes'!$O$1:$V$30, SWITCH(B50, "Gelatos de Leite", 7, "Sorbets", 10, "Gelatos de Leite com Fruta", 13, "Chocolate base água", 16, "Vegano", 19, "Alcoólicos", 22, "Zero", 25, "Gelatos Proteicos", 28, 7), 8)) + (ROUND(P50,4) &gt; INDEX('Tabela de ingredientes'!$O$1:$V$30, SWITCH(B50, "Gelatos de Leite", 8, "Sorbets", 11, "Gelatos de Leite com Fruta", 14, "Chocolate base água", 17, "Vegano", 20, "Alcoólicos", 23, "Zero", 26, "Gelatos Proteicos", 29, 8), 8)) + IF(B50="Gelatos Proteicos", (ROUND(Q50,4)&lt;'Tabela de ingredientes'!$W$28)+(ROUND(Q50,4)&gt;'Tabela de ingredientes'!$W$29), 0) = 0, "Ok", "Revisar"))</f>
        <v>Revisar</v>
      </c>
    </row>
    <row r="51">
      <c r="A51" s="39" t="str">
        <f>IFERROR(__xludf.DUMMYFUNCTION("""COMPUTED_VALUE"""),"Gelato de Chiclete (Addolcire)")</f>
        <v>Gelato de Chiclete (Addolcire)</v>
      </c>
      <c r="B51" s="39" t="s">
        <v>25</v>
      </c>
      <c r="C51" s="39">
        <v>7.0</v>
      </c>
      <c r="D51" s="39">
        <v>1010.0</v>
      </c>
      <c r="E51" s="39" t="s">
        <v>498</v>
      </c>
      <c r="F51" s="69">
        <v>11.715247524752474</v>
      </c>
      <c r="G51" s="69">
        <v>0.7029148514851484</v>
      </c>
      <c r="H51" s="69">
        <v>32.049045964199074</v>
      </c>
      <c r="I51" s="59">
        <v>0.15913861386138617</v>
      </c>
      <c r="J51" s="59">
        <v>0.09647524752475248</v>
      </c>
      <c r="K51" s="59">
        <v>0.1016039603960396</v>
      </c>
      <c r="L51" s="59">
        <v>0.0039603960396039604</v>
      </c>
      <c r="M51" s="59">
        <v>0.36117821782178217</v>
      </c>
      <c r="N51" s="59">
        <v>0.6388217821782178</v>
      </c>
      <c r="O51" s="39">
        <v>152.32</v>
      </c>
      <c r="P51" s="39">
        <v>228.1782178217822</v>
      </c>
      <c r="Q51" s="59">
        <v>0.03900990099009902</v>
      </c>
      <c r="R51" s="39">
        <v>9.127128712871288</v>
      </c>
      <c r="S51" s="97" t="str">
        <f t="array" ref="S51">IF(A51="","", IF( (ROUND(I51,4) &lt; INDEX('Tabela de ingredientes'!$O$1:$V$30, SWITCH(B51, "Gelatos de Leite", 7, "Sorbets", 10, "Gelatos de Leite com Fruta", 13, "Chocolate base água", 16, "Vegano", 19, "Alcoólicos", 22, "Zero", 25, "Gelatos Proteicos", 28, 7), 1)) + (ROUND(I51,4) &gt; INDEX('Tabela de ingredientes'!$O$1:$V$30, SWITCH(B51, "Gelatos de Leite", 8, "Sorbets", 11, "Gelatos de Leite com Fruta", 14, "Chocolate base água", 17, "Vegano", 20, "Alcoólicos", 23, "Zero", 26, "Gelatos Proteicos", 29, 8), 1)) + (ROUND(J51,4) &lt; INDEX('Tabela de ingredientes'!$O$1:$V$30, SWITCH(B51, "Gelatos de Leite", 7, "Sorbets", 10, "Gelatos de Leite com Fruta", 13, "Chocolate base água", 16, "Vegano", 19, "Alcoólicos", 22, "Zero", 25, "Gelatos Proteicos", 28, 7), 2)) + (ROUND(J51,4) &gt; INDEX('Tabela de ingredientes'!$O$1:$V$30, SWITCH(B51, "Gelatos de Leite", 8, "Sorbets", 11, "Gelatos de Leite com Fruta", 14, "Chocolate base água", 17, "Vegano", 20, "Alcoólicos", 23, "Zero", 26, "Gelatos Proteicos", 29, 8), 2)) + (ROUND(K51,4) &lt; INDEX('Tabela de ingredientes'!$O$1:$V$30, SWITCH(B51, "Gelatos de Leite", 7, "Sorbets", 10, "Gelatos de Leite com Fruta", 13, "Chocolate base água", 16, "Vegano", 19, "Alcoólicos", 22, "Zero", 25, "Gelatos Proteicos", 28, 7), 3)) + (ROUND(K51,4) &gt; INDEX('Tabela de ingredientes'!$O$1:$V$30, SWITCH(B51, "Gelatos de Leite", 8, "Sorbets", 11, "Gelatos de Leite com Fruta", 14, "Chocolate base água", 17, "Vegano", 20, "Alcoólicos", 23, "Zero", 26, "Gelatos Proteicos", 29, 8), 3)) + (ROUND(L51,4) &lt; INDEX('Tabela de ingredientes'!$O$1:$V$30, SWITCH(B51, "Gelatos de Leite", 7, "Sorbets", 10, "Gelatos de Leite com Fruta", 13, "Chocolate base água", 16, "Vegano", 19, "Alcoólicos", 22, "Zero", 25, "Gelatos Proteicos", 28, 7), 4)) + (ROUND(L51,4) &gt; INDEX('Tabela de ingredientes'!$O$1:$V$30, SWITCH(B51, "Gelatos de Leite", 8, "Sorbets", 11, "Gelatos de Leite com Fruta", 14, "Chocolate base água", 17, "Vegano", 20, "Alcoólicos", 23, "Zero", 26, "Gelatos Proteicos", 29, 8), 4)) + (ROUND(M51,4) &lt; INDEX('Tabela de ingredientes'!$O$1:$V$30, SWITCH(B51, "Gelatos de Leite", 7, "Sorbets", 10, "Gelatos de Leite com Fruta", 13, "Chocolate base água", 16, "Vegano", 19, "Alcoólicos", 22, "Zero", 25, "Gelatos Proteicos", 28, 7), 5)) + (ROUND(M51,4) &gt; INDEX('Tabela de ingredientes'!$O$1:$V$30, SWITCH(B51, "Gelatos de Leite", 8, "Sorbets", 11, "Gelatos de Leite com Fruta", 14, "Chocolate base água", 17, "Vegano", 20, "Alcoólicos", 23, "Zero", 26, "Gelatos Proteicos", 29, 8), 5)) + (ROUND(N51,4) &lt; INDEX('Tabela de ingredientes'!$O$1:$V$30, SWITCH(B51, "Gelatos de Leite", 7, "Sorbets", 10, "Gelatos de Leite com Fruta", 13, "Chocolate base água", 16, "Vegano", 19, "Alcoólicos", 22, "Zero", 25, "Gelatos Proteicos", 28, 7), 6)) + (ROUND(N51,4) &gt; INDEX('Tabela de ingredientes'!$O$1:$V$30, SWITCH(B51, "Gelatos de Leite", 8, "Sorbets", 11, "Gelatos de Leite com Fruta", 14, "Chocolate base água", 17, "Vegano", 20, "Alcoólicos", 23, "Zero", 26, "Gelatos Proteicos", 29, 8), 6)) + (ROUND(O51,4) &lt; INDEX('Tabela de ingredientes'!$O$1:$V$30, SWITCH(B51, "Gelatos de Leite", 7, "Sorbets", 10, "Gelatos de Leite com Fruta", 13, "Chocolate base água", 16, "Vegano", 19, "Alcoólicos", 22, "Zero", 25, "Gelatos Proteicos", 28, 7), 7)) + (ROUND(O51,4) &gt; INDEX('Tabela de ingredientes'!$O$1:$V$30, SWITCH(B51, "Gelatos de Leite", 8, "Sorbets", 11, "Gelatos de Leite com Fruta", 14, "Chocolate base água", 17, "Vegano", 20, "Alcoólicos", 23, "Zero", 26, "Gelatos Proteicos", 29, 8), 7)) + (ROUND(P51,4) &lt; INDEX('Tabela de ingredientes'!$O$1:$V$30, SWITCH(B51, "Gelatos de Leite", 7, "Sorbets", 10, "Gelatos de Leite com Fruta", 13, "Chocolate base água", 16, "Vegano", 19, "Alcoólicos", 22, "Zero", 25, "Gelatos Proteicos", 28, 7), 8)) + (ROUND(P51,4) &gt; INDEX('Tabela de ingredientes'!$O$1:$V$30, SWITCH(B51, "Gelatos de Leite", 8, "Sorbets", 11, "Gelatos de Leite com Fruta", 14, "Chocolate base água", 17, "Vegano", 20, "Alcoólicos", 23, "Zero", 26, "Gelatos Proteicos", 29, 8), 8)) + IF(B51="Gelatos Proteicos", (ROUND(Q51,4)&lt;'Tabela de ingredientes'!$W$28)+(ROUND(Q51,4)&gt;'Tabela de ingredientes'!$W$29), 0) = 0, "Ok", "Revisar"))</f>
        <v>Ok</v>
      </c>
    </row>
    <row r="52">
      <c r="A52" s="39" t="str">
        <f>IFERROR(__xludf.DUMMYFUNCTION("""COMPUTED_VALUE"""),"Gelato de Chocolate Amargo 60% (Addolcire)")</f>
        <v>Gelato de Chocolate Amargo 60% (Addolcire)</v>
      </c>
      <c r="B52" s="39" t="s">
        <v>25</v>
      </c>
      <c r="C52" s="39">
        <v>8.0</v>
      </c>
      <c r="D52" s="39">
        <v>1065.0</v>
      </c>
      <c r="E52" s="39" t="s">
        <v>501</v>
      </c>
      <c r="F52" s="69">
        <v>24.845070422535212</v>
      </c>
      <c r="G52" s="69">
        <v>1.4907042253521126</v>
      </c>
      <c r="H52" s="69">
        <v>42.91810465441658</v>
      </c>
      <c r="I52" s="59">
        <v>0.16948356807511736</v>
      </c>
      <c r="J52" s="59">
        <v>0.10845070422535211</v>
      </c>
      <c r="K52" s="59">
        <v>0.09342723004694836</v>
      </c>
      <c r="L52" s="59">
        <v>0.046948356807511735</v>
      </c>
      <c r="M52" s="59">
        <v>0.4183098591549296</v>
      </c>
      <c r="N52" s="59">
        <v>0.5816901408450704</v>
      </c>
      <c r="O52" s="39">
        <v>161.91549295774647</v>
      </c>
      <c r="P52" s="39">
        <v>207.5117370892019</v>
      </c>
      <c r="Q52" s="59">
        <v>0.04978403755868544</v>
      </c>
      <c r="R52" s="39">
        <v>8.300469483568076</v>
      </c>
      <c r="S52" s="97" t="str">
        <f t="array" ref="S52">IF(A52="","", IF( (ROUND(I52,4) &lt; INDEX('Tabela de ingredientes'!$O$1:$V$30, SWITCH(B52, "Gelatos de Leite", 7, "Sorbets", 10, "Gelatos de Leite com Fruta", 13, "Chocolate base água", 16, "Vegano", 19, "Alcoólicos", 22, "Zero", 25, "Gelatos Proteicos", 28, 7), 1)) + (ROUND(I52,4) &gt; INDEX('Tabela de ingredientes'!$O$1:$V$30, SWITCH(B52, "Gelatos de Leite", 8, "Sorbets", 11, "Gelatos de Leite com Fruta", 14, "Chocolate base água", 17, "Vegano", 20, "Alcoólicos", 23, "Zero", 26, "Gelatos Proteicos", 29, 8), 1)) + (ROUND(J52,4) &lt; INDEX('Tabela de ingredientes'!$O$1:$V$30, SWITCH(B52, "Gelatos de Leite", 7, "Sorbets", 10, "Gelatos de Leite com Fruta", 13, "Chocolate base água", 16, "Vegano", 19, "Alcoólicos", 22, "Zero", 25, "Gelatos Proteicos", 28, 7), 2)) + (ROUND(J52,4) &gt; INDEX('Tabela de ingredientes'!$O$1:$V$30, SWITCH(B52, "Gelatos de Leite", 8, "Sorbets", 11, "Gelatos de Leite com Fruta", 14, "Chocolate base água", 17, "Vegano", 20, "Alcoólicos", 23, "Zero", 26, "Gelatos Proteicos", 29, 8), 2)) + (ROUND(K52,4) &lt; INDEX('Tabela de ingredientes'!$O$1:$V$30, SWITCH(B52, "Gelatos de Leite", 7, "Sorbets", 10, "Gelatos de Leite com Fruta", 13, "Chocolate base água", 16, "Vegano", 19, "Alcoólicos", 22, "Zero", 25, "Gelatos Proteicos", 28, 7), 3)) + (ROUND(K52,4) &gt; INDEX('Tabela de ingredientes'!$O$1:$V$30, SWITCH(B52, "Gelatos de Leite", 8, "Sorbets", 11, "Gelatos de Leite com Fruta", 14, "Chocolate base água", 17, "Vegano", 20, "Alcoólicos", 23, "Zero", 26, "Gelatos Proteicos", 29, 8), 3)) + (ROUND(L52,4) &lt; INDEX('Tabela de ingredientes'!$O$1:$V$30, SWITCH(B52, "Gelatos de Leite", 7, "Sorbets", 10, "Gelatos de Leite com Fruta", 13, "Chocolate base água", 16, "Vegano", 19, "Alcoólicos", 22, "Zero", 25, "Gelatos Proteicos", 28, 7), 4)) + (ROUND(L52,4) &gt; INDEX('Tabela de ingredientes'!$O$1:$V$30, SWITCH(B52, "Gelatos de Leite", 8, "Sorbets", 11, "Gelatos de Leite com Fruta", 14, "Chocolate base água", 17, "Vegano", 20, "Alcoólicos", 23, "Zero", 26, "Gelatos Proteicos", 29, 8), 4)) + (ROUND(M52,4) &lt; INDEX('Tabela de ingredientes'!$O$1:$V$30, SWITCH(B52, "Gelatos de Leite", 7, "Sorbets", 10, "Gelatos de Leite com Fruta", 13, "Chocolate base água", 16, "Vegano", 19, "Alcoólicos", 22, "Zero", 25, "Gelatos Proteicos", 28, 7), 5)) + (ROUND(M52,4) &gt; INDEX('Tabela de ingredientes'!$O$1:$V$30, SWITCH(B52, "Gelatos de Leite", 8, "Sorbets", 11, "Gelatos de Leite com Fruta", 14, "Chocolate base água", 17, "Vegano", 20, "Alcoólicos", 23, "Zero", 26, "Gelatos Proteicos", 29, 8), 5)) + (ROUND(N52,4) &lt; INDEX('Tabela de ingredientes'!$O$1:$V$30, SWITCH(B52, "Gelatos de Leite", 7, "Sorbets", 10, "Gelatos de Leite com Fruta", 13, "Chocolate base água", 16, "Vegano", 19, "Alcoólicos", 22, "Zero", 25, "Gelatos Proteicos", 28, 7), 6)) + (ROUND(N52,4) &gt; INDEX('Tabela de ingredientes'!$O$1:$V$30, SWITCH(B52, "Gelatos de Leite", 8, "Sorbets", 11, "Gelatos de Leite com Fruta", 14, "Chocolate base água", 17, "Vegano", 20, "Alcoólicos", 23, "Zero", 26, "Gelatos Proteicos", 29, 8), 6)) + (ROUND(O52,4) &lt; INDEX('Tabela de ingredientes'!$O$1:$V$30, SWITCH(B52, "Gelatos de Leite", 7, "Sorbets", 10, "Gelatos de Leite com Fruta", 13, "Chocolate base água", 16, "Vegano", 19, "Alcoólicos", 22, "Zero", 25, "Gelatos Proteicos", 28, 7), 7)) + (ROUND(O52,4) &gt; INDEX('Tabela de ingredientes'!$O$1:$V$30, SWITCH(B52, "Gelatos de Leite", 8, "Sorbets", 11, "Gelatos de Leite com Fruta", 14, "Chocolate base água", 17, "Vegano", 20, "Alcoólicos", 23, "Zero", 26, "Gelatos Proteicos", 29, 8), 7)) + (ROUND(P52,4) &lt; INDEX('Tabela de ingredientes'!$O$1:$V$30, SWITCH(B52, "Gelatos de Leite", 7, "Sorbets", 10, "Gelatos de Leite com Fruta", 13, "Chocolate base água", 16, "Vegano", 19, "Alcoólicos", 22, "Zero", 25, "Gelatos Proteicos", 28, 7), 8)) + (ROUND(P52,4) &gt; INDEX('Tabela de ingredientes'!$O$1:$V$30, SWITCH(B52, "Gelatos de Leite", 8, "Sorbets", 11, "Gelatos de Leite com Fruta", 14, "Chocolate base água", 17, "Vegano", 20, "Alcoólicos", 23, "Zero", 26, "Gelatos Proteicos", 29, 8), 8)) + IF(B52="Gelatos Proteicos", (ROUND(Q52,4)&lt;'Tabela de ingredientes'!$W$28)+(ROUND(Q52,4)&gt;'Tabela de ingredientes'!$W$29), 0) = 0, "Ok", "Revisar"))</f>
        <v>Revisar</v>
      </c>
    </row>
    <row r="53">
      <c r="A53" s="39" t="str">
        <f>IFERROR(__xludf.DUMMYFUNCTION("""COMPUTED_VALUE"""),"Gelato de Chocolate ao Leite (Addolcire)")</f>
        <v>Gelato de Chocolate ao Leite (Addolcire)</v>
      </c>
      <c r="B53" s="39" t="s">
        <v>25</v>
      </c>
      <c r="C53" s="39">
        <v>10.0</v>
      </c>
      <c r="D53" s="39">
        <v>992.0</v>
      </c>
      <c r="E53" s="39" t="s">
        <v>504</v>
      </c>
      <c r="F53" s="69">
        <v>43.72379032258065</v>
      </c>
      <c r="G53" s="69">
        <v>2.623427419354839</v>
      </c>
      <c r="H53" s="69">
        <v>58.546184041871406</v>
      </c>
      <c r="I53" s="59">
        <v>0.20756048387096776</v>
      </c>
      <c r="J53" s="59">
        <v>0.1267641129032258</v>
      </c>
      <c r="K53" s="59">
        <v>0.06466733870967742</v>
      </c>
      <c r="L53" s="59">
        <v>0.04007056451612903</v>
      </c>
      <c r="M53" s="59">
        <v>0.4390625</v>
      </c>
      <c r="N53" s="59">
        <v>0.5609375</v>
      </c>
      <c r="O53" s="39">
        <v>220.9758064516129</v>
      </c>
      <c r="P53" s="39">
        <v>250.6048387096774</v>
      </c>
      <c r="Q53" s="59">
        <v>0.03974798387096774</v>
      </c>
      <c r="R53" s="39">
        <v>10.024193548387096</v>
      </c>
      <c r="S53" s="97" t="str">
        <f t="array" ref="S53">IF(A53="","", IF( (ROUND(I53,4) &lt; INDEX('Tabela de ingredientes'!$O$1:$V$30, SWITCH(B53, "Gelatos de Leite", 7, "Sorbets", 10, "Gelatos de Leite com Fruta", 13, "Chocolate base água", 16, "Vegano", 19, "Alcoólicos", 22, "Zero", 25, "Gelatos Proteicos", 28, 7), 1)) + (ROUND(I53,4) &gt; INDEX('Tabela de ingredientes'!$O$1:$V$30, SWITCH(B53, "Gelatos de Leite", 8, "Sorbets", 11, "Gelatos de Leite com Fruta", 14, "Chocolate base água", 17, "Vegano", 20, "Alcoólicos", 23, "Zero", 26, "Gelatos Proteicos", 29, 8), 1)) + (ROUND(J53,4) &lt; INDEX('Tabela de ingredientes'!$O$1:$V$30, SWITCH(B53, "Gelatos de Leite", 7, "Sorbets", 10, "Gelatos de Leite com Fruta", 13, "Chocolate base água", 16, "Vegano", 19, "Alcoólicos", 22, "Zero", 25, "Gelatos Proteicos", 28, 7), 2)) + (ROUND(J53,4) &gt; INDEX('Tabela de ingredientes'!$O$1:$V$30, SWITCH(B53, "Gelatos de Leite", 8, "Sorbets", 11, "Gelatos de Leite com Fruta", 14, "Chocolate base água", 17, "Vegano", 20, "Alcoólicos", 23, "Zero", 26, "Gelatos Proteicos", 29, 8), 2)) + (ROUND(K53,4) &lt; INDEX('Tabela de ingredientes'!$O$1:$V$30, SWITCH(B53, "Gelatos de Leite", 7, "Sorbets", 10, "Gelatos de Leite com Fruta", 13, "Chocolate base água", 16, "Vegano", 19, "Alcoólicos", 22, "Zero", 25, "Gelatos Proteicos", 28, 7), 3)) + (ROUND(K53,4) &gt; INDEX('Tabela de ingredientes'!$O$1:$V$30, SWITCH(B53, "Gelatos de Leite", 8, "Sorbets", 11, "Gelatos de Leite com Fruta", 14, "Chocolate base água", 17, "Vegano", 20, "Alcoólicos", 23, "Zero", 26, "Gelatos Proteicos", 29, 8), 3)) + (ROUND(L53,4) &lt; INDEX('Tabela de ingredientes'!$O$1:$V$30, SWITCH(B53, "Gelatos de Leite", 7, "Sorbets", 10, "Gelatos de Leite com Fruta", 13, "Chocolate base água", 16, "Vegano", 19, "Alcoólicos", 22, "Zero", 25, "Gelatos Proteicos", 28, 7), 4)) + (ROUND(L53,4) &gt; INDEX('Tabela de ingredientes'!$O$1:$V$30, SWITCH(B53, "Gelatos de Leite", 8, "Sorbets", 11, "Gelatos de Leite com Fruta", 14, "Chocolate base água", 17, "Vegano", 20, "Alcoólicos", 23, "Zero", 26, "Gelatos Proteicos", 29, 8), 4)) + (ROUND(M53,4) &lt; INDEX('Tabela de ingredientes'!$O$1:$V$30, SWITCH(B53, "Gelatos de Leite", 7, "Sorbets", 10, "Gelatos de Leite com Fruta", 13, "Chocolate base água", 16, "Vegano", 19, "Alcoólicos", 22, "Zero", 25, "Gelatos Proteicos", 28, 7), 5)) + (ROUND(M53,4) &gt; INDEX('Tabela de ingredientes'!$O$1:$V$30, SWITCH(B53, "Gelatos de Leite", 8, "Sorbets", 11, "Gelatos de Leite com Fruta", 14, "Chocolate base água", 17, "Vegano", 20, "Alcoólicos", 23, "Zero", 26, "Gelatos Proteicos", 29, 8), 5)) + (ROUND(N53,4) &lt; INDEX('Tabela de ingredientes'!$O$1:$V$30, SWITCH(B53, "Gelatos de Leite", 7, "Sorbets", 10, "Gelatos de Leite com Fruta", 13, "Chocolate base água", 16, "Vegano", 19, "Alcoólicos", 22, "Zero", 25, "Gelatos Proteicos", 28, 7), 6)) + (ROUND(N53,4) &gt; INDEX('Tabela de ingredientes'!$O$1:$V$30, SWITCH(B53, "Gelatos de Leite", 8, "Sorbets", 11, "Gelatos de Leite com Fruta", 14, "Chocolate base água", 17, "Vegano", 20, "Alcoólicos", 23, "Zero", 26, "Gelatos Proteicos", 29, 8), 6)) + (ROUND(O53,4) &lt; INDEX('Tabela de ingredientes'!$O$1:$V$30, SWITCH(B53, "Gelatos de Leite", 7, "Sorbets", 10, "Gelatos de Leite com Fruta", 13, "Chocolate base água", 16, "Vegano", 19, "Alcoólicos", 22, "Zero", 25, "Gelatos Proteicos", 28, 7), 7)) + (ROUND(O53,4) &gt; INDEX('Tabela de ingredientes'!$O$1:$V$30, SWITCH(B53, "Gelatos de Leite", 8, "Sorbets", 11, "Gelatos de Leite com Fruta", 14, "Chocolate base água", 17, "Vegano", 20, "Alcoólicos", 23, "Zero", 26, "Gelatos Proteicos", 29, 8), 7)) + (ROUND(P53,4) &lt; INDEX('Tabela de ingredientes'!$O$1:$V$30, SWITCH(B53, "Gelatos de Leite", 7, "Sorbets", 10, "Gelatos de Leite com Fruta", 13, "Chocolate base água", 16, "Vegano", 19, "Alcoólicos", 22, "Zero", 25, "Gelatos Proteicos", 28, 7), 8)) + (ROUND(P53,4) &gt; INDEX('Tabela de ingredientes'!$O$1:$V$30, SWITCH(B53, "Gelatos de Leite", 8, "Sorbets", 11, "Gelatos de Leite com Fruta", 14, "Chocolate base água", 17, "Vegano", 20, "Alcoólicos", 23, "Zero", 26, "Gelatos Proteicos", 29, 8), 8)) + IF(B53="Gelatos Proteicos", (ROUND(Q53,4)&lt;'Tabela de ingredientes'!$W$28)+(ROUND(Q53,4)&gt;'Tabela de ingredientes'!$W$29), 0) = 0, "Ok", "Revisar"))</f>
        <v>Revisar</v>
      </c>
    </row>
    <row r="54">
      <c r="A54" s="39" t="str">
        <f>IFERROR(__xludf.DUMMYFUNCTION("""COMPUTED_VALUE"""),"Gelato de Chocolate 70% com Amêndoa (Addolcire)")</f>
        <v>Gelato de Chocolate 70% com Amêndoa (Addolcire)</v>
      </c>
      <c r="B54" s="39" t="s">
        <v>25</v>
      </c>
      <c r="C54" s="39">
        <v>8.0</v>
      </c>
      <c r="D54" s="39">
        <v>955.0</v>
      </c>
      <c r="E54" s="39" t="s">
        <v>507</v>
      </c>
      <c r="F54" s="69">
        <v>45.47643979057592</v>
      </c>
      <c r="G54" s="69">
        <v>2.728586387434555</v>
      </c>
      <c r="H54" s="69">
        <v>59.99705280676815</v>
      </c>
      <c r="I54" s="59">
        <v>0.21664921465968587</v>
      </c>
      <c r="J54" s="59">
        <v>0.12356020942408377</v>
      </c>
      <c r="K54" s="59">
        <v>0.08198952879581152</v>
      </c>
      <c r="L54" s="59">
        <v>0.07225130890052356</v>
      </c>
      <c r="M54" s="59">
        <v>0.4944502617801047</v>
      </c>
      <c r="N54" s="59">
        <v>0.5055497382198952</v>
      </c>
      <c r="O54" s="39">
        <v>261.2335078534031</v>
      </c>
      <c r="P54" s="39">
        <v>203.2460732984293</v>
      </c>
      <c r="Q54" s="59">
        <v>0.04186387434554974</v>
      </c>
      <c r="R54" s="39">
        <v>8.129842931937173</v>
      </c>
      <c r="S54" s="97" t="str">
        <f t="array" ref="S54">IF(A54="","", IF( (ROUND(I54,4) &lt; INDEX('Tabela de ingredientes'!$O$1:$V$30, SWITCH(B54, "Gelatos de Leite", 7, "Sorbets", 10, "Gelatos de Leite com Fruta", 13, "Chocolate base água", 16, "Vegano", 19, "Alcoólicos", 22, "Zero", 25, "Gelatos Proteicos", 28, 7), 1)) + (ROUND(I54,4) &gt; INDEX('Tabela de ingredientes'!$O$1:$V$30, SWITCH(B54, "Gelatos de Leite", 8, "Sorbets", 11, "Gelatos de Leite com Fruta", 14, "Chocolate base água", 17, "Vegano", 20, "Alcoólicos", 23, "Zero", 26, "Gelatos Proteicos", 29, 8), 1)) + (ROUND(J54,4) &lt; INDEX('Tabela de ingredientes'!$O$1:$V$30, SWITCH(B54, "Gelatos de Leite", 7, "Sorbets", 10, "Gelatos de Leite com Fruta", 13, "Chocolate base água", 16, "Vegano", 19, "Alcoólicos", 22, "Zero", 25, "Gelatos Proteicos", 28, 7), 2)) + (ROUND(J54,4) &gt; INDEX('Tabela de ingredientes'!$O$1:$V$30, SWITCH(B54, "Gelatos de Leite", 8, "Sorbets", 11, "Gelatos de Leite com Fruta", 14, "Chocolate base água", 17, "Vegano", 20, "Alcoólicos", 23, "Zero", 26, "Gelatos Proteicos", 29, 8), 2)) + (ROUND(K54,4) &lt; INDEX('Tabela de ingredientes'!$O$1:$V$30, SWITCH(B54, "Gelatos de Leite", 7, "Sorbets", 10, "Gelatos de Leite com Fruta", 13, "Chocolate base água", 16, "Vegano", 19, "Alcoólicos", 22, "Zero", 25, "Gelatos Proteicos", 28, 7), 3)) + (ROUND(K54,4) &gt; INDEX('Tabela de ingredientes'!$O$1:$V$30, SWITCH(B54, "Gelatos de Leite", 8, "Sorbets", 11, "Gelatos de Leite com Fruta", 14, "Chocolate base água", 17, "Vegano", 20, "Alcoólicos", 23, "Zero", 26, "Gelatos Proteicos", 29, 8), 3)) + (ROUND(L54,4) &lt; INDEX('Tabela de ingredientes'!$O$1:$V$30, SWITCH(B54, "Gelatos de Leite", 7, "Sorbets", 10, "Gelatos de Leite com Fruta", 13, "Chocolate base água", 16, "Vegano", 19, "Alcoólicos", 22, "Zero", 25, "Gelatos Proteicos", 28, 7), 4)) + (ROUND(L54,4) &gt; INDEX('Tabela de ingredientes'!$O$1:$V$30, SWITCH(B54, "Gelatos de Leite", 8, "Sorbets", 11, "Gelatos de Leite com Fruta", 14, "Chocolate base água", 17, "Vegano", 20, "Alcoólicos", 23, "Zero", 26, "Gelatos Proteicos", 29, 8), 4)) + (ROUND(M54,4) &lt; INDEX('Tabela de ingredientes'!$O$1:$V$30, SWITCH(B54, "Gelatos de Leite", 7, "Sorbets", 10, "Gelatos de Leite com Fruta", 13, "Chocolate base água", 16, "Vegano", 19, "Alcoólicos", 22, "Zero", 25, "Gelatos Proteicos", 28, 7), 5)) + (ROUND(M54,4) &gt; INDEX('Tabela de ingredientes'!$O$1:$V$30, SWITCH(B54, "Gelatos de Leite", 8, "Sorbets", 11, "Gelatos de Leite com Fruta", 14, "Chocolate base água", 17, "Vegano", 20, "Alcoólicos", 23, "Zero", 26, "Gelatos Proteicos", 29, 8), 5)) + (ROUND(N54,4) &lt; INDEX('Tabela de ingredientes'!$O$1:$V$30, SWITCH(B54, "Gelatos de Leite", 7, "Sorbets", 10, "Gelatos de Leite com Fruta", 13, "Chocolate base água", 16, "Vegano", 19, "Alcoólicos", 22, "Zero", 25, "Gelatos Proteicos", 28, 7), 6)) + (ROUND(N54,4) &gt; INDEX('Tabela de ingredientes'!$O$1:$V$30, SWITCH(B54, "Gelatos de Leite", 8, "Sorbets", 11, "Gelatos de Leite com Fruta", 14, "Chocolate base água", 17, "Vegano", 20, "Alcoólicos", 23, "Zero", 26, "Gelatos Proteicos", 29, 8), 6)) + (ROUND(O54,4) &lt; INDEX('Tabela de ingredientes'!$O$1:$V$30, SWITCH(B54, "Gelatos de Leite", 7, "Sorbets", 10, "Gelatos de Leite com Fruta", 13, "Chocolate base água", 16, "Vegano", 19, "Alcoólicos", 22, "Zero", 25, "Gelatos Proteicos", 28, 7), 7)) + (ROUND(O54,4) &gt; INDEX('Tabela de ingredientes'!$O$1:$V$30, SWITCH(B54, "Gelatos de Leite", 8, "Sorbets", 11, "Gelatos de Leite com Fruta", 14, "Chocolate base água", 17, "Vegano", 20, "Alcoólicos", 23, "Zero", 26, "Gelatos Proteicos", 29, 8), 7)) + (ROUND(P54,4) &lt; INDEX('Tabela de ingredientes'!$O$1:$V$30, SWITCH(B54, "Gelatos de Leite", 7, "Sorbets", 10, "Gelatos de Leite com Fruta", 13, "Chocolate base água", 16, "Vegano", 19, "Alcoólicos", 22, "Zero", 25, "Gelatos Proteicos", 28, 7), 8)) + (ROUND(P54,4) &gt; INDEX('Tabela de ingredientes'!$O$1:$V$30, SWITCH(B54, "Gelatos de Leite", 8, "Sorbets", 11, "Gelatos de Leite com Fruta", 14, "Chocolate base água", 17, "Vegano", 20, "Alcoólicos", 23, "Zero", 26, "Gelatos Proteicos", 29, 8), 8)) + IF(B54="Gelatos Proteicos", (ROUND(Q54,4)&lt;'Tabela de ingredientes'!$W$28)+(ROUND(Q54,4)&gt;'Tabela de ingredientes'!$W$29), 0) = 0, "Ok", "Revisar"))</f>
        <v>Revisar</v>
      </c>
    </row>
    <row r="55">
      <c r="A55" s="39" t="str">
        <f>IFERROR(__xludf.DUMMYFUNCTION("""COMPUTED_VALUE"""),"Gelato de Creme Inglês (Addolcire)")</f>
        <v>Gelato de Creme Inglês (Addolcire)</v>
      </c>
      <c r="B55" s="39" t="s">
        <v>25</v>
      </c>
      <c r="C55" s="39">
        <v>9.0</v>
      </c>
      <c r="D55" s="39">
        <v>965.0</v>
      </c>
      <c r="E55" s="39" t="s">
        <v>487</v>
      </c>
      <c r="F55" s="69">
        <v>11.287875647668393</v>
      </c>
      <c r="G55" s="69">
        <v>0.6772725388601035</v>
      </c>
      <c r="H55" s="69">
        <v>31.695261297738742</v>
      </c>
      <c r="I55" s="59">
        <v>0.19369948186528496</v>
      </c>
      <c r="J55" s="59">
        <v>0.07518652849740934</v>
      </c>
      <c r="K55" s="59">
        <v>0.07751295336787564</v>
      </c>
      <c r="L55" s="59">
        <v>0.023730569948186526</v>
      </c>
      <c r="M55" s="59">
        <v>0.3701295336787565</v>
      </c>
      <c r="N55" s="59">
        <v>0.6298704663212435</v>
      </c>
      <c r="O55" s="39">
        <v>183.5334715025907</v>
      </c>
      <c r="P55" s="39">
        <v>263.83419689119165</v>
      </c>
      <c r="Q55" s="59">
        <v>0.04704559585492228</v>
      </c>
      <c r="R55" s="39">
        <v>10.553367875647666</v>
      </c>
      <c r="S55" s="97" t="str">
        <f t="array" ref="S55">IF(A55="","", IF( (ROUND(I55,4) &lt; INDEX('Tabela de ingredientes'!$O$1:$V$30, SWITCH(B55, "Gelatos de Leite", 7, "Sorbets", 10, "Gelatos de Leite com Fruta", 13, "Chocolate base água", 16, "Vegano", 19, "Alcoólicos", 22, "Zero", 25, "Gelatos Proteicos", 28, 7), 1)) + (ROUND(I55,4) &gt; INDEX('Tabela de ingredientes'!$O$1:$V$30, SWITCH(B55, "Gelatos de Leite", 8, "Sorbets", 11, "Gelatos de Leite com Fruta", 14, "Chocolate base água", 17, "Vegano", 20, "Alcoólicos", 23, "Zero", 26, "Gelatos Proteicos", 29, 8), 1)) + (ROUND(J55,4) &lt; INDEX('Tabela de ingredientes'!$O$1:$V$30, SWITCH(B55, "Gelatos de Leite", 7, "Sorbets", 10, "Gelatos de Leite com Fruta", 13, "Chocolate base água", 16, "Vegano", 19, "Alcoólicos", 22, "Zero", 25, "Gelatos Proteicos", 28, 7), 2)) + (ROUND(J55,4) &gt; INDEX('Tabela de ingredientes'!$O$1:$V$30, SWITCH(B55, "Gelatos de Leite", 8, "Sorbets", 11, "Gelatos de Leite com Fruta", 14, "Chocolate base água", 17, "Vegano", 20, "Alcoólicos", 23, "Zero", 26, "Gelatos Proteicos", 29, 8), 2)) + (ROUND(K55,4) &lt; INDEX('Tabela de ingredientes'!$O$1:$V$30, SWITCH(B55, "Gelatos de Leite", 7, "Sorbets", 10, "Gelatos de Leite com Fruta", 13, "Chocolate base água", 16, "Vegano", 19, "Alcoólicos", 22, "Zero", 25, "Gelatos Proteicos", 28, 7), 3)) + (ROUND(K55,4) &gt; INDEX('Tabela de ingredientes'!$O$1:$V$30, SWITCH(B55, "Gelatos de Leite", 8, "Sorbets", 11, "Gelatos de Leite com Fruta", 14, "Chocolate base água", 17, "Vegano", 20, "Alcoólicos", 23, "Zero", 26, "Gelatos Proteicos", 29, 8), 3)) + (ROUND(L55,4) &lt; INDEX('Tabela de ingredientes'!$O$1:$V$30, SWITCH(B55, "Gelatos de Leite", 7, "Sorbets", 10, "Gelatos de Leite com Fruta", 13, "Chocolate base água", 16, "Vegano", 19, "Alcoólicos", 22, "Zero", 25, "Gelatos Proteicos", 28, 7), 4)) + (ROUND(L55,4) &gt; INDEX('Tabela de ingredientes'!$O$1:$V$30, SWITCH(B55, "Gelatos de Leite", 8, "Sorbets", 11, "Gelatos de Leite com Fruta", 14, "Chocolate base água", 17, "Vegano", 20, "Alcoólicos", 23, "Zero", 26, "Gelatos Proteicos", 29, 8), 4)) + (ROUND(M55,4) &lt; INDEX('Tabela de ingredientes'!$O$1:$V$30, SWITCH(B55, "Gelatos de Leite", 7, "Sorbets", 10, "Gelatos de Leite com Fruta", 13, "Chocolate base água", 16, "Vegano", 19, "Alcoólicos", 22, "Zero", 25, "Gelatos Proteicos", 28, 7), 5)) + (ROUND(M55,4) &gt; INDEX('Tabela de ingredientes'!$O$1:$V$30, SWITCH(B55, "Gelatos de Leite", 8, "Sorbets", 11, "Gelatos de Leite com Fruta", 14, "Chocolate base água", 17, "Vegano", 20, "Alcoólicos", 23, "Zero", 26, "Gelatos Proteicos", 29, 8), 5)) + (ROUND(N55,4) &lt; INDEX('Tabela de ingredientes'!$O$1:$V$30, SWITCH(B55, "Gelatos de Leite", 7, "Sorbets", 10, "Gelatos de Leite com Fruta", 13, "Chocolate base água", 16, "Vegano", 19, "Alcoólicos", 22, "Zero", 25, "Gelatos Proteicos", 28, 7), 6)) + (ROUND(N55,4) &gt; INDEX('Tabela de ingredientes'!$O$1:$V$30, SWITCH(B55, "Gelatos de Leite", 8, "Sorbets", 11, "Gelatos de Leite com Fruta", 14, "Chocolate base água", 17, "Vegano", 20, "Alcoólicos", 23, "Zero", 26, "Gelatos Proteicos", 29, 8), 6)) + (ROUND(O55,4) &lt; INDEX('Tabela de ingredientes'!$O$1:$V$30, SWITCH(B55, "Gelatos de Leite", 7, "Sorbets", 10, "Gelatos de Leite com Fruta", 13, "Chocolate base água", 16, "Vegano", 19, "Alcoólicos", 22, "Zero", 25, "Gelatos Proteicos", 28, 7), 7)) + (ROUND(O55,4) &gt; INDEX('Tabela de ingredientes'!$O$1:$V$30, SWITCH(B55, "Gelatos de Leite", 8, "Sorbets", 11, "Gelatos de Leite com Fruta", 14, "Chocolate base água", 17, "Vegano", 20, "Alcoólicos", 23, "Zero", 26, "Gelatos Proteicos", 29, 8), 7)) + (ROUND(P55,4) &lt; INDEX('Tabela de ingredientes'!$O$1:$V$30, SWITCH(B55, "Gelatos de Leite", 7, "Sorbets", 10, "Gelatos de Leite com Fruta", 13, "Chocolate base água", 16, "Vegano", 19, "Alcoólicos", 22, "Zero", 25, "Gelatos Proteicos", 28, 7), 8)) + (ROUND(P55,4) &gt; INDEX('Tabela de ingredientes'!$O$1:$V$30, SWITCH(B55, "Gelatos de Leite", 8, "Sorbets", 11, "Gelatos de Leite com Fruta", 14, "Chocolate base água", 17, "Vegano", 20, "Alcoólicos", 23, "Zero", 26, "Gelatos Proteicos", 29, 8), 8)) + IF(B55="Gelatos Proteicos", (ROUND(Q55,4)&lt;'Tabela de ingredientes'!$W$28)+(ROUND(Q55,4)&gt;'Tabela de ingredientes'!$W$29), 0) = 0, "Ok", "Revisar"))</f>
        <v>Revisar</v>
      </c>
    </row>
    <row r="56">
      <c r="A56" s="39" t="str">
        <f>IFERROR(__xludf.DUMMYFUNCTION("""COMPUTED_VALUE"""),"Gelato de Doce de Leite (Addolcire)")</f>
        <v>Gelato de Doce de Leite (Addolcire)</v>
      </c>
      <c r="B56" s="39" t="s">
        <v>25</v>
      </c>
      <c r="C56" s="39">
        <v>8.0</v>
      </c>
      <c r="D56" s="39">
        <v>1114.0</v>
      </c>
      <c r="E56" s="39" t="s">
        <v>512</v>
      </c>
      <c r="F56" s="69">
        <v>17.2903052064632</v>
      </c>
      <c r="G56" s="69">
        <v>1.0374183123877918</v>
      </c>
      <c r="H56" s="69">
        <v>36.66415993912518</v>
      </c>
      <c r="I56" s="59">
        <v>0.181983842010772</v>
      </c>
      <c r="J56" s="59">
        <v>0.058496409335727105</v>
      </c>
      <c r="K56" s="59">
        <v>0.11670556552962297</v>
      </c>
      <c r="L56" s="59">
        <v>0.004488330341113106</v>
      </c>
      <c r="M56" s="59">
        <v>0.3616741472172352</v>
      </c>
      <c r="N56" s="59">
        <v>0.6383258527827649</v>
      </c>
      <c r="O56" s="39">
        <v>172.21705565529624</v>
      </c>
      <c r="P56" s="39">
        <v>272.8725314183124</v>
      </c>
      <c r="Q56" s="59">
        <v>0.05086265709156194</v>
      </c>
      <c r="R56" s="39">
        <v>10.914901256732497</v>
      </c>
      <c r="S56" s="97" t="str">
        <f t="array" ref="S56">IF(A56="","", IF( (ROUND(I56,4) &lt; INDEX('Tabela de ingredientes'!$O$1:$V$30, SWITCH(B56, "Gelatos de Leite", 7, "Sorbets", 10, "Gelatos de Leite com Fruta", 13, "Chocolate base água", 16, "Vegano", 19, "Alcoólicos", 22, "Zero", 25, "Gelatos Proteicos", 28, 7), 1)) + (ROUND(I56,4) &gt; INDEX('Tabela de ingredientes'!$O$1:$V$30, SWITCH(B56, "Gelatos de Leite", 8, "Sorbets", 11, "Gelatos de Leite com Fruta", 14, "Chocolate base água", 17, "Vegano", 20, "Alcoólicos", 23, "Zero", 26, "Gelatos Proteicos", 29, 8), 1)) + (ROUND(J56,4) &lt; INDEX('Tabela de ingredientes'!$O$1:$V$30, SWITCH(B56, "Gelatos de Leite", 7, "Sorbets", 10, "Gelatos de Leite com Fruta", 13, "Chocolate base água", 16, "Vegano", 19, "Alcoólicos", 22, "Zero", 25, "Gelatos Proteicos", 28, 7), 2)) + (ROUND(J56,4) &gt; INDEX('Tabela de ingredientes'!$O$1:$V$30, SWITCH(B56, "Gelatos de Leite", 8, "Sorbets", 11, "Gelatos de Leite com Fruta", 14, "Chocolate base água", 17, "Vegano", 20, "Alcoólicos", 23, "Zero", 26, "Gelatos Proteicos", 29, 8), 2)) + (ROUND(K56,4) &lt; INDEX('Tabela de ingredientes'!$O$1:$V$30, SWITCH(B56, "Gelatos de Leite", 7, "Sorbets", 10, "Gelatos de Leite com Fruta", 13, "Chocolate base água", 16, "Vegano", 19, "Alcoólicos", 22, "Zero", 25, "Gelatos Proteicos", 28, 7), 3)) + (ROUND(K56,4) &gt; INDEX('Tabela de ingredientes'!$O$1:$V$30, SWITCH(B56, "Gelatos de Leite", 8, "Sorbets", 11, "Gelatos de Leite com Fruta", 14, "Chocolate base água", 17, "Vegano", 20, "Alcoólicos", 23, "Zero", 26, "Gelatos Proteicos", 29, 8), 3)) + (ROUND(L56,4) &lt; INDEX('Tabela de ingredientes'!$O$1:$V$30, SWITCH(B56, "Gelatos de Leite", 7, "Sorbets", 10, "Gelatos de Leite com Fruta", 13, "Chocolate base água", 16, "Vegano", 19, "Alcoólicos", 22, "Zero", 25, "Gelatos Proteicos", 28, 7), 4)) + (ROUND(L56,4) &gt; INDEX('Tabela de ingredientes'!$O$1:$V$30, SWITCH(B56, "Gelatos de Leite", 8, "Sorbets", 11, "Gelatos de Leite com Fruta", 14, "Chocolate base água", 17, "Vegano", 20, "Alcoólicos", 23, "Zero", 26, "Gelatos Proteicos", 29, 8), 4)) + (ROUND(M56,4) &lt; INDEX('Tabela de ingredientes'!$O$1:$V$30, SWITCH(B56, "Gelatos de Leite", 7, "Sorbets", 10, "Gelatos de Leite com Fruta", 13, "Chocolate base água", 16, "Vegano", 19, "Alcoólicos", 22, "Zero", 25, "Gelatos Proteicos", 28, 7), 5)) + (ROUND(M56,4) &gt; INDEX('Tabela de ingredientes'!$O$1:$V$30, SWITCH(B56, "Gelatos de Leite", 8, "Sorbets", 11, "Gelatos de Leite com Fruta", 14, "Chocolate base água", 17, "Vegano", 20, "Alcoólicos", 23, "Zero", 26, "Gelatos Proteicos", 29, 8), 5)) + (ROUND(N56,4) &lt; INDEX('Tabela de ingredientes'!$O$1:$V$30, SWITCH(B56, "Gelatos de Leite", 7, "Sorbets", 10, "Gelatos de Leite com Fruta", 13, "Chocolate base água", 16, "Vegano", 19, "Alcoólicos", 22, "Zero", 25, "Gelatos Proteicos", 28, 7), 6)) + (ROUND(N56,4) &gt; INDEX('Tabela de ingredientes'!$O$1:$V$30, SWITCH(B56, "Gelatos de Leite", 8, "Sorbets", 11, "Gelatos de Leite com Fruta", 14, "Chocolate base água", 17, "Vegano", 20, "Alcoólicos", 23, "Zero", 26, "Gelatos Proteicos", 29, 8), 6)) + (ROUND(O56,4) &lt; INDEX('Tabela de ingredientes'!$O$1:$V$30, SWITCH(B56, "Gelatos de Leite", 7, "Sorbets", 10, "Gelatos de Leite com Fruta", 13, "Chocolate base água", 16, "Vegano", 19, "Alcoólicos", 22, "Zero", 25, "Gelatos Proteicos", 28, 7), 7)) + (ROUND(O56,4) &gt; INDEX('Tabela de ingredientes'!$O$1:$V$30, SWITCH(B56, "Gelatos de Leite", 8, "Sorbets", 11, "Gelatos de Leite com Fruta", 14, "Chocolate base água", 17, "Vegano", 20, "Alcoólicos", 23, "Zero", 26, "Gelatos Proteicos", 29, 8), 7)) + (ROUND(P56,4) &lt; INDEX('Tabela de ingredientes'!$O$1:$V$30, SWITCH(B56, "Gelatos de Leite", 7, "Sorbets", 10, "Gelatos de Leite com Fruta", 13, "Chocolate base água", 16, "Vegano", 19, "Alcoólicos", 22, "Zero", 25, "Gelatos Proteicos", 28, 7), 8)) + (ROUND(P56,4) &gt; INDEX('Tabela de ingredientes'!$O$1:$V$30, SWITCH(B56, "Gelatos de Leite", 8, "Sorbets", 11, "Gelatos de Leite com Fruta", 14, "Chocolate base água", 17, "Vegano", 20, "Alcoólicos", 23, "Zero", 26, "Gelatos Proteicos", 29, 8), 8)) + IF(B56="Gelatos Proteicos", (ROUND(Q56,4)&lt;'Tabela de ingredientes'!$W$28)+(ROUND(Q56,4)&gt;'Tabela de ingredientes'!$W$29), 0) = 0, "Ok", "Revisar"))</f>
        <v>Ok</v>
      </c>
    </row>
    <row r="57">
      <c r="A57" s="39" t="str">
        <f>IFERROR(__xludf.DUMMYFUNCTION("""COMPUTED_VALUE"""),"Gelato de Gianduia (Addolcire)")</f>
        <v>Gelato de Gianduia (Addolcire)</v>
      </c>
      <c r="B57" s="39" t="s">
        <v>25</v>
      </c>
      <c r="C57" s="39">
        <v>10.0</v>
      </c>
      <c r="D57" s="39">
        <v>980.0</v>
      </c>
      <c r="E57" s="39" t="s">
        <v>515</v>
      </c>
      <c r="F57" s="69">
        <v>46.1938775510204</v>
      </c>
      <c r="G57" s="69">
        <v>2.771632653061224</v>
      </c>
      <c r="H57" s="69">
        <v>60.59095823759968</v>
      </c>
      <c r="I57" s="59">
        <v>0.1741326530612245</v>
      </c>
      <c r="J57" s="59">
        <v>0.11959183673469387</v>
      </c>
      <c r="K57" s="59">
        <v>0.09163265306122449</v>
      </c>
      <c r="L57" s="59">
        <v>0.04734693877551021</v>
      </c>
      <c r="M57" s="59">
        <v>0.43270408163265306</v>
      </c>
      <c r="N57" s="59">
        <v>0.5672959183673469</v>
      </c>
      <c r="O57" s="39">
        <v>180.12244897959184</v>
      </c>
      <c r="P57" s="39">
        <v>256.83673469387753</v>
      </c>
      <c r="Q57" s="59">
        <v>0.05371428571428571</v>
      </c>
      <c r="R57" s="39">
        <v>10.273469387755101</v>
      </c>
      <c r="S57" s="97" t="str">
        <f t="array" ref="S57">IF(A57="","", IF( (ROUND(I57,4) &lt; INDEX('Tabela de ingredientes'!$O$1:$V$30, SWITCH(B57, "Gelatos de Leite", 7, "Sorbets", 10, "Gelatos de Leite com Fruta", 13, "Chocolate base água", 16, "Vegano", 19, "Alcoólicos", 22, "Zero", 25, "Gelatos Proteicos", 28, 7), 1)) + (ROUND(I57,4) &gt; INDEX('Tabela de ingredientes'!$O$1:$V$30, SWITCH(B57, "Gelatos de Leite", 8, "Sorbets", 11, "Gelatos de Leite com Fruta", 14, "Chocolate base água", 17, "Vegano", 20, "Alcoólicos", 23, "Zero", 26, "Gelatos Proteicos", 29, 8), 1)) + (ROUND(J57,4) &lt; INDEX('Tabela de ingredientes'!$O$1:$V$30, SWITCH(B57, "Gelatos de Leite", 7, "Sorbets", 10, "Gelatos de Leite com Fruta", 13, "Chocolate base água", 16, "Vegano", 19, "Alcoólicos", 22, "Zero", 25, "Gelatos Proteicos", 28, 7), 2)) + (ROUND(J57,4) &gt; INDEX('Tabela de ingredientes'!$O$1:$V$30, SWITCH(B57, "Gelatos de Leite", 8, "Sorbets", 11, "Gelatos de Leite com Fruta", 14, "Chocolate base água", 17, "Vegano", 20, "Alcoólicos", 23, "Zero", 26, "Gelatos Proteicos", 29, 8), 2)) + (ROUND(K57,4) &lt; INDEX('Tabela de ingredientes'!$O$1:$V$30, SWITCH(B57, "Gelatos de Leite", 7, "Sorbets", 10, "Gelatos de Leite com Fruta", 13, "Chocolate base água", 16, "Vegano", 19, "Alcoólicos", 22, "Zero", 25, "Gelatos Proteicos", 28, 7), 3)) + (ROUND(K57,4) &gt; INDEX('Tabela de ingredientes'!$O$1:$V$30, SWITCH(B57, "Gelatos de Leite", 8, "Sorbets", 11, "Gelatos de Leite com Fruta", 14, "Chocolate base água", 17, "Vegano", 20, "Alcoólicos", 23, "Zero", 26, "Gelatos Proteicos", 29, 8), 3)) + (ROUND(L57,4) &lt; INDEX('Tabela de ingredientes'!$O$1:$V$30, SWITCH(B57, "Gelatos de Leite", 7, "Sorbets", 10, "Gelatos de Leite com Fruta", 13, "Chocolate base água", 16, "Vegano", 19, "Alcoólicos", 22, "Zero", 25, "Gelatos Proteicos", 28, 7), 4)) + (ROUND(L57,4) &gt; INDEX('Tabela de ingredientes'!$O$1:$V$30, SWITCH(B57, "Gelatos de Leite", 8, "Sorbets", 11, "Gelatos de Leite com Fruta", 14, "Chocolate base água", 17, "Vegano", 20, "Alcoólicos", 23, "Zero", 26, "Gelatos Proteicos", 29, 8), 4)) + (ROUND(M57,4) &lt; INDEX('Tabela de ingredientes'!$O$1:$V$30, SWITCH(B57, "Gelatos de Leite", 7, "Sorbets", 10, "Gelatos de Leite com Fruta", 13, "Chocolate base água", 16, "Vegano", 19, "Alcoólicos", 22, "Zero", 25, "Gelatos Proteicos", 28, 7), 5)) + (ROUND(M57,4) &gt; INDEX('Tabela de ingredientes'!$O$1:$V$30, SWITCH(B57, "Gelatos de Leite", 8, "Sorbets", 11, "Gelatos de Leite com Fruta", 14, "Chocolate base água", 17, "Vegano", 20, "Alcoólicos", 23, "Zero", 26, "Gelatos Proteicos", 29, 8), 5)) + (ROUND(N57,4) &lt; INDEX('Tabela de ingredientes'!$O$1:$V$30, SWITCH(B57, "Gelatos de Leite", 7, "Sorbets", 10, "Gelatos de Leite com Fruta", 13, "Chocolate base água", 16, "Vegano", 19, "Alcoólicos", 22, "Zero", 25, "Gelatos Proteicos", 28, 7), 6)) + (ROUND(N57,4) &gt; INDEX('Tabela de ingredientes'!$O$1:$V$30, SWITCH(B57, "Gelatos de Leite", 8, "Sorbets", 11, "Gelatos de Leite com Fruta", 14, "Chocolate base água", 17, "Vegano", 20, "Alcoólicos", 23, "Zero", 26, "Gelatos Proteicos", 29, 8), 6)) + (ROUND(O57,4) &lt; INDEX('Tabela de ingredientes'!$O$1:$V$30, SWITCH(B57, "Gelatos de Leite", 7, "Sorbets", 10, "Gelatos de Leite com Fruta", 13, "Chocolate base água", 16, "Vegano", 19, "Alcoólicos", 22, "Zero", 25, "Gelatos Proteicos", 28, 7), 7)) + (ROUND(O57,4) &gt; INDEX('Tabela de ingredientes'!$O$1:$V$30, SWITCH(B57, "Gelatos de Leite", 8, "Sorbets", 11, "Gelatos de Leite com Fruta", 14, "Chocolate base água", 17, "Vegano", 20, "Alcoólicos", 23, "Zero", 26, "Gelatos Proteicos", 29, 8), 7)) + (ROUND(P57,4) &lt; INDEX('Tabela de ingredientes'!$O$1:$V$30, SWITCH(B57, "Gelatos de Leite", 7, "Sorbets", 10, "Gelatos de Leite com Fruta", 13, "Chocolate base água", 16, "Vegano", 19, "Alcoólicos", 22, "Zero", 25, "Gelatos Proteicos", 28, 7), 8)) + (ROUND(P57,4) &gt; INDEX('Tabela de ingredientes'!$O$1:$V$30, SWITCH(B57, "Gelatos de Leite", 8, "Sorbets", 11, "Gelatos de Leite com Fruta", 14, "Chocolate base água", 17, "Vegano", 20, "Alcoólicos", 23, "Zero", 26, "Gelatos Proteicos", 29, 8), 8)) + IF(B57="Gelatos Proteicos", (ROUND(Q57,4)&lt;'Tabela de ingredientes'!$W$28)+(ROUND(Q57,4)&gt;'Tabela de ingredientes'!$W$29), 0) = 0, "Ok", "Revisar"))</f>
        <v>Revisar</v>
      </c>
    </row>
    <row r="58">
      <c r="A58" s="39" t="str">
        <f>IFERROR(__xludf.DUMMYFUNCTION("""COMPUTED_VALUE"""),"Gelato de Gingerbread (Addolcire)")</f>
        <v>Gelato de Gingerbread (Addolcire)</v>
      </c>
      <c r="B58" s="39" t="s">
        <v>25</v>
      </c>
      <c r="C58" s="39">
        <v>7.0</v>
      </c>
      <c r="D58" s="39">
        <v>1000.0</v>
      </c>
      <c r="E58" s="39" t="s">
        <v>171</v>
      </c>
      <c r="F58" s="69">
        <v>11.494399999999999</v>
      </c>
      <c r="G58" s="69">
        <v>0.6896639999999999</v>
      </c>
      <c r="H58" s="69">
        <v>31.86622516556292</v>
      </c>
      <c r="I58" s="59">
        <v>0.18153</v>
      </c>
      <c r="J58" s="59">
        <v>0.09639</v>
      </c>
      <c r="K58" s="59">
        <v>0.09992</v>
      </c>
      <c r="L58" s="59">
        <v>0.004</v>
      </c>
      <c r="M58" s="59">
        <v>0.38184</v>
      </c>
      <c r="N58" s="59">
        <v>0.61816</v>
      </c>
      <c r="O58" s="39">
        <v>176.20919999999998</v>
      </c>
      <c r="P58" s="39">
        <v>241.26</v>
      </c>
      <c r="Q58" s="59">
        <v>0.03835</v>
      </c>
      <c r="R58" s="39">
        <v>9.6504</v>
      </c>
      <c r="S58" s="97" t="str">
        <f t="array" ref="S58">IF(A58="","", IF( (ROUND(I58,4) &lt; INDEX('Tabela de ingredientes'!$O$1:$V$30, SWITCH(B58, "Gelatos de Leite", 7, "Sorbets", 10, "Gelatos de Leite com Fruta", 13, "Chocolate base água", 16, "Vegano", 19, "Alcoólicos", 22, "Zero", 25, "Gelatos Proteicos", 28, 7), 1)) + (ROUND(I58,4) &gt; INDEX('Tabela de ingredientes'!$O$1:$V$30, SWITCH(B58, "Gelatos de Leite", 8, "Sorbets", 11, "Gelatos de Leite com Fruta", 14, "Chocolate base água", 17, "Vegano", 20, "Alcoólicos", 23, "Zero", 26, "Gelatos Proteicos", 29, 8), 1)) + (ROUND(J58,4) &lt; INDEX('Tabela de ingredientes'!$O$1:$V$30, SWITCH(B58, "Gelatos de Leite", 7, "Sorbets", 10, "Gelatos de Leite com Fruta", 13, "Chocolate base água", 16, "Vegano", 19, "Alcoólicos", 22, "Zero", 25, "Gelatos Proteicos", 28, 7), 2)) + (ROUND(J58,4) &gt; INDEX('Tabela de ingredientes'!$O$1:$V$30, SWITCH(B58, "Gelatos de Leite", 8, "Sorbets", 11, "Gelatos de Leite com Fruta", 14, "Chocolate base água", 17, "Vegano", 20, "Alcoólicos", 23, "Zero", 26, "Gelatos Proteicos", 29, 8), 2)) + (ROUND(K58,4) &lt; INDEX('Tabela de ingredientes'!$O$1:$V$30, SWITCH(B58, "Gelatos de Leite", 7, "Sorbets", 10, "Gelatos de Leite com Fruta", 13, "Chocolate base água", 16, "Vegano", 19, "Alcoólicos", 22, "Zero", 25, "Gelatos Proteicos", 28, 7), 3)) + (ROUND(K58,4) &gt; INDEX('Tabela de ingredientes'!$O$1:$V$30, SWITCH(B58, "Gelatos de Leite", 8, "Sorbets", 11, "Gelatos de Leite com Fruta", 14, "Chocolate base água", 17, "Vegano", 20, "Alcoólicos", 23, "Zero", 26, "Gelatos Proteicos", 29, 8), 3)) + (ROUND(L58,4) &lt; INDEX('Tabela de ingredientes'!$O$1:$V$30, SWITCH(B58, "Gelatos de Leite", 7, "Sorbets", 10, "Gelatos de Leite com Fruta", 13, "Chocolate base água", 16, "Vegano", 19, "Alcoólicos", 22, "Zero", 25, "Gelatos Proteicos", 28, 7), 4)) + (ROUND(L58,4) &gt; INDEX('Tabela de ingredientes'!$O$1:$V$30, SWITCH(B58, "Gelatos de Leite", 8, "Sorbets", 11, "Gelatos de Leite com Fruta", 14, "Chocolate base água", 17, "Vegano", 20, "Alcoólicos", 23, "Zero", 26, "Gelatos Proteicos", 29, 8), 4)) + (ROUND(M58,4) &lt; INDEX('Tabela de ingredientes'!$O$1:$V$30, SWITCH(B58, "Gelatos de Leite", 7, "Sorbets", 10, "Gelatos de Leite com Fruta", 13, "Chocolate base água", 16, "Vegano", 19, "Alcoólicos", 22, "Zero", 25, "Gelatos Proteicos", 28, 7), 5)) + (ROUND(M58,4) &gt; INDEX('Tabela de ingredientes'!$O$1:$V$30, SWITCH(B58, "Gelatos de Leite", 8, "Sorbets", 11, "Gelatos de Leite com Fruta", 14, "Chocolate base água", 17, "Vegano", 20, "Alcoólicos", 23, "Zero", 26, "Gelatos Proteicos", 29, 8), 5)) + (ROUND(N58,4) &lt; INDEX('Tabela de ingredientes'!$O$1:$V$30, SWITCH(B58, "Gelatos de Leite", 7, "Sorbets", 10, "Gelatos de Leite com Fruta", 13, "Chocolate base água", 16, "Vegano", 19, "Alcoólicos", 22, "Zero", 25, "Gelatos Proteicos", 28, 7), 6)) + (ROUND(N58,4) &gt; INDEX('Tabela de ingredientes'!$O$1:$V$30, SWITCH(B58, "Gelatos de Leite", 8, "Sorbets", 11, "Gelatos de Leite com Fruta", 14, "Chocolate base água", 17, "Vegano", 20, "Alcoólicos", 23, "Zero", 26, "Gelatos Proteicos", 29, 8), 6)) + (ROUND(O58,4) &lt; INDEX('Tabela de ingredientes'!$O$1:$V$30, SWITCH(B58, "Gelatos de Leite", 7, "Sorbets", 10, "Gelatos de Leite com Fruta", 13, "Chocolate base água", 16, "Vegano", 19, "Alcoólicos", 22, "Zero", 25, "Gelatos Proteicos", 28, 7), 7)) + (ROUND(O58,4) &gt; INDEX('Tabela de ingredientes'!$O$1:$V$30, SWITCH(B58, "Gelatos de Leite", 8, "Sorbets", 11, "Gelatos de Leite com Fruta", 14, "Chocolate base água", 17, "Vegano", 20, "Alcoólicos", 23, "Zero", 26, "Gelatos Proteicos", 29, 8), 7)) + (ROUND(P58,4) &lt; INDEX('Tabela de ingredientes'!$O$1:$V$30, SWITCH(B58, "Gelatos de Leite", 7, "Sorbets", 10, "Gelatos de Leite com Fruta", 13, "Chocolate base água", 16, "Vegano", 19, "Alcoólicos", 22, "Zero", 25, "Gelatos Proteicos", 28, 7), 8)) + (ROUND(P58,4) &gt; INDEX('Tabela de ingredientes'!$O$1:$V$30, SWITCH(B58, "Gelatos de Leite", 8, "Sorbets", 11, "Gelatos de Leite com Fruta", 14, "Chocolate base água", 17, "Vegano", 20, "Alcoólicos", 23, "Zero", 26, "Gelatos Proteicos", 29, 8), 8)) + IF(B58="Gelatos Proteicos", (ROUND(Q58,4)&lt;'Tabela de ingredientes'!$W$28)+(ROUND(Q58,4)&gt;'Tabela de ingredientes'!$W$29), 0) = 0, "Ok", "Revisar"))</f>
        <v>Ok</v>
      </c>
    </row>
    <row r="59">
      <c r="A59" s="39" t="str">
        <f>IFERROR(__xludf.DUMMYFUNCTION("""COMPUTED_VALUE"""),"Gelato de Guaraná (Addolcire)")</f>
        <v>Gelato de Guaraná (Addolcire)</v>
      </c>
      <c r="B59" s="39" t="s">
        <v>25</v>
      </c>
      <c r="C59" s="39">
        <v>6.0</v>
      </c>
      <c r="D59" s="39">
        <v>987.0</v>
      </c>
      <c r="E59" s="39" t="s">
        <v>520</v>
      </c>
      <c r="F59" s="69">
        <v>10.46241134751773</v>
      </c>
      <c r="G59" s="69">
        <v>0.6277446808510637</v>
      </c>
      <c r="H59" s="69">
        <v>31.011929923441837</v>
      </c>
      <c r="I59" s="59">
        <v>0.14979736575481256</v>
      </c>
      <c r="J59" s="59">
        <v>0.09765957446808511</v>
      </c>
      <c r="K59" s="59">
        <v>0.09337386018237082</v>
      </c>
      <c r="L59" s="59">
        <v>0.004052684903748734</v>
      </c>
      <c r="M59" s="59">
        <v>0.3448834853090172</v>
      </c>
      <c r="N59" s="59">
        <v>0.6551165146909828</v>
      </c>
      <c r="O59" s="39">
        <v>140.53617021276597</v>
      </c>
      <c r="P59" s="39">
        <v>186.2816616008105</v>
      </c>
      <c r="Q59" s="59">
        <v>0.03593718338399189</v>
      </c>
      <c r="R59" s="39">
        <v>7.45126646403242</v>
      </c>
      <c r="S59" s="97" t="str">
        <f t="array" ref="S59">IF(A59="","", IF( (ROUND(I59,4) &lt; INDEX('Tabela de ingredientes'!$O$1:$V$30, SWITCH(B59, "Gelatos de Leite", 7, "Sorbets", 10, "Gelatos de Leite com Fruta", 13, "Chocolate base água", 16, "Vegano", 19, "Alcoólicos", 22, "Zero", 25, "Gelatos Proteicos", 28, 7), 1)) + (ROUND(I59,4) &gt; INDEX('Tabela de ingredientes'!$O$1:$V$30, SWITCH(B59, "Gelatos de Leite", 8, "Sorbets", 11, "Gelatos de Leite com Fruta", 14, "Chocolate base água", 17, "Vegano", 20, "Alcoólicos", 23, "Zero", 26, "Gelatos Proteicos", 29, 8), 1)) + (ROUND(J59,4) &lt; INDEX('Tabela de ingredientes'!$O$1:$V$30, SWITCH(B59, "Gelatos de Leite", 7, "Sorbets", 10, "Gelatos de Leite com Fruta", 13, "Chocolate base água", 16, "Vegano", 19, "Alcoólicos", 22, "Zero", 25, "Gelatos Proteicos", 28, 7), 2)) + (ROUND(J59,4) &gt; INDEX('Tabela de ingredientes'!$O$1:$V$30, SWITCH(B59, "Gelatos de Leite", 8, "Sorbets", 11, "Gelatos de Leite com Fruta", 14, "Chocolate base água", 17, "Vegano", 20, "Alcoólicos", 23, "Zero", 26, "Gelatos Proteicos", 29, 8), 2)) + (ROUND(K59,4) &lt; INDEX('Tabela de ingredientes'!$O$1:$V$30, SWITCH(B59, "Gelatos de Leite", 7, "Sorbets", 10, "Gelatos de Leite com Fruta", 13, "Chocolate base água", 16, "Vegano", 19, "Alcoólicos", 22, "Zero", 25, "Gelatos Proteicos", 28, 7), 3)) + (ROUND(K59,4) &gt; INDEX('Tabela de ingredientes'!$O$1:$V$30, SWITCH(B59, "Gelatos de Leite", 8, "Sorbets", 11, "Gelatos de Leite com Fruta", 14, "Chocolate base água", 17, "Vegano", 20, "Alcoólicos", 23, "Zero", 26, "Gelatos Proteicos", 29, 8), 3)) + (ROUND(L59,4) &lt; INDEX('Tabela de ingredientes'!$O$1:$V$30, SWITCH(B59, "Gelatos de Leite", 7, "Sorbets", 10, "Gelatos de Leite com Fruta", 13, "Chocolate base água", 16, "Vegano", 19, "Alcoólicos", 22, "Zero", 25, "Gelatos Proteicos", 28, 7), 4)) + (ROUND(L59,4) &gt; INDEX('Tabela de ingredientes'!$O$1:$V$30, SWITCH(B59, "Gelatos de Leite", 8, "Sorbets", 11, "Gelatos de Leite com Fruta", 14, "Chocolate base água", 17, "Vegano", 20, "Alcoólicos", 23, "Zero", 26, "Gelatos Proteicos", 29, 8), 4)) + (ROUND(M59,4) &lt; INDEX('Tabela de ingredientes'!$O$1:$V$30, SWITCH(B59, "Gelatos de Leite", 7, "Sorbets", 10, "Gelatos de Leite com Fruta", 13, "Chocolate base água", 16, "Vegano", 19, "Alcoólicos", 22, "Zero", 25, "Gelatos Proteicos", 28, 7), 5)) + (ROUND(M59,4) &gt; INDEX('Tabela de ingredientes'!$O$1:$V$30, SWITCH(B59, "Gelatos de Leite", 8, "Sorbets", 11, "Gelatos de Leite com Fruta", 14, "Chocolate base água", 17, "Vegano", 20, "Alcoólicos", 23, "Zero", 26, "Gelatos Proteicos", 29, 8), 5)) + (ROUND(N59,4) &lt; INDEX('Tabela de ingredientes'!$O$1:$V$30, SWITCH(B59, "Gelatos de Leite", 7, "Sorbets", 10, "Gelatos de Leite com Fruta", 13, "Chocolate base água", 16, "Vegano", 19, "Alcoólicos", 22, "Zero", 25, "Gelatos Proteicos", 28, 7), 6)) + (ROUND(N59,4) &gt; INDEX('Tabela de ingredientes'!$O$1:$V$30, SWITCH(B59, "Gelatos de Leite", 8, "Sorbets", 11, "Gelatos de Leite com Fruta", 14, "Chocolate base água", 17, "Vegano", 20, "Alcoólicos", 23, "Zero", 26, "Gelatos Proteicos", 29, 8), 6)) + (ROUND(O59,4) &lt; INDEX('Tabela de ingredientes'!$O$1:$V$30, SWITCH(B59, "Gelatos de Leite", 7, "Sorbets", 10, "Gelatos de Leite com Fruta", 13, "Chocolate base água", 16, "Vegano", 19, "Alcoólicos", 22, "Zero", 25, "Gelatos Proteicos", 28, 7), 7)) + (ROUND(O59,4) &gt; INDEX('Tabela de ingredientes'!$O$1:$V$30, SWITCH(B59, "Gelatos de Leite", 8, "Sorbets", 11, "Gelatos de Leite com Fruta", 14, "Chocolate base água", 17, "Vegano", 20, "Alcoólicos", 23, "Zero", 26, "Gelatos Proteicos", 29, 8), 7)) + (ROUND(P59,4) &lt; INDEX('Tabela de ingredientes'!$O$1:$V$30, SWITCH(B59, "Gelatos de Leite", 7, "Sorbets", 10, "Gelatos de Leite com Fruta", 13, "Chocolate base água", 16, "Vegano", 19, "Alcoólicos", 22, "Zero", 25, "Gelatos Proteicos", 28, 7), 8)) + (ROUND(P59,4) &gt; INDEX('Tabela de ingredientes'!$O$1:$V$30, SWITCH(B59, "Gelatos de Leite", 8, "Sorbets", 11, "Gelatos de Leite com Fruta", 14, "Chocolate base água", 17, "Vegano", 20, "Alcoólicos", 23, "Zero", 26, "Gelatos Proteicos", 29, 8), 8)) + IF(B59="Gelatos Proteicos", (ROUND(Q59,4)&lt;'Tabela de ingredientes'!$W$28)+(ROUND(Q59,4)&gt;'Tabela de ingredientes'!$W$29), 0) = 0, "Ok", "Revisar"))</f>
        <v>Revisar</v>
      </c>
    </row>
    <row r="60">
      <c r="A60" s="39" t="str">
        <f>IFERROR(__xludf.DUMMYFUNCTION("""COMPUTED_VALUE"""),"Gelato Kinder Bueno (Addolcire)")</f>
        <v>Gelato Kinder Bueno (Addolcire)</v>
      </c>
      <c r="B60" s="39" t="s">
        <v>25</v>
      </c>
      <c r="C60" s="39">
        <v>9.0</v>
      </c>
      <c r="D60" s="39">
        <v>1081.0</v>
      </c>
      <c r="E60" s="39" t="s">
        <v>445</v>
      </c>
      <c r="F60" s="69">
        <v>25.228862164662353</v>
      </c>
      <c r="G60" s="69">
        <v>1.513731729879741</v>
      </c>
      <c r="H60" s="69">
        <v>43.23581305021719</v>
      </c>
      <c r="I60" s="59">
        <v>0.1864477335800185</v>
      </c>
      <c r="J60" s="59">
        <v>0.12385753931544864</v>
      </c>
      <c r="K60" s="59">
        <v>0.09821461609620721</v>
      </c>
      <c r="L60" s="59">
        <v>0.016234967622571695</v>
      </c>
      <c r="M60" s="59">
        <v>0.42475485661424606</v>
      </c>
      <c r="N60" s="59">
        <v>0.5752451433857539</v>
      </c>
      <c r="O60" s="39">
        <v>180.15652173913043</v>
      </c>
      <c r="P60" s="39">
        <v>280.8140610545791</v>
      </c>
      <c r="Q60" s="59">
        <v>0.04352451433857539</v>
      </c>
      <c r="R60" s="39">
        <v>11.232562442183164</v>
      </c>
      <c r="S60" s="97" t="str">
        <f t="array" ref="S60">IF(A60="","", IF( (ROUND(I60,4) &lt; INDEX('Tabela de ingredientes'!$O$1:$V$30, SWITCH(B60, "Gelatos de Leite", 7, "Sorbets", 10, "Gelatos de Leite com Fruta", 13, "Chocolate base água", 16, "Vegano", 19, "Alcoólicos", 22, "Zero", 25, "Gelatos Proteicos", 28, 7), 1)) + (ROUND(I60,4) &gt; INDEX('Tabela de ingredientes'!$O$1:$V$30, SWITCH(B60, "Gelatos de Leite", 8, "Sorbets", 11, "Gelatos de Leite com Fruta", 14, "Chocolate base água", 17, "Vegano", 20, "Alcoólicos", 23, "Zero", 26, "Gelatos Proteicos", 29, 8), 1)) + (ROUND(J60,4) &lt; INDEX('Tabela de ingredientes'!$O$1:$V$30, SWITCH(B60, "Gelatos de Leite", 7, "Sorbets", 10, "Gelatos de Leite com Fruta", 13, "Chocolate base água", 16, "Vegano", 19, "Alcoólicos", 22, "Zero", 25, "Gelatos Proteicos", 28, 7), 2)) + (ROUND(J60,4) &gt; INDEX('Tabela de ingredientes'!$O$1:$V$30, SWITCH(B60, "Gelatos de Leite", 8, "Sorbets", 11, "Gelatos de Leite com Fruta", 14, "Chocolate base água", 17, "Vegano", 20, "Alcoólicos", 23, "Zero", 26, "Gelatos Proteicos", 29, 8), 2)) + (ROUND(K60,4) &lt; INDEX('Tabela de ingredientes'!$O$1:$V$30, SWITCH(B60, "Gelatos de Leite", 7, "Sorbets", 10, "Gelatos de Leite com Fruta", 13, "Chocolate base água", 16, "Vegano", 19, "Alcoólicos", 22, "Zero", 25, "Gelatos Proteicos", 28, 7), 3)) + (ROUND(K60,4) &gt; INDEX('Tabela de ingredientes'!$O$1:$V$30, SWITCH(B60, "Gelatos de Leite", 8, "Sorbets", 11, "Gelatos de Leite com Fruta", 14, "Chocolate base água", 17, "Vegano", 20, "Alcoólicos", 23, "Zero", 26, "Gelatos Proteicos", 29, 8), 3)) + (ROUND(L60,4) &lt; INDEX('Tabela de ingredientes'!$O$1:$V$30, SWITCH(B60, "Gelatos de Leite", 7, "Sorbets", 10, "Gelatos de Leite com Fruta", 13, "Chocolate base água", 16, "Vegano", 19, "Alcoólicos", 22, "Zero", 25, "Gelatos Proteicos", 28, 7), 4)) + (ROUND(L60,4) &gt; INDEX('Tabela de ingredientes'!$O$1:$V$30, SWITCH(B60, "Gelatos de Leite", 8, "Sorbets", 11, "Gelatos de Leite com Fruta", 14, "Chocolate base água", 17, "Vegano", 20, "Alcoólicos", 23, "Zero", 26, "Gelatos Proteicos", 29, 8), 4)) + (ROUND(M60,4) &lt; INDEX('Tabela de ingredientes'!$O$1:$V$30, SWITCH(B60, "Gelatos de Leite", 7, "Sorbets", 10, "Gelatos de Leite com Fruta", 13, "Chocolate base água", 16, "Vegano", 19, "Alcoólicos", 22, "Zero", 25, "Gelatos Proteicos", 28, 7), 5)) + (ROUND(M60,4) &gt; INDEX('Tabela de ingredientes'!$O$1:$V$30, SWITCH(B60, "Gelatos de Leite", 8, "Sorbets", 11, "Gelatos de Leite com Fruta", 14, "Chocolate base água", 17, "Vegano", 20, "Alcoólicos", 23, "Zero", 26, "Gelatos Proteicos", 29, 8), 5)) + (ROUND(N60,4) &lt; INDEX('Tabela de ingredientes'!$O$1:$V$30, SWITCH(B60, "Gelatos de Leite", 7, "Sorbets", 10, "Gelatos de Leite com Fruta", 13, "Chocolate base água", 16, "Vegano", 19, "Alcoólicos", 22, "Zero", 25, "Gelatos Proteicos", 28, 7), 6)) + (ROUND(N60,4) &gt; INDEX('Tabela de ingredientes'!$O$1:$V$30, SWITCH(B60, "Gelatos de Leite", 8, "Sorbets", 11, "Gelatos de Leite com Fruta", 14, "Chocolate base água", 17, "Vegano", 20, "Alcoólicos", 23, "Zero", 26, "Gelatos Proteicos", 29, 8), 6)) + (ROUND(O60,4) &lt; INDEX('Tabela de ingredientes'!$O$1:$V$30, SWITCH(B60, "Gelatos de Leite", 7, "Sorbets", 10, "Gelatos de Leite com Fruta", 13, "Chocolate base água", 16, "Vegano", 19, "Alcoólicos", 22, "Zero", 25, "Gelatos Proteicos", 28, 7), 7)) + (ROUND(O60,4) &gt; INDEX('Tabela de ingredientes'!$O$1:$V$30, SWITCH(B60, "Gelatos de Leite", 8, "Sorbets", 11, "Gelatos de Leite com Fruta", 14, "Chocolate base água", 17, "Vegano", 20, "Alcoólicos", 23, "Zero", 26, "Gelatos Proteicos", 29, 8), 7)) + (ROUND(P60,4) &lt; INDEX('Tabela de ingredientes'!$O$1:$V$30, SWITCH(B60, "Gelatos de Leite", 7, "Sorbets", 10, "Gelatos de Leite com Fruta", 13, "Chocolate base água", 16, "Vegano", 19, "Alcoólicos", 22, "Zero", 25, "Gelatos Proteicos", 28, 7), 8)) + (ROUND(P60,4) &gt; INDEX('Tabela de ingredientes'!$O$1:$V$30, SWITCH(B60, "Gelatos de Leite", 8, "Sorbets", 11, "Gelatos de Leite com Fruta", 14, "Chocolate base água", 17, "Vegano", 20, "Alcoólicos", 23, "Zero", 26, "Gelatos Proteicos", 29, 8), 8)) + IF(B60="Gelatos Proteicos", (ROUND(Q60,4)&lt;'Tabela de ingredientes'!$W$28)+(ROUND(Q60,4)&gt;'Tabela de ingredientes'!$W$29), 0) = 0, "Ok", "Revisar"))</f>
        <v>Revisar</v>
      </c>
    </row>
    <row r="61">
      <c r="A61" s="39" t="str">
        <f>IFERROR(__xludf.DUMMYFUNCTION("""COMPUTED_VALUE"""),"Gelato de Leite Condensado (Addolcire)")</f>
        <v>Gelato de Leite Condensado (Addolcire)</v>
      </c>
      <c r="B61" s="39" t="s">
        <v>25</v>
      </c>
      <c r="C61" s="39">
        <v>8.0</v>
      </c>
      <c r="D61" s="39">
        <v>1000.0</v>
      </c>
      <c r="E61" s="39" t="s">
        <v>171</v>
      </c>
      <c r="F61" s="69">
        <v>12.9012</v>
      </c>
      <c r="G61" s="69">
        <v>0.774072</v>
      </c>
      <c r="H61" s="69">
        <v>33.030794701986764</v>
      </c>
      <c r="I61" s="59">
        <v>0.16097</v>
      </c>
      <c r="J61" s="59">
        <v>0.08845499999999999</v>
      </c>
      <c r="K61" s="59">
        <v>0.08465400000000001</v>
      </c>
      <c r="L61" s="59">
        <v>0.009175999999999998</v>
      </c>
      <c r="M61" s="59">
        <v>0.34325500000000003</v>
      </c>
      <c r="N61" s="59">
        <v>0.6567449999999999</v>
      </c>
      <c r="O61" s="39">
        <v>139.51160000000002</v>
      </c>
      <c r="P61" s="39">
        <v>227.03</v>
      </c>
      <c r="Q61" s="59">
        <v>0.035005</v>
      </c>
      <c r="R61" s="39">
        <v>9.0812</v>
      </c>
      <c r="S61" s="97" t="str">
        <f t="array" ref="S61">IF(A61="","", IF( (ROUND(I61,4) &lt; INDEX('Tabela de ingredientes'!$O$1:$V$30, SWITCH(B61, "Gelatos de Leite", 7, "Sorbets", 10, "Gelatos de Leite com Fruta", 13, "Chocolate base água", 16, "Vegano", 19, "Alcoólicos", 22, "Zero", 25, "Gelatos Proteicos", 28, 7), 1)) + (ROUND(I61,4) &gt; INDEX('Tabela de ingredientes'!$O$1:$V$30, SWITCH(B61, "Gelatos de Leite", 8, "Sorbets", 11, "Gelatos de Leite com Fruta", 14, "Chocolate base água", 17, "Vegano", 20, "Alcoólicos", 23, "Zero", 26, "Gelatos Proteicos", 29, 8), 1)) + (ROUND(J61,4) &lt; INDEX('Tabela de ingredientes'!$O$1:$V$30, SWITCH(B61, "Gelatos de Leite", 7, "Sorbets", 10, "Gelatos de Leite com Fruta", 13, "Chocolate base água", 16, "Vegano", 19, "Alcoólicos", 22, "Zero", 25, "Gelatos Proteicos", 28, 7), 2)) + (ROUND(J61,4) &gt; INDEX('Tabela de ingredientes'!$O$1:$V$30, SWITCH(B61, "Gelatos de Leite", 8, "Sorbets", 11, "Gelatos de Leite com Fruta", 14, "Chocolate base água", 17, "Vegano", 20, "Alcoólicos", 23, "Zero", 26, "Gelatos Proteicos", 29, 8), 2)) + (ROUND(K61,4) &lt; INDEX('Tabela de ingredientes'!$O$1:$V$30, SWITCH(B61, "Gelatos de Leite", 7, "Sorbets", 10, "Gelatos de Leite com Fruta", 13, "Chocolate base água", 16, "Vegano", 19, "Alcoólicos", 22, "Zero", 25, "Gelatos Proteicos", 28, 7), 3)) + (ROUND(K61,4) &gt; INDEX('Tabela de ingredientes'!$O$1:$V$30, SWITCH(B61, "Gelatos de Leite", 8, "Sorbets", 11, "Gelatos de Leite com Fruta", 14, "Chocolate base água", 17, "Vegano", 20, "Alcoólicos", 23, "Zero", 26, "Gelatos Proteicos", 29, 8), 3)) + (ROUND(L61,4) &lt; INDEX('Tabela de ingredientes'!$O$1:$V$30, SWITCH(B61, "Gelatos de Leite", 7, "Sorbets", 10, "Gelatos de Leite com Fruta", 13, "Chocolate base água", 16, "Vegano", 19, "Alcoólicos", 22, "Zero", 25, "Gelatos Proteicos", 28, 7), 4)) + (ROUND(L61,4) &gt; INDEX('Tabela de ingredientes'!$O$1:$V$30, SWITCH(B61, "Gelatos de Leite", 8, "Sorbets", 11, "Gelatos de Leite com Fruta", 14, "Chocolate base água", 17, "Vegano", 20, "Alcoólicos", 23, "Zero", 26, "Gelatos Proteicos", 29, 8), 4)) + (ROUND(M61,4) &lt; INDEX('Tabela de ingredientes'!$O$1:$V$30, SWITCH(B61, "Gelatos de Leite", 7, "Sorbets", 10, "Gelatos de Leite com Fruta", 13, "Chocolate base água", 16, "Vegano", 19, "Alcoólicos", 22, "Zero", 25, "Gelatos Proteicos", 28, 7), 5)) + (ROUND(M61,4) &gt; INDEX('Tabela de ingredientes'!$O$1:$V$30, SWITCH(B61, "Gelatos de Leite", 8, "Sorbets", 11, "Gelatos de Leite com Fruta", 14, "Chocolate base água", 17, "Vegano", 20, "Alcoólicos", 23, "Zero", 26, "Gelatos Proteicos", 29, 8), 5)) + (ROUND(N61,4) &lt; INDEX('Tabela de ingredientes'!$O$1:$V$30, SWITCH(B61, "Gelatos de Leite", 7, "Sorbets", 10, "Gelatos de Leite com Fruta", 13, "Chocolate base água", 16, "Vegano", 19, "Alcoólicos", 22, "Zero", 25, "Gelatos Proteicos", 28, 7), 6)) + (ROUND(N61,4) &gt; INDEX('Tabela de ingredientes'!$O$1:$V$30, SWITCH(B61, "Gelatos de Leite", 8, "Sorbets", 11, "Gelatos de Leite com Fruta", 14, "Chocolate base água", 17, "Vegano", 20, "Alcoólicos", 23, "Zero", 26, "Gelatos Proteicos", 29, 8), 6)) + (ROUND(O61,4) &lt; INDEX('Tabela de ingredientes'!$O$1:$V$30, SWITCH(B61, "Gelatos de Leite", 7, "Sorbets", 10, "Gelatos de Leite com Fruta", 13, "Chocolate base água", 16, "Vegano", 19, "Alcoólicos", 22, "Zero", 25, "Gelatos Proteicos", 28, 7), 7)) + (ROUND(O61,4) &gt; INDEX('Tabela de ingredientes'!$O$1:$V$30, SWITCH(B61, "Gelatos de Leite", 8, "Sorbets", 11, "Gelatos de Leite com Fruta", 14, "Chocolate base água", 17, "Vegano", 20, "Alcoólicos", 23, "Zero", 26, "Gelatos Proteicos", 29, 8), 7)) + (ROUND(P61,4) &lt; INDEX('Tabela de ingredientes'!$O$1:$V$30, SWITCH(B61, "Gelatos de Leite", 7, "Sorbets", 10, "Gelatos de Leite com Fruta", 13, "Chocolate base água", 16, "Vegano", 19, "Alcoólicos", 22, "Zero", 25, "Gelatos Proteicos", 28, 7), 8)) + (ROUND(P61,4) &gt; INDEX('Tabela de ingredientes'!$O$1:$V$30, SWITCH(B61, "Gelatos de Leite", 8, "Sorbets", 11, "Gelatos de Leite com Fruta", 14, "Chocolate base água", 17, "Vegano", 20, "Alcoólicos", 23, "Zero", 26, "Gelatos Proteicos", 29, 8), 8)) + IF(B61="Gelatos Proteicos", (ROUND(Q61,4)&lt;'Tabela de ingredientes'!$W$28)+(ROUND(Q61,4)&gt;'Tabela de ingredientes'!$W$29), 0) = 0, "Ok", "Revisar"))</f>
        <v>Ok</v>
      </c>
    </row>
    <row r="62">
      <c r="A62" s="39" t="str">
        <f>IFERROR(__xludf.DUMMYFUNCTION("""COMPUTED_VALUE"""),"Gelato de Leite Ninho (Addolcire)")</f>
        <v>Gelato de Leite Ninho (Addolcire)</v>
      </c>
      <c r="B62" s="39" t="s">
        <v>25</v>
      </c>
      <c r="C62" s="39">
        <v>8.0</v>
      </c>
      <c r="D62" s="39">
        <v>999.0</v>
      </c>
      <c r="E62" s="39" t="s">
        <v>525</v>
      </c>
      <c r="F62" s="69">
        <v>12.15015015015015</v>
      </c>
      <c r="G62" s="69">
        <v>0.729009009009009</v>
      </c>
      <c r="H62" s="69">
        <v>32.40906469383292</v>
      </c>
      <c r="I62" s="59">
        <v>0.18171171171171172</v>
      </c>
      <c r="J62" s="59">
        <v>0.09685685685685687</v>
      </c>
      <c r="K62" s="59">
        <v>0.10488488488488489</v>
      </c>
      <c r="L62" s="59">
        <v>0.004004004004004004</v>
      </c>
      <c r="M62" s="59">
        <v>0.3874574574574575</v>
      </c>
      <c r="N62" s="59">
        <v>0.6125425425425425</v>
      </c>
      <c r="O62" s="39">
        <v>176.7007007007007</v>
      </c>
      <c r="P62" s="39">
        <v>248.98898898898898</v>
      </c>
      <c r="Q62" s="59">
        <v>0.04028028028028028</v>
      </c>
      <c r="R62" s="39">
        <v>9.959559559559558</v>
      </c>
      <c r="S62" s="97" t="str">
        <f t="array" ref="S62">IF(A62="","", IF( (ROUND(I62,4) &lt; INDEX('Tabela de ingredientes'!$O$1:$V$30, SWITCH(B62, "Gelatos de Leite", 7, "Sorbets", 10, "Gelatos de Leite com Fruta", 13, "Chocolate base água", 16, "Vegano", 19, "Alcoólicos", 22, "Zero", 25, "Gelatos Proteicos", 28, 7), 1)) + (ROUND(I62,4) &gt; INDEX('Tabela de ingredientes'!$O$1:$V$30, SWITCH(B62, "Gelatos de Leite", 8, "Sorbets", 11, "Gelatos de Leite com Fruta", 14, "Chocolate base água", 17, "Vegano", 20, "Alcoólicos", 23, "Zero", 26, "Gelatos Proteicos", 29, 8), 1)) + (ROUND(J62,4) &lt; INDEX('Tabela de ingredientes'!$O$1:$V$30, SWITCH(B62, "Gelatos de Leite", 7, "Sorbets", 10, "Gelatos de Leite com Fruta", 13, "Chocolate base água", 16, "Vegano", 19, "Alcoólicos", 22, "Zero", 25, "Gelatos Proteicos", 28, 7), 2)) + (ROUND(J62,4) &gt; INDEX('Tabela de ingredientes'!$O$1:$V$30, SWITCH(B62, "Gelatos de Leite", 8, "Sorbets", 11, "Gelatos de Leite com Fruta", 14, "Chocolate base água", 17, "Vegano", 20, "Alcoólicos", 23, "Zero", 26, "Gelatos Proteicos", 29, 8), 2)) + (ROUND(K62,4) &lt; INDEX('Tabela de ingredientes'!$O$1:$V$30, SWITCH(B62, "Gelatos de Leite", 7, "Sorbets", 10, "Gelatos de Leite com Fruta", 13, "Chocolate base água", 16, "Vegano", 19, "Alcoólicos", 22, "Zero", 25, "Gelatos Proteicos", 28, 7), 3)) + (ROUND(K62,4) &gt; INDEX('Tabela de ingredientes'!$O$1:$V$30, SWITCH(B62, "Gelatos de Leite", 8, "Sorbets", 11, "Gelatos de Leite com Fruta", 14, "Chocolate base água", 17, "Vegano", 20, "Alcoólicos", 23, "Zero", 26, "Gelatos Proteicos", 29, 8), 3)) + (ROUND(L62,4) &lt; INDEX('Tabela de ingredientes'!$O$1:$V$30, SWITCH(B62, "Gelatos de Leite", 7, "Sorbets", 10, "Gelatos de Leite com Fruta", 13, "Chocolate base água", 16, "Vegano", 19, "Alcoólicos", 22, "Zero", 25, "Gelatos Proteicos", 28, 7), 4)) + (ROUND(L62,4) &gt; INDEX('Tabela de ingredientes'!$O$1:$V$30, SWITCH(B62, "Gelatos de Leite", 8, "Sorbets", 11, "Gelatos de Leite com Fruta", 14, "Chocolate base água", 17, "Vegano", 20, "Alcoólicos", 23, "Zero", 26, "Gelatos Proteicos", 29, 8), 4)) + (ROUND(M62,4) &lt; INDEX('Tabela de ingredientes'!$O$1:$V$30, SWITCH(B62, "Gelatos de Leite", 7, "Sorbets", 10, "Gelatos de Leite com Fruta", 13, "Chocolate base água", 16, "Vegano", 19, "Alcoólicos", 22, "Zero", 25, "Gelatos Proteicos", 28, 7), 5)) + (ROUND(M62,4) &gt; INDEX('Tabela de ingredientes'!$O$1:$V$30, SWITCH(B62, "Gelatos de Leite", 8, "Sorbets", 11, "Gelatos de Leite com Fruta", 14, "Chocolate base água", 17, "Vegano", 20, "Alcoólicos", 23, "Zero", 26, "Gelatos Proteicos", 29, 8), 5)) + (ROUND(N62,4) &lt; INDEX('Tabela de ingredientes'!$O$1:$V$30, SWITCH(B62, "Gelatos de Leite", 7, "Sorbets", 10, "Gelatos de Leite com Fruta", 13, "Chocolate base água", 16, "Vegano", 19, "Alcoólicos", 22, "Zero", 25, "Gelatos Proteicos", 28, 7), 6)) + (ROUND(N62,4) &gt; INDEX('Tabela de ingredientes'!$O$1:$V$30, SWITCH(B62, "Gelatos de Leite", 8, "Sorbets", 11, "Gelatos de Leite com Fruta", 14, "Chocolate base água", 17, "Vegano", 20, "Alcoólicos", 23, "Zero", 26, "Gelatos Proteicos", 29, 8), 6)) + (ROUND(O62,4) &lt; INDEX('Tabela de ingredientes'!$O$1:$V$30, SWITCH(B62, "Gelatos de Leite", 7, "Sorbets", 10, "Gelatos de Leite com Fruta", 13, "Chocolate base água", 16, "Vegano", 19, "Alcoólicos", 22, "Zero", 25, "Gelatos Proteicos", 28, 7), 7)) + (ROUND(O62,4) &gt; INDEX('Tabela de ingredientes'!$O$1:$V$30, SWITCH(B62, "Gelatos de Leite", 8, "Sorbets", 11, "Gelatos de Leite com Fruta", 14, "Chocolate base água", 17, "Vegano", 20, "Alcoólicos", 23, "Zero", 26, "Gelatos Proteicos", 29, 8), 7)) + (ROUND(P62,4) &lt; INDEX('Tabela de ingredientes'!$O$1:$V$30, SWITCH(B62, "Gelatos de Leite", 7, "Sorbets", 10, "Gelatos de Leite com Fruta", 13, "Chocolate base água", 16, "Vegano", 19, "Alcoólicos", 22, "Zero", 25, "Gelatos Proteicos", 28, 7), 8)) + (ROUND(P62,4) &gt; INDEX('Tabela de ingredientes'!$O$1:$V$30, SWITCH(B62, "Gelatos de Leite", 8, "Sorbets", 11, "Gelatos de Leite com Fruta", 14, "Chocolate base água", 17, "Vegano", 20, "Alcoólicos", 23, "Zero", 26, "Gelatos Proteicos", 29, 8), 8)) + IF(B62="Gelatos Proteicos", (ROUND(Q62,4)&lt;'Tabela de ingredientes'!$W$28)+(ROUND(Q62,4)&gt;'Tabela de ingredientes'!$W$29), 0) = 0, "Ok", "Revisar"))</f>
        <v>Ok</v>
      </c>
    </row>
    <row r="63">
      <c r="A63" s="39" t="str">
        <f>IFERROR(__xludf.DUMMYFUNCTION("""COMPUTED_VALUE"""),"Gelato de Matcha (Addolcire)")</f>
        <v>Gelato de Matcha (Addolcire)</v>
      </c>
      <c r="B63" s="39" t="s">
        <v>25</v>
      </c>
      <c r="C63" s="39">
        <v>8.0</v>
      </c>
      <c r="D63" s="39">
        <v>1010.0</v>
      </c>
      <c r="E63" s="39" t="s">
        <v>498</v>
      </c>
      <c r="F63" s="69">
        <v>13.162772277227722</v>
      </c>
      <c r="G63" s="69">
        <v>0.7897663366336632</v>
      </c>
      <c r="H63" s="69">
        <v>33.24732804406269</v>
      </c>
      <c r="I63" s="59">
        <v>0.17973267326732673</v>
      </c>
      <c r="J63" s="59">
        <v>0.09543564356435644</v>
      </c>
      <c r="K63" s="59">
        <v>0.09893069306930694</v>
      </c>
      <c r="L63" s="59">
        <v>0.013861386138613862</v>
      </c>
      <c r="M63" s="59">
        <v>0.38796039603960397</v>
      </c>
      <c r="N63" s="59">
        <v>0.612039603960396</v>
      </c>
      <c r="O63" s="39">
        <v>174.46455445544552</v>
      </c>
      <c r="P63" s="39">
        <v>238.87128712871288</v>
      </c>
      <c r="Q63" s="59">
        <v>0.03995049504950495</v>
      </c>
      <c r="R63" s="39">
        <v>9.554851485148514</v>
      </c>
      <c r="S63" s="97" t="str">
        <f t="array" ref="S63">IF(A63="","", IF( (ROUND(I63,4) &lt; INDEX('Tabela de ingredientes'!$O$1:$V$30, SWITCH(B63, "Gelatos de Leite", 7, "Sorbets", 10, "Gelatos de Leite com Fruta", 13, "Chocolate base água", 16, "Vegano", 19, "Alcoólicos", 22, "Zero", 25, "Gelatos Proteicos", 28, 7), 1)) + (ROUND(I63,4) &gt; INDEX('Tabela de ingredientes'!$O$1:$V$30, SWITCH(B63, "Gelatos de Leite", 8, "Sorbets", 11, "Gelatos de Leite com Fruta", 14, "Chocolate base água", 17, "Vegano", 20, "Alcoólicos", 23, "Zero", 26, "Gelatos Proteicos", 29, 8), 1)) + (ROUND(J63,4) &lt; INDEX('Tabela de ingredientes'!$O$1:$V$30, SWITCH(B63, "Gelatos de Leite", 7, "Sorbets", 10, "Gelatos de Leite com Fruta", 13, "Chocolate base água", 16, "Vegano", 19, "Alcoólicos", 22, "Zero", 25, "Gelatos Proteicos", 28, 7), 2)) + (ROUND(J63,4) &gt; INDEX('Tabela de ingredientes'!$O$1:$V$30, SWITCH(B63, "Gelatos de Leite", 8, "Sorbets", 11, "Gelatos de Leite com Fruta", 14, "Chocolate base água", 17, "Vegano", 20, "Alcoólicos", 23, "Zero", 26, "Gelatos Proteicos", 29, 8), 2)) + (ROUND(K63,4) &lt; INDEX('Tabela de ingredientes'!$O$1:$V$30, SWITCH(B63, "Gelatos de Leite", 7, "Sorbets", 10, "Gelatos de Leite com Fruta", 13, "Chocolate base água", 16, "Vegano", 19, "Alcoólicos", 22, "Zero", 25, "Gelatos Proteicos", 28, 7), 3)) + (ROUND(K63,4) &gt; INDEX('Tabela de ingredientes'!$O$1:$V$30, SWITCH(B63, "Gelatos de Leite", 8, "Sorbets", 11, "Gelatos de Leite com Fruta", 14, "Chocolate base água", 17, "Vegano", 20, "Alcoólicos", 23, "Zero", 26, "Gelatos Proteicos", 29, 8), 3)) + (ROUND(L63,4) &lt; INDEX('Tabela de ingredientes'!$O$1:$V$30, SWITCH(B63, "Gelatos de Leite", 7, "Sorbets", 10, "Gelatos de Leite com Fruta", 13, "Chocolate base água", 16, "Vegano", 19, "Alcoólicos", 22, "Zero", 25, "Gelatos Proteicos", 28, 7), 4)) + (ROUND(L63,4) &gt; INDEX('Tabela de ingredientes'!$O$1:$V$30, SWITCH(B63, "Gelatos de Leite", 8, "Sorbets", 11, "Gelatos de Leite com Fruta", 14, "Chocolate base água", 17, "Vegano", 20, "Alcoólicos", 23, "Zero", 26, "Gelatos Proteicos", 29, 8), 4)) + (ROUND(M63,4) &lt; INDEX('Tabela de ingredientes'!$O$1:$V$30, SWITCH(B63, "Gelatos de Leite", 7, "Sorbets", 10, "Gelatos de Leite com Fruta", 13, "Chocolate base água", 16, "Vegano", 19, "Alcoólicos", 22, "Zero", 25, "Gelatos Proteicos", 28, 7), 5)) + (ROUND(M63,4) &gt; INDEX('Tabela de ingredientes'!$O$1:$V$30, SWITCH(B63, "Gelatos de Leite", 8, "Sorbets", 11, "Gelatos de Leite com Fruta", 14, "Chocolate base água", 17, "Vegano", 20, "Alcoólicos", 23, "Zero", 26, "Gelatos Proteicos", 29, 8), 5)) + (ROUND(N63,4) &lt; INDEX('Tabela de ingredientes'!$O$1:$V$30, SWITCH(B63, "Gelatos de Leite", 7, "Sorbets", 10, "Gelatos de Leite com Fruta", 13, "Chocolate base água", 16, "Vegano", 19, "Alcoólicos", 22, "Zero", 25, "Gelatos Proteicos", 28, 7), 6)) + (ROUND(N63,4) &gt; INDEX('Tabela de ingredientes'!$O$1:$V$30, SWITCH(B63, "Gelatos de Leite", 8, "Sorbets", 11, "Gelatos de Leite com Fruta", 14, "Chocolate base água", 17, "Vegano", 20, "Alcoólicos", 23, "Zero", 26, "Gelatos Proteicos", 29, 8), 6)) + (ROUND(O63,4) &lt; INDEX('Tabela de ingredientes'!$O$1:$V$30, SWITCH(B63, "Gelatos de Leite", 7, "Sorbets", 10, "Gelatos de Leite com Fruta", 13, "Chocolate base água", 16, "Vegano", 19, "Alcoólicos", 22, "Zero", 25, "Gelatos Proteicos", 28, 7), 7)) + (ROUND(O63,4) &gt; INDEX('Tabela de ingredientes'!$O$1:$V$30, SWITCH(B63, "Gelatos de Leite", 8, "Sorbets", 11, "Gelatos de Leite com Fruta", 14, "Chocolate base água", 17, "Vegano", 20, "Alcoólicos", 23, "Zero", 26, "Gelatos Proteicos", 29, 8), 7)) + (ROUND(P63,4) &lt; INDEX('Tabela de ingredientes'!$O$1:$V$30, SWITCH(B63, "Gelatos de Leite", 7, "Sorbets", 10, "Gelatos de Leite com Fruta", 13, "Chocolate base água", 16, "Vegano", 19, "Alcoólicos", 22, "Zero", 25, "Gelatos Proteicos", 28, 7), 8)) + (ROUND(P63,4) &gt; INDEX('Tabela de ingredientes'!$O$1:$V$30, SWITCH(B63, "Gelatos de Leite", 8, "Sorbets", 11, "Gelatos de Leite com Fruta", 14, "Chocolate base água", 17, "Vegano", 20, "Alcoólicos", 23, "Zero", 26, "Gelatos Proteicos", 29, 8), 8)) + IF(B63="Gelatos Proteicos", (ROUND(Q63,4)&lt;'Tabela de ingredientes'!$W$28)+(ROUND(Q63,4)&gt;'Tabela de ingredientes'!$W$29), 0) = 0, "Ok", "Revisar"))</f>
        <v>Ok</v>
      </c>
    </row>
    <row r="64">
      <c r="A64" s="39" t="str">
        <f>IFERROR(__xludf.DUMMYFUNCTION("""COMPUTED_VALUE"""),"Gelato de Ovomaltine (Addolcire)")</f>
        <v>Gelato de Ovomaltine (Addolcire)</v>
      </c>
      <c r="B64" s="39" t="s">
        <v>25</v>
      </c>
      <c r="C64" s="39">
        <v>7.0</v>
      </c>
      <c r="D64" s="39">
        <v>1039.0</v>
      </c>
      <c r="E64" s="39" t="s">
        <v>527</v>
      </c>
      <c r="F64" s="69">
        <v>16.67218479307026</v>
      </c>
      <c r="G64" s="69">
        <v>1.0003310875842157</v>
      </c>
      <c r="H64" s="69">
        <v>36.15247085519062</v>
      </c>
      <c r="I64" s="59">
        <v>0.16951876804619825</v>
      </c>
      <c r="J64" s="59">
        <v>0.09825794032723772</v>
      </c>
      <c r="K64" s="59">
        <v>0.10251203079884504</v>
      </c>
      <c r="L64" s="59">
        <v>0.029451395572666027</v>
      </c>
      <c r="M64" s="59">
        <v>0.399740134744947</v>
      </c>
      <c r="N64" s="59">
        <v>0.600259865255053</v>
      </c>
      <c r="O64" s="39">
        <v>165.22540904716075</v>
      </c>
      <c r="P64" s="39">
        <v>235.18768046198264</v>
      </c>
      <c r="Q64" s="59">
        <v>0.04318575553416747</v>
      </c>
      <c r="R64" s="39">
        <v>9.407507218479305</v>
      </c>
      <c r="S64" s="97" t="str">
        <f t="array" ref="S64">IF(A64="","", IF( (ROUND(I64,4) &lt; INDEX('Tabela de ingredientes'!$O$1:$V$30, SWITCH(B64, "Gelatos de Leite", 7, "Sorbets", 10, "Gelatos de Leite com Fruta", 13, "Chocolate base água", 16, "Vegano", 19, "Alcoólicos", 22, "Zero", 25, "Gelatos Proteicos", 28, 7), 1)) + (ROUND(I64,4) &gt; INDEX('Tabela de ingredientes'!$O$1:$V$30, SWITCH(B64, "Gelatos de Leite", 8, "Sorbets", 11, "Gelatos de Leite com Fruta", 14, "Chocolate base água", 17, "Vegano", 20, "Alcoólicos", 23, "Zero", 26, "Gelatos Proteicos", 29, 8), 1)) + (ROUND(J64,4) &lt; INDEX('Tabela de ingredientes'!$O$1:$V$30, SWITCH(B64, "Gelatos de Leite", 7, "Sorbets", 10, "Gelatos de Leite com Fruta", 13, "Chocolate base água", 16, "Vegano", 19, "Alcoólicos", 22, "Zero", 25, "Gelatos Proteicos", 28, 7), 2)) + (ROUND(J64,4) &gt; INDEX('Tabela de ingredientes'!$O$1:$V$30, SWITCH(B64, "Gelatos de Leite", 8, "Sorbets", 11, "Gelatos de Leite com Fruta", 14, "Chocolate base água", 17, "Vegano", 20, "Alcoólicos", 23, "Zero", 26, "Gelatos Proteicos", 29, 8), 2)) + (ROUND(K64,4) &lt; INDEX('Tabela de ingredientes'!$O$1:$V$30, SWITCH(B64, "Gelatos de Leite", 7, "Sorbets", 10, "Gelatos de Leite com Fruta", 13, "Chocolate base água", 16, "Vegano", 19, "Alcoólicos", 22, "Zero", 25, "Gelatos Proteicos", 28, 7), 3)) + (ROUND(K64,4) &gt; INDEX('Tabela de ingredientes'!$O$1:$V$30, SWITCH(B64, "Gelatos de Leite", 8, "Sorbets", 11, "Gelatos de Leite com Fruta", 14, "Chocolate base água", 17, "Vegano", 20, "Alcoólicos", 23, "Zero", 26, "Gelatos Proteicos", 29, 8), 3)) + (ROUND(L64,4) &lt; INDEX('Tabela de ingredientes'!$O$1:$V$30, SWITCH(B64, "Gelatos de Leite", 7, "Sorbets", 10, "Gelatos de Leite com Fruta", 13, "Chocolate base água", 16, "Vegano", 19, "Alcoólicos", 22, "Zero", 25, "Gelatos Proteicos", 28, 7), 4)) + (ROUND(L64,4) &gt; INDEX('Tabela de ingredientes'!$O$1:$V$30, SWITCH(B64, "Gelatos de Leite", 8, "Sorbets", 11, "Gelatos de Leite com Fruta", 14, "Chocolate base água", 17, "Vegano", 20, "Alcoólicos", 23, "Zero", 26, "Gelatos Proteicos", 29, 8), 4)) + (ROUND(M64,4) &lt; INDEX('Tabela de ingredientes'!$O$1:$V$30, SWITCH(B64, "Gelatos de Leite", 7, "Sorbets", 10, "Gelatos de Leite com Fruta", 13, "Chocolate base água", 16, "Vegano", 19, "Alcoólicos", 22, "Zero", 25, "Gelatos Proteicos", 28, 7), 5)) + (ROUND(M64,4) &gt; INDEX('Tabela de ingredientes'!$O$1:$V$30, SWITCH(B64, "Gelatos de Leite", 8, "Sorbets", 11, "Gelatos de Leite com Fruta", 14, "Chocolate base água", 17, "Vegano", 20, "Alcoólicos", 23, "Zero", 26, "Gelatos Proteicos", 29, 8), 5)) + (ROUND(N64,4) &lt; INDEX('Tabela de ingredientes'!$O$1:$V$30, SWITCH(B64, "Gelatos de Leite", 7, "Sorbets", 10, "Gelatos de Leite com Fruta", 13, "Chocolate base água", 16, "Vegano", 19, "Alcoólicos", 22, "Zero", 25, "Gelatos Proteicos", 28, 7), 6)) + (ROUND(N64,4) &gt; INDEX('Tabela de ingredientes'!$O$1:$V$30, SWITCH(B64, "Gelatos de Leite", 8, "Sorbets", 11, "Gelatos de Leite com Fruta", 14, "Chocolate base água", 17, "Vegano", 20, "Alcoólicos", 23, "Zero", 26, "Gelatos Proteicos", 29, 8), 6)) + (ROUND(O64,4) &lt; INDEX('Tabela de ingredientes'!$O$1:$V$30, SWITCH(B64, "Gelatos de Leite", 7, "Sorbets", 10, "Gelatos de Leite com Fruta", 13, "Chocolate base água", 16, "Vegano", 19, "Alcoólicos", 22, "Zero", 25, "Gelatos Proteicos", 28, 7), 7)) + (ROUND(O64,4) &gt; INDEX('Tabela de ingredientes'!$O$1:$V$30, SWITCH(B64, "Gelatos de Leite", 8, "Sorbets", 11, "Gelatos de Leite com Fruta", 14, "Chocolate base água", 17, "Vegano", 20, "Alcoólicos", 23, "Zero", 26, "Gelatos Proteicos", 29, 8), 7)) + (ROUND(P64,4) &lt; INDEX('Tabela de ingredientes'!$O$1:$V$30, SWITCH(B64, "Gelatos de Leite", 7, "Sorbets", 10, "Gelatos de Leite com Fruta", 13, "Chocolate base água", 16, "Vegano", 19, "Alcoólicos", 22, "Zero", 25, "Gelatos Proteicos", 28, 7), 8)) + (ROUND(P64,4) &gt; INDEX('Tabela de ingredientes'!$O$1:$V$30, SWITCH(B64, "Gelatos de Leite", 8, "Sorbets", 11, "Gelatos de Leite com Fruta", 14, "Chocolate base água", 17, "Vegano", 20, "Alcoólicos", 23, "Zero", 26, "Gelatos Proteicos", 29, 8), 8)) + IF(B64="Gelatos Proteicos", (ROUND(Q64,4)&lt;'Tabela de ingredientes'!$W$28)+(ROUND(Q64,4)&gt;'Tabela de ingredientes'!$W$29), 0) = 0, "Ok", "Revisar"))</f>
        <v>Ok</v>
      </c>
    </row>
    <row r="65">
      <c r="A65" s="39" t="str">
        <f>IFERROR(__xludf.DUMMYFUNCTION("""COMPUTED_VALUE"""),"Gelato de Panettone (Addolcire)")</f>
        <v>Gelato de Panettone (Addolcire)</v>
      </c>
      <c r="B65" s="39" t="s">
        <v>25</v>
      </c>
      <c r="C65" s="39">
        <v>8.0</v>
      </c>
      <c r="D65" s="39">
        <v>1100.0</v>
      </c>
      <c r="E65" s="39" t="s">
        <v>530</v>
      </c>
      <c r="F65" s="69">
        <v>14.540363636363637</v>
      </c>
      <c r="G65" s="69">
        <v>0.8724218181818182</v>
      </c>
      <c r="H65" s="69">
        <v>34.387718242022885</v>
      </c>
      <c r="I65" s="59">
        <v>0.18502727272727273</v>
      </c>
      <c r="J65" s="59">
        <v>0.09853636363636363</v>
      </c>
      <c r="K65" s="59">
        <v>0.09447272727272728</v>
      </c>
      <c r="L65" s="59">
        <v>0.04181818181818182</v>
      </c>
      <c r="M65" s="59">
        <v>0.4198545454545454</v>
      </c>
      <c r="N65" s="59">
        <v>0.5801454545454545</v>
      </c>
      <c r="O65" s="39">
        <v>180.1901818181818</v>
      </c>
      <c r="P65" s="39">
        <v>242.05454545454546</v>
      </c>
      <c r="Q65" s="59">
        <v>0.04122727272727273</v>
      </c>
      <c r="R65" s="39">
        <v>9.682181818181819</v>
      </c>
      <c r="S65" s="97" t="str">
        <f t="array" ref="S65">IF(A65="","", IF( (ROUND(I65,4) &lt; INDEX('Tabela de ingredientes'!$O$1:$V$30, SWITCH(B65, "Gelatos de Leite", 7, "Sorbets", 10, "Gelatos de Leite com Fruta", 13, "Chocolate base água", 16, "Vegano", 19, "Alcoólicos", 22, "Zero", 25, "Gelatos Proteicos", 28, 7), 1)) + (ROUND(I65,4) &gt; INDEX('Tabela de ingredientes'!$O$1:$V$30, SWITCH(B65, "Gelatos de Leite", 8, "Sorbets", 11, "Gelatos de Leite com Fruta", 14, "Chocolate base água", 17, "Vegano", 20, "Alcoólicos", 23, "Zero", 26, "Gelatos Proteicos", 29, 8), 1)) + (ROUND(J65,4) &lt; INDEX('Tabela de ingredientes'!$O$1:$V$30, SWITCH(B65, "Gelatos de Leite", 7, "Sorbets", 10, "Gelatos de Leite com Fruta", 13, "Chocolate base água", 16, "Vegano", 19, "Alcoólicos", 22, "Zero", 25, "Gelatos Proteicos", 28, 7), 2)) + (ROUND(J65,4) &gt; INDEX('Tabela de ingredientes'!$O$1:$V$30, SWITCH(B65, "Gelatos de Leite", 8, "Sorbets", 11, "Gelatos de Leite com Fruta", 14, "Chocolate base água", 17, "Vegano", 20, "Alcoólicos", 23, "Zero", 26, "Gelatos Proteicos", 29, 8), 2)) + (ROUND(K65,4) &lt; INDEX('Tabela de ingredientes'!$O$1:$V$30, SWITCH(B65, "Gelatos de Leite", 7, "Sorbets", 10, "Gelatos de Leite com Fruta", 13, "Chocolate base água", 16, "Vegano", 19, "Alcoólicos", 22, "Zero", 25, "Gelatos Proteicos", 28, 7), 3)) + (ROUND(K65,4) &gt; INDEX('Tabela de ingredientes'!$O$1:$V$30, SWITCH(B65, "Gelatos de Leite", 8, "Sorbets", 11, "Gelatos de Leite com Fruta", 14, "Chocolate base água", 17, "Vegano", 20, "Alcoólicos", 23, "Zero", 26, "Gelatos Proteicos", 29, 8), 3)) + (ROUND(L65,4) &lt; INDEX('Tabela de ingredientes'!$O$1:$V$30, SWITCH(B65, "Gelatos de Leite", 7, "Sorbets", 10, "Gelatos de Leite com Fruta", 13, "Chocolate base água", 16, "Vegano", 19, "Alcoólicos", 22, "Zero", 25, "Gelatos Proteicos", 28, 7), 4)) + (ROUND(L65,4) &gt; INDEX('Tabela de ingredientes'!$O$1:$V$30, SWITCH(B65, "Gelatos de Leite", 8, "Sorbets", 11, "Gelatos de Leite com Fruta", 14, "Chocolate base água", 17, "Vegano", 20, "Alcoólicos", 23, "Zero", 26, "Gelatos Proteicos", 29, 8), 4)) + (ROUND(M65,4) &lt; INDEX('Tabela de ingredientes'!$O$1:$V$30, SWITCH(B65, "Gelatos de Leite", 7, "Sorbets", 10, "Gelatos de Leite com Fruta", 13, "Chocolate base água", 16, "Vegano", 19, "Alcoólicos", 22, "Zero", 25, "Gelatos Proteicos", 28, 7), 5)) + (ROUND(M65,4) &gt; INDEX('Tabela de ingredientes'!$O$1:$V$30, SWITCH(B65, "Gelatos de Leite", 8, "Sorbets", 11, "Gelatos de Leite com Fruta", 14, "Chocolate base água", 17, "Vegano", 20, "Alcoólicos", 23, "Zero", 26, "Gelatos Proteicos", 29, 8), 5)) + (ROUND(N65,4) &lt; INDEX('Tabela de ingredientes'!$O$1:$V$30, SWITCH(B65, "Gelatos de Leite", 7, "Sorbets", 10, "Gelatos de Leite com Fruta", 13, "Chocolate base água", 16, "Vegano", 19, "Alcoólicos", 22, "Zero", 25, "Gelatos Proteicos", 28, 7), 6)) + (ROUND(N65,4) &gt; INDEX('Tabela de ingredientes'!$O$1:$V$30, SWITCH(B65, "Gelatos de Leite", 8, "Sorbets", 11, "Gelatos de Leite com Fruta", 14, "Chocolate base água", 17, "Vegano", 20, "Alcoólicos", 23, "Zero", 26, "Gelatos Proteicos", 29, 8), 6)) + (ROUND(O65,4) &lt; INDEX('Tabela de ingredientes'!$O$1:$V$30, SWITCH(B65, "Gelatos de Leite", 7, "Sorbets", 10, "Gelatos de Leite com Fruta", 13, "Chocolate base água", 16, "Vegano", 19, "Alcoólicos", 22, "Zero", 25, "Gelatos Proteicos", 28, 7), 7)) + (ROUND(O65,4) &gt; INDEX('Tabela de ingredientes'!$O$1:$V$30, SWITCH(B65, "Gelatos de Leite", 8, "Sorbets", 11, "Gelatos de Leite com Fruta", 14, "Chocolate base água", 17, "Vegano", 20, "Alcoólicos", 23, "Zero", 26, "Gelatos Proteicos", 29, 8), 7)) + (ROUND(P65,4) &lt; INDEX('Tabela de ingredientes'!$O$1:$V$30, SWITCH(B65, "Gelatos de Leite", 7, "Sorbets", 10, "Gelatos de Leite com Fruta", 13, "Chocolate base água", 16, "Vegano", 19, "Alcoólicos", 22, "Zero", 25, "Gelatos Proteicos", 28, 7), 8)) + (ROUND(P65,4) &gt; INDEX('Tabela de ingredientes'!$O$1:$V$30, SWITCH(B65, "Gelatos de Leite", 8, "Sorbets", 11, "Gelatos de Leite com Fruta", 14, "Chocolate base água", 17, "Vegano", 20, "Alcoólicos", 23, "Zero", 26, "Gelatos Proteicos", 29, 8), 8)) + IF(B65="Gelatos Proteicos", (ROUND(Q65,4)&lt;'Tabela de ingredientes'!$W$28)+(ROUND(Q65,4)&gt;'Tabela de ingredientes'!$W$29), 0) = 0, "Ok", "Revisar"))</f>
        <v>Ok</v>
      </c>
    </row>
    <row r="66">
      <c r="A66" s="39" t="str">
        <f>IFERROR(__xludf.DUMMYFUNCTION("""COMPUTED_VALUE"""),"Gelato de Pão de Mel (Addolcire)")</f>
        <v>Gelato de Pão de Mel (Addolcire)</v>
      </c>
      <c r="B66" s="39" t="s">
        <v>25</v>
      </c>
      <c r="C66" s="39">
        <v>9.0</v>
      </c>
      <c r="D66" s="39">
        <v>995.0</v>
      </c>
      <c r="E66" s="39" t="s">
        <v>533</v>
      </c>
      <c r="F66" s="69">
        <v>14.391356783919596</v>
      </c>
      <c r="G66" s="69">
        <v>0.8634814070351757</v>
      </c>
      <c r="H66" s="69">
        <v>34.26436819860895</v>
      </c>
      <c r="I66" s="59">
        <v>0.15028140703517587</v>
      </c>
      <c r="J66" s="59">
        <v>0.10019095477386934</v>
      </c>
      <c r="K66" s="59">
        <v>0.10042211055276382</v>
      </c>
      <c r="L66" s="59">
        <v>0.014874371859296482</v>
      </c>
      <c r="M66" s="59">
        <v>0.3657688442211055</v>
      </c>
      <c r="N66" s="59">
        <v>0.6342311557788944</v>
      </c>
      <c r="O66" s="39">
        <v>179.5067336683417</v>
      </c>
      <c r="P66" s="39">
        <v>294.73366834170855</v>
      </c>
      <c r="Q66" s="59">
        <v>0.041256281407035175</v>
      </c>
      <c r="R66" s="39">
        <v>11.789346733668342</v>
      </c>
      <c r="S66" s="97" t="str">
        <f t="array" ref="S66">IF(A66="","", IF( (ROUND(I66,4) &lt; INDEX('Tabela de ingredientes'!$O$1:$V$30, SWITCH(B66, "Gelatos de Leite", 7, "Sorbets", 10, "Gelatos de Leite com Fruta", 13, "Chocolate base água", 16, "Vegano", 19, "Alcoólicos", 22, "Zero", 25, "Gelatos Proteicos", 28, 7), 1)) + (ROUND(I66,4) &gt; INDEX('Tabela de ingredientes'!$O$1:$V$30, SWITCH(B66, "Gelatos de Leite", 8, "Sorbets", 11, "Gelatos de Leite com Fruta", 14, "Chocolate base água", 17, "Vegano", 20, "Alcoólicos", 23, "Zero", 26, "Gelatos Proteicos", 29, 8), 1)) + (ROUND(J66,4) &lt; INDEX('Tabela de ingredientes'!$O$1:$V$30, SWITCH(B66, "Gelatos de Leite", 7, "Sorbets", 10, "Gelatos de Leite com Fruta", 13, "Chocolate base água", 16, "Vegano", 19, "Alcoólicos", 22, "Zero", 25, "Gelatos Proteicos", 28, 7), 2)) + (ROUND(J66,4) &gt; INDEX('Tabela de ingredientes'!$O$1:$V$30, SWITCH(B66, "Gelatos de Leite", 8, "Sorbets", 11, "Gelatos de Leite com Fruta", 14, "Chocolate base água", 17, "Vegano", 20, "Alcoólicos", 23, "Zero", 26, "Gelatos Proteicos", 29, 8), 2)) + (ROUND(K66,4) &lt; INDEX('Tabela de ingredientes'!$O$1:$V$30, SWITCH(B66, "Gelatos de Leite", 7, "Sorbets", 10, "Gelatos de Leite com Fruta", 13, "Chocolate base água", 16, "Vegano", 19, "Alcoólicos", 22, "Zero", 25, "Gelatos Proteicos", 28, 7), 3)) + (ROUND(K66,4) &gt; INDEX('Tabela de ingredientes'!$O$1:$V$30, SWITCH(B66, "Gelatos de Leite", 8, "Sorbets", 11, "Gelatos de Leite com Fruta", 14, "Chocolate base água", 17, "Vegano", 20, "Alcoólicos", 23, "Zero", 26, "Gelatos Proteicos", 29, 8), 3)) + (ROUND(L66,4) &lt; INDEX('Tabela de ingredientes'!$O$1:$V$30, SWITCH(B66, "Gelatos de Leite", 7, "Sorbets", 10, "Gelatos de Leite com Fruta", 13, "Chocolate base água", 16, "Vegano", 19, "Alcoólicos", 22, "Zero", 25, "Gelatos Proteicos", 28, 7), 4)) + (ROUND(L66,4) &gt; INDEX('Tabela de ingredientes'!$O$1:$V$30, SWITCH(B66, "Gelatos de Leite", 8, "Sorbets", 11, "Gelatos de Leite com Fruta", 14, "Chocolate base água", 17, "Vegano", 20, "Alcoólicos", 23, "Zero", 26, "Gelatos Proteicos", 29, 8), 4)) + (ROUND(M66,4) &lt; INDEX('Tabela de ingredientes'!$O$1:$V$30, SWITCH(B66, "Gelatos de Leite", 7, "Sorbets", 10, "Gelatos de Leite com Fruta", 13, "Chocolate base água", 16, "Vegano", 19, "Alcoólicos", 22, "Zero", 25, "Gelatos Proteicos", 28, 7), 5)) + (ROUND(M66,4) &gt; INDEX('Tabela de ingredientes'!$O$1:$V$30, SWITCH(B66, "Gelatos de Leite", 8, "Sorbets", 11, "Gelatos de Leite com Fruta", 14, "Chocolate base água", 17, "Vegano", 20, "Alcoólicos", 23, "Zero", 26, "Gelatos Proteicos", 29, 8), 5)) + (ROUND(N66,4) &lt; INDEX('Tabela de ingredientes'!$O$1:$V$30, SWITCH(B66, "Gelatos de Leite", 7, "Sorbets", 10, "Gelatos de Leite com Fruta", 13, "Chocolate base água", 16, "Vegano", 19, "Alcoólicos", 22, "Zero", 25, "Gelatos Proteicos", 28, 7), 6)) + (ROUND(N66,4) &gt; INDEX('Tabela de ingredientes'!$O$1:$V$30, SWITCH(B66, "Gelatos de Leite", 8, "Sorbets", 11, "Gelatos de Leite com Fruta", 14, "Chocolate base água", 17, "Vegano", 20, "Alcoólicos", 23, "Zero", 26, "Gelatos Proteicos", 29, 8), 6)) + (ROUND(O66,4) &lt; INDEX('Tabela de ingredientes'!$O$1:$V$30, SWITCH(B66, "Gelatos de Leite", 7, "Sorbets", 10, "Gelatos de Leite com Fruta", 13, "Chocolate base água", 16, "Vegano", 19, "Alcoólicos", 22, "Zero", 25, "Gelatos Proteicos", 28, 7), 7)) + (ROUND(O66,4) &gt; INDEX('Tabela de ingredientes'!$O$1:$V$30, SWITCH(B66, "Gelatos de Leite", 8, "Sorbets", 11, "Gelatos de Leite com Fruta", 14, "Chocolate base água", 17, "Vegano", 20, "Alcoólicos", 23, "Zero", 26, "Gelatos Proteicos", 29, 8), 7)) + (ROUND(P66,4) &lt; INDEX('Tabela de ingredientes'!$O$1:$V$30, SWITCH(B66, "Gelatos de Leite", 7, "Sorbets", 10, "Gelatos de Leite com Fruta", 13, "Chocolate base água", 16, "Vegano", 19, "Alcoólicos", 22, "Zero", 25, "Gelatos Proteicos", 28, 7), 8)) + (ROUND(P66,4) &gt; INDEX('Tabela de ingredientes'!$O$1:$V$30, SWITCH(B66, "Gelatos de Leite", 8, "Sorbets", 11, "Gelatos de Leite com Fruta", 14, "Chocolate base água", 17, "Vegano", 20, "Alcoólicos", 23, "Zero", 26, "Gelatos Proteicos", 29, 8), 8)) + IF(B66="Gelatos Proteicos", (ROUND(Q66,4)&lt;'Tabela de ingredientes'!$W$28)+(ROUND(Q66,4)&gt;'Tabela de ingredientes'!$W$29), 0) = 0, "Ok", "Revisar"))</f>
        <v>Ok</v>
      </c>
    </row>
    <row r="67">
      <c r="A67" s="39" t="str">
        <f>IFERROR(__xludf.DUMMYFUNCTION("""COMPUTED_VALUE"""),"Gelato de Queijadinha (Addolcire)")</f>
        <v>Gelato de Queijadinha (Addolcire)</v>
      </c>
      <c r="B67" s="39" t="s">
        <v>25</v>
      </c>
      <c r="C67" s="39">
        <v>8.0</v>
      </c>
      <c r="D67" s="39">
        <v>863.0</v>
      </c>
      <c r="E67" s="39" t="s">
        <v>535</v>
      </c>
      <c r="F67" s="69">
        <v>17.360602549246813</v>
      </c>
      <c r="G67" s="69">
        <v>1.0416361529548088</v>
      </c>
      <c r="H67" s="69">
        <v>36.722353103681144</v>
      </c>
      <c r="I67" s="59">
        <v>0.2059443800695249</v>
      </c>
      <c r="J67" s="59">
        <v>0.05028389339513325</v>
      </c>
      <c r="K67" s="59">
        <v>0.09108922363847045</v>
      </c>
      <c r="L67" s="59">
        <v>0.013638470451911935</v>
      </c>
      <c r="M67" s="59">
        <v>0.3609559675550405</v>
      </c>
      <c r="N67" s="59">
        <v>0.6390440324449596</v>
      </c>
      <c r="O67" s="39">
        <v>180.3946697566628</v>
      </c>
      <c r="P67" s="39">
        <v>276.5469293163384</v>
      </c>
      <c r="Q67" s="59">
        <v>0.050052143684820395</v>
      </c>
      <c r="R67" s="39">
        <v>11.061877172653535</v>
      </c>
      <c r="S67" s="97" t="str">
        <f t="array" ref="S67">IF(A67="","", IF( (ROUND(I67,4) &lt; INDEX('Tabela de ingredientes'!$O$1:$V$30, SWITCH(B67, "Gelatos de Leite", 7, "Sorbets", 10, "Gelatos de Leite com Fruta", 13, "Chocolate base água", 16, "Vegano", 19, "Alcoólicos", 22, "Zero", 25, "Gelatos Proteicos", 28, 7), 1)) + (ROUND(I67,4) &gt; INDEX('Tabela de ingredientes'!$O$1:$V$30, SWITCH(B67, "Gelatos de Leite", 8, "Sorbets", 11, "Gelatos de Leite com Fruta", 14, "Chocolate base água", 17, "Vegano", 20, "Alcoólicos", 23, "Zero", 26, "Gelatos Proteicos", 29, 8), 1)) + (ROUND(J67,4) &lt; INDEX('Tabela de ingredientes'!$O$1:$V$30, SWITCH(B67, "Gelatos de Leite", 7, "Sorbets", 10, "Gelatos de Leite com Fruta", 13, "Chocolate base água", 16, "Vegano", 19, "Alcoólicos", 22, "Zero", 25, "Gelatos Proteicos", 28, 7), 2)) + (ROUND(J67,4) &gt; INDEX('Tabela de ingredientes'!$O$1:$V$30, SWITCH(B67, "Gelatos de Leite", 8, "Sorbets", 11, "Gelatos de Leite com Fruta", 14, "Chocolate base água", 17, "Vegano", 20, "Alcoólicos", 23, "Zero", 26, "Gelatos Proteicos", 29, 8), 2)) + (ROUND(K67,4) &lt; INDEX('Tabela de ingredientes'!$O$1:$V$30, SWITCH(B67, "Gelatos de Leite", 7, "Sorbets", 10, "Gelatos de Leite com Fruta", 13, "Chocolate base água", 16, "Vegano", 19, "Alcoólicos", 22, "Zero", 25, "Gelatos Proteicos", 28, 7), 3)) + (ROUND(K67,4) &gt; INDEX('Tabela de ingredientes'!$O$1:$V$30, SWITCH(B67, "Gelatos de Leite", 8, "Sorbets", 11, "Gelatos de Leite com Fruta", 14, "Chocolate base água", 17, "Vegano", 20, "Alcoólicos", 23, "Zero", 26, "Gelatos Proteicos", 29, 8), 3)) + (ROUND(L67,4) &lt; INDEX('Tabela de ingredientes'!$O$1:$V$30, SWITCH(B67, "Gelatos de Leite", 7, "Sorbets", 10, "Gelatos de Leite com Fruta", 13, "Chocolate base água", 16, "Vegano", 19, "Alcoólicos", 22, "Zero", 25, "Gelatos Proteicos", 28, 7), 4)) + (ROUND(L67,4) &gt; INDEX('Tabela de ingredientes'!$O$1:$V$30, SWITCH(B67, "Gelatos de Leite", 8, "Sorbets", 11, "Gelatos de Leite com Fruta", 14, "Chocolate base água", 17, "Vegano", 20, "Alcoólicos", 23, "Zero", 26, "Gelatos Proteicos", 29, 8), 4)) + (ROUND(M67,4) &lt; INDEX('Tabela de ingredientes'!$O$1:$V$30, SWITCH(B67, "Gelatos de Leite", 7, "Sorbets", 10, "Gelatos de Leite com Fruta", 13, "Chocolate base água", 16, "Vegano", 19, "Alcoólicos", 22, "Zero", 25, "Gelatos Proteicos", 28, 7), 5)) + (ROUND(M67,4) &gt; INDEX('Tabela de ingredientes'!$O$1:$V$30, SWITCH(B67, "Gelatos de Leite", 8, "Sorbets", 11, "Gelatos de Leite com Fruta", 14, "Chocolate base água", 17, "Vegano", 20, "Alcoólicos", 23, "Zero", 26, "Gelatos Proteicos", 29, 8), 5)) + (ROUND(N67,4) &lt; INDEX('Tabela de ingredientes'!$O$1:$V$30, SWITCH(B67, "Gelatos de Leite", 7, "Sorbets", 10, "Gelatos de Leite com Fruta", 13, "Chocolate base água", 16, "Vegano", 19, "Alcoólicos", 22, "Zero", 25, "Gelatos Proteicos", 28, 7), 6)) + (ROUND(N67,4) &gt; INDEX('Tabela de ingredientes'!$O$1:$V$30, SWITCH(B67, "Gelatos de Leite", 8, "Sorbets", 11, "Gelatos de Leite com Fruta", 14, "Chocolate base água", 17, "Vegano", 20, "Alcoólicos", 23, "Zero", 26, "Gelatos Proteicos", 29, 8), 6)) + (ROUND(O67,4) &lt; INDEX('Tabela de ingredientes'!$O$1:$V$30, SWITCH(B67, "Gelatos de Leite", 7, "Sorbets", 10, "Gelatos de Leite com Fruta", 13, "Chocolate base água", 16, "Vegano", 19, "Alcoólicos", 22, "Zero", 25, "Gelatos Proteicos", 28, 7), 7)) + (ROUND(O67,4) &gt; INDEX('Tabela de ingredientes'!$O$1:$V$30, SWITCH(B67, "Gelatos de Leite", 8, "Sorbets", 11, "Gelatos de Leite com Fruta", 14, "Chocolate base água", 17, "Vegano", 20, "Alcoólicos", 23, "Zero", 26, "Gelatos Proteicos", 29, 8), 7)) + (ROUND(P67,4) &lt; INDEX('Tabela de ingredientes'!$O$1:$V$30, SWITCH(B67, "Gelatos de Leite", 7, "Sorbets", 10, "Gelatos de Leite com Fruta", 13, "Chocolate base água", 16, "Vegano", 19, "Alcoólicos", 22, "Zero", 25, "Gelatos Proteicos", 28, 7), 8)) + (ROUND(P67,4) &gt; INDEX('Tabela de ingredientes'!$O$1:$V$30, SWITCH(B67, "Gelatos de Leite", 8, "Sorbets", 11, "Gelatos de Leite com Fruta", 14, "Chocolate base água", 17, "Vegano", 20, "Alcoólicos", 23, "Zero", 26, "Gelatos Proteicos", 29, 8), 8)) + IF(B67="Gelatos Proteicos", (ROUND(Q67,4)&lt;'Tabela de ingredientes'!$W$28)+(ROUND(Q67,4)&gt;'Tabela de ingredientes'!$W$29), 0) = 0, "Ok", "Revisar"))</f>
        <v>Ok</v>
      </c>
    </row>
    <row r="68">
      <c r="A68" s="39" t="str">
        <f>IFERROR(__xludf.DUMMYFUNCTION("""COMPUTED_VALUE"""),"Gelato Snickers (Addolcire)")</f>
        <v>Gelato Snickers (Addolcire)</v>
      </c>
      <c r="B68" s="39" t="s">
        <v>25</v>
      </c>
      <c r="C68" s="39">
        <v>11.0</v>
      </c>
      <c r="D68" s="39">
        <v>1052.0</v>
      </c>
      <c r="E68" s="39" t="s">
        <v>537</v>
      </c>
      <c r="F68" s="69">
        <v>41.534220532319395</v>
      </c>
      <c r="G68" s="69">
        <v>2.4920532319391637</v>
      </c>
      <c r="H68" s="69">
        <v>56.733626268476335</v>
      </c>
      <c r="I68" s="59">
        <v>0.20846007604562738</v>
      </c>
      <c r="J68" s="59">
        <v>0.1429657794676806</v>
      </c>
      <c r="K68" s="59">
        <v>0.060979087452471485</v>
      </c>
      <c r="L68" s="59">
        <v>0.056701520912547536</v>
      </c>
      <c r="M68" s="59">
        <v>0.469106463878327</v>
      </c>
      <c r="N68" s="59">
        <v>0.530893536121673</v>
      </c>
      <c r="O68" s="39">
        <v>215.40684410646386</v>
      </c>
      <c r="P68" s="39">
        <v>253.42205323193917</v>
      </c>
      <c r="Q68" s="59">
        <v>0.049220532319391636</v>
      </c>
      <c r="R68" s="39">
        <v>10.136882129277566</v>
      </c>
      <c r="S68" s="97" t="str">
        <f t="array" ref="S68">IF(A68="","", IF( (ROUND(I68,4) &lt; INDEX('Tabela de ingredientes'!$O$1:$V$30, SWITCH(B68, "Gelatos de Leite", 7, "Sorbets", 10, "Gelatos de Leite com Fruta", 13, "Chocolate base água", 16, "Vegano", 19, "Alcoólicos", 22, "Zero", 25, "Gelatos Proteicos", 28, 7), 1)) + (ROUND(I68,4) &gt; INDEX('Tabela de ingredientes'!$O$1:$V$30, SWITCH(B68, "Gelatos de Leite", 8, "Sorbets", 11, "Gelatos de Leite com Fruta", 14, "Chocolate base água", 17, "Vegano", 20, "Alcoólicos", 23, "Zero", 26, "Gelatos Proteicos", 29, 8), 1)) + (ROUND(J68,4) &lt; INDEX('Tabela de ingredientes'!$O$1:$V$30, SWITCH(B68, "Gelatos de Leite", 7, "Sorbets", 10, "Gelatos de Leite com Fruta", 13, "Chocolate base água", 16, "Vegano", 19, "Alcoólicos", 22, "Zero", 25, "Gelatos Proteicos", 28, 7), 2)) + (ROUND(J68,4) &gt; INDEX('Tabela de ingredientes'!$O$1:$V$30, SWITCH(B68, "Gelatos de Leite", 8, "Sorbets", 11, "Gelatos de Leite com Fruta", 14, "Chocolate base água", 17, "Vegano", 20, "Alcoólicos", 23, "Zero", 26, "Gelatos Proteicos", 29, 8), 2)) + (ROUND(K68,4) &lt; INDEX('Tabela de ingredientes'!$O$1:$V$30, SWITCH(B68, "Gelatos de Leite", 7, "Sorbets", 10, "Gelatos de Leite com Fruta", 13, "Chocolate base água", 16, "Vegano", 19, "Alcoólicos", 22, "Zero", 25, "Gelatos Proteicos", 28, 7), 3)) + (ROUND(K68,4) &gt; INDEX('Tabela de ingredientes'!$O$1:$V$30, SWITCH(B68, "Gelatos de Leite", 8, "Sorbets", 11, "Gelatos de Leite com Fruta", 14, "Chocolate base água", 17, "Vegano", 20, "Alcoólicos", 23, "Zero", 26, "Gelatos Proteicos", 29, 8), 3)) + (ROUND(L68,4) &lt; INDEX('Tabela de ingredientes'!$O$1:$V$30, SWITCH(B68, "Gelatos de Leite", 7, "Sorbets", 10, "Gelatos de Leite com Fruta", 13, "Chocolate base água", 16, "Vegano", 19, "Alcoólicos", 22, "Zero", 25, "Gelatos Proteicos", 28, 7), 4)) + (ROUND(L68,4) &gt; INDEX('Tabela de ingredientes'!$O$1:$V$30, SWITCH(B68, "Gelatos de Leite", 8, "Sorbets", 11, "Gelatos de Leite com Fruta", 14, "Chocolate base água", 17, "Vegano", 20, "Alcoólicos", 23, "Zero", 26, "Gelatos Proteicos", 29, 8), 4)) + (ROUND(M68,4) &lt; INDEX('Tabela de ingredientes'!$O$1:$V$30, SWITCH(B68, "Gelatos de Leite", 7, "Sorbets", 10, "Gelatos de Leite com Fruta", 13, "Chocolate base água", 16, "Vegano", 19, "Alcoólicos", 22, "Zero", 25, "Gelatos Proteicos", 28, 7), 5)) + (ROUND(M68,4) &gt; INDEX('Tabela de ingredientes'!$O$1:$V$30, SWITCH(B68, "Gelatos de Leite", 8, "Sorbets", 11, "Gelatos de Leite com Fruta", 14, "Chocolate base água", 17, "Vegano", 20, "Alcoólicos", 23, "Zero", 26, "Gelatos Proteicos", 29, 8), 5)) + (ROUND(N68,4) &lt; INDEX('Tabela de ingredientes'!$O$1:$V$30, SWITCH(B68, "Gelatos de Leite", 7, "Sorbets", 10, "Gelatos de Leite com Fruta", 13, "Chocolate base água", 16, "Vegano", 19, "Alcoólicos", 22, "Zero", 25, "Gelatos Proteicos", 28, 7), 6)) + (ROUND(N68,4) &gt; INDEX('Tabela de ingredientes'!$O$1:$V$30, SWITCH(B68, "Gelatos de Leite", 8, "Sorbets", 11, "Gelatos de Leite com Fruta", 14, "Chocolate base água", 17, "Vegano", 20, "Alcoólicos", 23, "Zero", 26, "Gelatos Proteicos", 29, 8), 6)) + (ROUND(O68,4) &lt; INDEX('Tabela de ingredientes'!$O$1:$V$30, SWITCH(B68, "Gelatos de Leite", 7, "Sorbets", 10, "Gelatos de Leite com Fruta", 13, "Chocolate base água", 16, "Vegano", 19, "Alcoólicos", 22, "Zero", 25, "Gelatos Proteicos", 28, 7), 7)) + (ROUND(O68,4) &gt; INDEX('Tabela de ingredientes'!$O$1:$V$30, SWITCH(B68, "Gelatos de Leite", 8, "Sorbets", 11, "Gelatos de Leite com Fruta", 14, "Chocolate base água", 17, "Vegano", 20, "Alcoólicos", 23, "Zero", 26, "Gelatos Proteicos", 29, 8), 7)) + (ROUND(P68,4) &lt; INDEX('Tabela de ingredientes'!$O$1:$V$30, SWITCH(B68, "Gelatos de Leite", 7, "Sorbets", 10, "Gelatos de Leite com Fruta", 13, "Chocolate base água", 16, "Vegano", 19, "Alcoólicos", 22, "Zero", 25, "Gelatos Proteicos", 28, 7), 8)) + (ROUND(P68,4) &gt; INDEX('Tabela de ingredientes'!$O$1:$V$30, SWITCH(B68, "Gelatos de Leite", 8, "Sorbets", 11, "Gelatos de Leite com Fruta", 14, "Chocolate base água", 17, "Vegano", 20, "Alcoólicos", 23, "Zero", 26, "Gelatos Proteicos", 29, 8), 8)) + IF(B68="Gelatos Proteicos", (ROUND(Q68,4)&lt;'Tabela de ingredientes'!$W$28)+(ROUND(Q68,4)&gt;'Tabela de ingredientes'!$W$29), 0) = 0, "Ok", "Revisar"))</f>
        <v>Revisar</v>
      </c>
    </row>
    <row r="69">
      <c r="A69" s="39" t="str">
        <f>IFERROR(__xludf.DUMMYFUNCTION("""COMPUTED_VALUE"""),"Gelato Sonho de Valsa (Addolcire)")</f>
        <v>Gelato Sonho de Valsa (Addolcire)</v>
      </c>
      <c r="B69" s="39" t="s">
        <v>25</v>
      </c>
      <c r="C69" s="39">
        <v>9.0</v>
      </c>
      <c r="D69" s="39">
        <v>1101.0</v>
      </c>
      <c r="E69" s="39" t="s">
        <v>335</v>
      </c>
      <c r="F69" s="69">
        <v>25.233787465940054</v>
      </c>
      <c r="G69" s="69">
        <v>1.5140272479564032</v>
      </c>
      <c r="H69" s="69">
        <v>43.23989028637423</v>
      </c>
      <c r="I69" s="59">
        <v>0.19575840145322437</v>
      </c>
      <c r="J69" s="59">
        <v>0.12266121707538602</v>
      </c>
      <c r="K69" s="59">
        <v>0.09983651226158038</v>
      </c>
      <c r="L69" s="59">
        <v>0.016494096276112626</v>
      </c>
      <c r="M69" s="59">
        <v>0.4347502270663034</v>
      </c>
      <c r="N69" s="59">
        <v>0.5652497729336966</v>
      </c>
      <c r="O69" s="39">
        <v>193.5051771117166</v>
      </c>
      <c r="P69" s="39">
        <v>289.6094459582198</v>
      </c>
      <c r="Q69" s="59">
        <v>0.045858310626702994</v>
      </c>
      <c r="R69" s="39">
        <v>11.584377838328791</v>
      </c>
      <c r="S69" s="97" t="str">
        <f t="array" ref="S69">IF(A69="","", IF( (ROUND(I69,4) &lt; INDEX('Tabela de ingredientes'!$O$1:$V$30, SWITCH(B69, "Gelatos de Leite", 7, "Sorbets", 10, "Gelatos de Leite com Fruta", 13, "Chocolate base água", 16, "Vegano", 19, "Alcoólicos", 22, "Zero", 25, "Gelatos Proteicos", 28, 7), 1)) + (ROUND(I69,4) &gt; INDEX('Tabela de ingredientes'!$O$1:$V$30, SWITCH(B69, "Gelatos de Leite", 8, "Sorbets", 11, "Gelatos de Leite com Fruta", 14, "Chocolate base água", 17, "Vegano", 20, "Alcoólicos", 23, "Zero", 26, "Gelatos Proteicos", 29, 8), 1)) + (ROUND(J69,4) &lt; INDEX('Tabela de ingredientes'!$O$1:$V$30, SWITCH(B69, "Gelatos de Leite", 7, "Sorbets", 10, "Gelatos de Leite com Fruta", 13, "Chocolate base água", 16, "Vegano", 19, "Alcoólicos", 22, "Zero", 25, "Gelatos Proteicos", 28, 7), 2)) + (ROUND(J69,4) &gt; INDEX('Tabela de ingredientes'!$O$1:$V$30, SWITCH(B69, "Gelatos de Leite", 8, "Sorbets", 11, "Gelatos de Leite com Fruta", 14, "Chocolate base água", 17, "Vegano", 20, "Alcoólicos", 23, "Zero", 26, "Gelatos Proteicos", 29, 8), 2)) + (ROUND(K69,4) &lt; INDEX('Tabela de ingredientes'!$O$1:$V$30, SWITCH(B69, "Gelatos de Leite", 7, "Sorbets", 10, "Gelatos de Leite com Fruta", 13, "Chocolate base água", 16, "Vegano", 19, "Alcoólicos", 22, "Zero", 25, "Gelatos Proteicos", 28, 7), 3)) + (ROUND(K69,4) &gt; INDEX('Tabela de ingredientes'!$O$1:$V$30, SWITCH(B69, "Gelatos de Leite", 8, "Sorbets", 11, "Gelatos de Leite com Fruta", 14, "Chocolate base água", 17, "Vegano", 20, "Alcoólicos", 23, "Zero", 26, "Gelatos Proteicos", 29, 8), 3)) + (ROUND(L69,4) &lt; INDEX('Tabela de ingredientes'!$O$1:$V$30, SWITCH(B69, "Gelatos de Leite", 7, "Sorbets", 10, "Gelatos de Leite com Fruta", 13, "Chocolate base água", 16, "Vegano", 19, "Alcoólicos", 22, "Zero", 25, "Gelatos Proteicos", 28, 7), 4)) + (ROUND(L69,4) &gt; INDEX('Tabela de ingredientes'!$O$1:$V$30, SWITCH(B69, "Gelatos de Leite", 8, "Sorbets", 11, "Gelatos de Leite com Fruta", 14, "Chocolate base água", 17, "Vegano", 20, "Alcoólicos", 23, "Zero", 26, "Gelatos Proteicos", 29, 8), 4)) + (ROUND(M69,4) &lt; INDEX('Tabela de ingredientes'!$O$1:$V$30, SWITCH(B69, "Gelatos de Leite", 7, "Sorbets", 10, "Gelatos de Leite com Fruta", 13, "Chocolate base água", 16, "Vegano", 19, "Alcoólicos", 22, "Zero", 25, "Gelatos Proteicos", 28, 7), 5)) + (ROUND(M69,4) &gt; INDEX('Tabela de ingredientes'!$O$1:$V$30, SWITCH(B69, "Gelatos de Leite", 8, "Sorbets", 11, "Gelatos de Leite com Fruta", 14, "Chocolate base água", 17, "Vegano", 20, "Alcoólicos", 23, "Zero", 26, "Gelatos Proteicos", 29, 8), 5)) + (ROUND(N69,4) &lt; INDEX('Tabela de ingredientes'!$O$1:$V$30, SWITCH(B69, "Gelatos de Leite", 7, "Sorbets", 10, "Gelatos de Leite com Fruta", 13, "Chocolate base água", 16, "Vegano", 19, "Alcoólicos", 22, "Zero", 25, "Gelatos Proteicos", 28, 7), 6)) + (ROUND(N69,4) &gt; INDEX('Tabela de ingredientes'!$O$1:$V$30, SWITCH(B69, "Gelatos de Leite", 8, "Sorbets", 11, "Gelatos de Leite com Fruta", 14, "Chocolate base água", 17, "Vegano", 20, "Alcoólicos", 23, "Zero", 26, "Gelatos Proteicos", 29, 8), 6)) + (ROUND(O69,4) &lt; INDEX('Tabela de ingredientes'!$O$1:$V$30, SWITCH(B69, "Gelatos de Leite", 7, "Sorbets", 10, "Gelatos de Leite com Fruta", 13, "Chocolate base água", 16, "Vegano", 19, "Alcoólicos", 22, "Zero", 25, "Gelatos Proteicos", 28, 7), 7)) + (ROUND(O69,4) &gt; INDEX('Tabela de ingredientes'!$O$1:$V$30, SWITCH(B69, "Gelatos de Leite", 8, "Sorbets", 11, "Gelatos de Leite com Fruta", 14, "Chocolate base água", 17, "Vegano", 20, "Alcoólicos", 23, "Zero", 26, "Gelatos Proteicos", 29, 8), 7)) + (ROUND(P69,4) &lt; INDEX('Tabela de ingredientes'!$O$1:$V$30, SWITCH(B69, "Gelatos de Leite", 7, "Sorbets", 10, "Gelatos de Leite com Fruta", 13, "Chocolate base água", 16, "Vegano", 19, "Alcoólicos", 22, "Zero", 25, "Gelatos Proteicos", 28, 7), 8)) + (ROUND(P69,4) &gt; INDEX('Tabela de ingredientes'!$O$1:$V$30, SWITCH(B69, "Gelatos de Leite", 8, "Sorbets", 11, "Gelatos de Leite com Fruta", 14, "Chocolate base água", 17, "Vegano", 20, "Alcoólicos", 23, "Zero", 26, "Gelatos Proteicos", 29, 8), 8)) + IF(B69="Gelatos Proteicos", (ROUND(Q69,4)&lt;'Tabela de ingredientes'!$W$28)+(ROUND(Q69,4)&gt;'Tabela de ingredientes'!$W$29), 0) = 0, "Ok", "Revisar"))</f>
        <v>Revisar</v>
      </c>
    </row>
    <row r="70">
      <c r="A70" s="39" t="str">
        <f>IFERROR(__xludf.DUMMYFUNCTION("""COMPUTED_VALUE"""),"Sorvete Soft - Calda Base de Leite (Addolcire)")</f>
        <v>Sorvete Soft - Calda Base de Leite (Addolcire)</v>
      </c>
      <c r="B70" s="39" t="s">
        <v>25</v>
      </c>
      <c r="C70" s="39">
        <v>6.0</v>
      </c>
      <c r="D70" s="39">
        <v>1000.52</v>
      </c>
      <c r="E70" s="39" t="s">
        <v>161</v>
      </c>
      <c r="F70" s="69">
        <v>10.320233478591135</v>
      </c>
      <c r="G70" s="69">
        <v>0.6192140087154681</v>
      </c>
      <c r="H70" s="69">
        <v>30.89423301207876</v>
      </c>
      <c r="I70" s="59">
        <v>0.17815735817374964</v>
      </c>
      <c r="J70" s="59">
        <v>0.040613880781993364</v>
      </c>
      <c r="K70" s="59">
        <v>0.1238555950905529</v>
      </c>
      <c r="L70" s="59">
        <v>0.005517131091832247</v>
      </c>
      <c r="M70" s="59">
        <v>0.3481439651381282</v>
      </c>
      <c r="N70" s="59">
        <v>0.6518560348618718</v>
      </c>
      <c r="O70" s="39">
        <v>169.42070123535763</v>
      </c>
      <c r="P70" s="39">
        <v>228.671091032663</v>
      </c>
      <c r="Q70" s="59">
        <v>0.04718046615759805</v>
      </c>
      <c r="R70" s="39">
        <v>9.146843641306521</v>
      </c>
      <c r="S70" s="97" t="str">
        <f t="array" ref="S70">IF(A70="","", IF( (ROUND(I70,4) &lt; INDEX('Tabela de ingredientes'!$O$1:$V$30, SWITCH(B70, "Gelatos de Leite", 7, "Sorbets", 10, "Gelatos de Leite com Fruta", 13, "Chocolate base água", 16, "Vegano", 19, "Alcoólicos", 22, "Zero", 25, "Gelatos Proteicos", 28, 7), 1)) + (ROUND(I70,4) &gt; INDEX('Tabela de ingredientes'!$O$1:$V$30, SWITCH(B70, "Gelatos de Leite", 8, "Sorbets", 11, "Gelatos de Leite com Fruta", 14, "Chocolate base água", 17, "Vegano", 20, "Alcoólicos", 23, "Zero", 26, "Gelatos Proteicos", 29, 8), 1)) + (ROUND(J70,4) &lt; INDEX('Tabela de ingredientes'!$O$1:$V$30, SWITCH(B70, "Gelatos de Leite", 7, "Sorbets", 10, "Gelatos de Leite com Fruta", 13, "Chocolate base água", 16, "Vegano", 19, "Alcoólicos", 22, "Zero", 25, "Gelatos Proteicos", 28, 7), 2)) + (ROUND(J70,4) &gt; INDEX('Tabela de ingredientes'!$O$1:$V$30, SWITCH(B70, "Gelatos de Leite", 8, "Sorbets", 11, "Gelatos de Leite com Fruta", 14, "Chocolate base água", 17, "Vegano", 20, "Alcoólicos", 23, "Zero", 26, "Gelatos Proteicos", 29, 8), 2)) + (ROUND(K70,4) &lt; INDEX('Tabela de ingredientes'!$O$1:$V$30, SWITCH(B70, "Gelatos de Leite", 7, "Sorbets", 10, "Gelatos de Leite com Fruta", 13, "Chocolate base água", 16, "Vegano", 19, "Alcoólicos", 22, "Zero", 25, "Gelatos Proteicos", 28, 7), 3)) + (ROUND(K70,4) &gt; INDEX('Tabela de ingredientes'!$O$1:$V$30, SWITCH(B70, "Gelatos de Leite", 8, "Sorbets", 11, "Gelatos de Leite com Fruta", 14, "Chocolate base água", 17, "Vegano", 20, "Alcoólicos", 23, "Zero", 26, "Gelatos Proteicos", 29, 8), 3)) + (ROUND(L70,4) &lt; INDEX('Tabela de ingredientes'!$O$1:$V$30, SWITCH(B70, "Gelatos de Leite", 7, "Sorbets", 10, "Gelatos de Leite com Fruta", 13, "Chocolate base água", 16, "Vegano", 19, "Alcoólicos", 22, "Zero", 25, "Gelatos Proteicos", 28, 7), 4)) + (ROUND(L70,4) &gt; INDEX('Tabela de ingredientes'!$O$1:$V$30, SWITCH(B70, "Gelatos de Leite", 8, "Sorbets", 11, "Gelatos de Leite com Fruta", 14, "Chocolate base água", 17, "Vegano", 20, "Alcoólicos", 23, "Zero", 26, "Gelatos Proteicos", 29, 8), 4)) + (ROUND(M70,4) &lt; INDEX('Tabela de ingredientes'!$O$1:$V$30, SWITCH(B70, "Gelatos de Leite", 7, "Sorbets", 10, "Gelatos de Leite com Fruta", 13, "Chocolate base água", 16, "Vegano", 19, "Alcoólicos", 22, "Zero", 25, "Gelatos Proteicos", 28, 7), 5)) + (ROUND(M70,4) &gt; INDEX('Tabela de ingredientes'!$O$1:$V$30, SWITCH(B70, "Gelatos de Leite", 8, "Sorbets", 11, "Gelatos de Leite com Fruta", 14, "Chocolate base água", 17, "Vegano", 20, "Alcoólicos", 23, "Zero", 26, "Gelatos Proteicos", 29, 8), 5)) + (ROUND(N70,4) &lt; INDEX('Tabela de ingredientes'!$O$1:$V$30, SWITCH(B70, "Gelatos de Leite", 7, "Sorbets", 10, "Gelatos de Leite com Fruta", 13, "Chocolate base água", 16, "Vegano", 19, "Alcoólicos", 22, "Zero", 25, "Gelatos Proteicos", 28, 7), 6)) + (ROUND(N70,4) &gt; INDEX('Tabela de ingredientes'!$O$1:$V$30, SWITCH(B70, "Gelatos de Leite", 8, "Sorbets", 11, "Gelatos de Leite com Fruta", 14, "Chocolate base água", 17, "Vegano", 20, "Alcoólicos", 23, "Zero", 26, "Gelatos Proteicos", 29, 8), 6)) + (ROUND(O70,4) &lt; INDEX('Tabela de ingredientes'!$O$1:$V$30, SWITCH(B70, "Gelatos de Leite", 7, "Sorbets", 10, "Gelatos de Leite com Fruta", 13, "Chocolate base água", 16, "Vegano", 19, "Alcoólicos", 22, "Zero", 25, "Gelatos Proteicos", 28, 7), 7)) + (ROUND(O70,4) &gt; INDEX('Tabela de ingredientes'!$O$1:$V$30, SWITCH(B70, "Gelatos de Leite", 8, "Sorbets", 11, "Gelatos de Leite com Fruta", 14, "Chocolate base água", 17, "Vegano", 20, "Alcoólicos", 23, "Zero", 26, "Gelatos Proteicos", 29, 8), 7)) + (ROUND(P70,4) &lt; INDEX('Tabela de ingredientes'!$O$1:$V$30, SWITCH(B70, "Gelatos de Leite", 7, "Sorbets", 10, "Gelatos de Leite com Fruta", 13, "Chocolate base água", 16, "Vegano", 19, "Alcoólicos", 22, "Zero", 25, "Gelatos Proteicos", 28, 7), 8)) + (ROUND(P70,4) &gt; INDEX('Tabela de ingredientes'!$O$1:$V$30, SWITCH(B70, "Gelatos de Leite", 8, "Sorbets", 11, "Gelatos de Leite com Fruta", 14, "Chocolate base água", 17, "Vegano", 20, "Alcoólicos", 23, "Zero", 26, "Gelatos Proteicos", 29, 8), 8)) + IF(B70="Gelatos Proteicos", (ROUND(Q70,4)&lt;'Tabela de ingredientes'!$W$28)+(ROUND(Q70,4)&gt;'Tabela de ingredientes'!$W$29), 0) = 0, "Ok", "Revisar"))</f>
        <v>Revisar</v>
      </c>
    </row>
    <row r="71">
      <c r="A71" s="39" t="str">
        <f>IFERROR(__xludf.DUMMYFUNCTION("""COMPUTED_VALUE"""),"Sorvete Soft de Pistache (Addolcire)")</f>
        <v>Sorvete Soft de Pistache (Addolcire)</v>
      </c>
      <c r="B71" s="39" t="s">
        <v>25</v>
      </c>
      <c r="C71" s="39">
        <v>7.0</v>
      </c>
      <c r="D71" s="39">
        <v>1000.28</v>
      </c>
      <c r="E71" s="39" t="s">
        <v>171</v>
      </c>
      <c r="F71" s="69">
        <v>34.99400167952973</v>
      </c>
      <c r="G71" s="69">
        <v>2.0996401007717838</v>
      </c>
      <c r="H71" s="69">
        <v>51.31953781418025</v>
      </c>
      <c r="I71" s="59">
        <v>0.16869776462590474</v>
      </c>
      <c r="J71" s="59">
        <v>0.0862158595593234</v>
      </c>
      <c r="K71" s="59">
        <v>0.10591034510337105</v>
      </c>
      <c r="L71" s="59">
        <v>0.04021374015275723</v>
      </c>
      <c r="M71" s="59">
        <v>0.4010377094413564</v>
      </c>
      <c r="N71" s="59">
        <v>0.5989622905586436</v>
      </c>
      <c r="O71" s="39">
        <v>158.75694805454475</v>
      </c>
      <c r="P71" s="39">
        <v>208.21170072379735</v>
      </c>
      <c r="Q71" s="59">
        <v>0.05224537129603711</v>
      </c>
      <c r="R71" s="39">
        <v>8.328468028951894</v>
      </c>
      <c r="S71" s="97" t="str">
        <f t="array" ref="S71">IF(A71="","", IF( (ROUND(I71,4) &lt; INDEX('Tabela de ingredientes'!$O$1:$V$30, SWITCH(B71, "Gelatos de Leite", 7, "Sorbets", 10, "Gelatos de Leite com Fruta", 13, "Chocolate base água", 16, "Vegano", 19, "Alcoólicos", 22, "Zero", 25, "Gelatos Proteicos", 28, 7), 1)) + (ROUND(I71,4) &gt; INDEX('Tabela de ingredientes'!$O$1:$V$30, SWITCH(B71, "Gelatos de Leite", 8, "Sorbets", 11, "Gelatos de Leite com Fruta", 14, "Chocolate base água", 17, "Vegano", 20, "Alcoólicos", 23, "Zero", 26, "Gelatos Proteicos", 29, 8), 1)) + (ROUND(J71,4) &lt; INDEX('Tabela de ingredientes'!$O$1:$V$30, SWITCH(B71, "Gelatos de Leite", 7, "Sorbets", 10, "Gelatos de Leite com Fruta", 13, "Chocolate base água", 16, "Vegano", 19, "Alcoólicos", 22, "Zero", 25, "Gelatos Proteicos", 28, 7), 2)) + (ROUND(J71,4) &gt; INDEX('Tabela de ingredientes'!$O$1:$V$30, SWITCH(B71, "Gelatos de Leite", 8, "Sorbets", 11, "Gelatos de Leite com Fruta", 14, "Chocolate base água", 17, "Vegano", 20, "Alcoólicos", 23, "Zero", 26, "Gelatos Proteicos", 29, 8), 2)) + (ROUND(K71,4) &lt; INDEX('Tabela de ingredientes'!$O$1:$V$30, SWITCH(B71, "Gelatos de Leite", 7, "Sorbets", 10, "Gelatos de Leite com Fruta", 13, "Chocolate base água", 16, "Vegano", 19, "Alcoólicos", 22, "Zero", 25, "Gelatos Proteicos", 28, 7), 3)) + (ROUND(K71,4) &gt; INDEX('Tabela de ingredientes'!$O$1:$V$30, SWITCH(B71, "Gelatos de Leite", 8, "Sorbets", 11, "Gelatos de Leite com Fruta", 14, "Chocolate base água", 17, "Vegano", 20, "Alcoólicos", 23, "Zero", 26, "Gelatos Proteicos", 29, 8), 3)) + (ROUND(L71,4) &lt; INDEX('Tabela de ingredientes'!$O$1:$V$30, SWITCH(B71, "Gelatos de Leite", 7, "Sorbets", 10, "Gelatos de Leite com Fruta", 13, "Chocolate base água", 16, "Vegano", 19, "Alcoólicos", 22, "Zero", 25, "Gelatos Proteicos", 28, 7), 4)) + (ROUND(L71,4) &gt; INDEX('Tabela de ingredientes'!$O$1:$V$30, SWITCH(B71, "Gelatos de Leite", 8, "Sorbets", 11, "Gelatos de Leite com Fruta", 14, "Chocolate base água", 17, "Vegano", 20, "Alcoólicos", 23, "Zero", 26, "Gelatos Proteicos", 29, 8), 4)) + (ROUND(M71,4) &lt; INDEX('Tabela de ingredientes'!$O$1:$V$30, SWITCH(B71, "Gelatos de Leite", 7, "Sorbets", 10, "Gelatos de Leite com Fruta", 13, "Chocolate base água", 16, "Vegano", 19, "Alcoólicos", 22, "Zero", 25, "Gelatos Proteicos", 28, 7), 5)) + (ROUND(M71,4) &gt; INDEX('Tabela de ingredientes'!$O$1:$V$30, SWITCH(B71, "Gelatos de Leite", 8, "Sorbets", 11, "Gelatos de Leite com Fruta", 14, "Chocolate base água", 17, "Vegano", 20, "Alcoólicos", 23, "Zero", 26, "Gelatos Proteicos", 29, 8), 5)) + (ROUND(N71,4) &lt; INDEX('Tabela de ingredientes'!$O$1:$V$30, SWITCH(B71, "Gelatos de Leite", 7, "Sorbets", 10, "Gelatos de Leite com Fruta", 13, "Chocolate base água", 16, "Vegano", 19, "Alcoólicos", 22, "Zero", 25, "Gelatos Proteicos", 28, 7), 6)) + (ROUND(N71,4) &gt; INDEX('Tabela de ingredientes'!$O$1:$V$30, SWITCH(B71, "Gelatos de Leite", 8, "Sorbets", 11, "Gelatos de Leite com Fruta", 14, "Chocolate base água", 17, "Vegano", 20, "Alcoólicos", 23, "Zero", 26, "Gelatos Proteicos", 29, 8), 6)) + (ROUND(O71,4) &lt; INDEX('Tabela de ingredientes'!$O$1:$V$30, SWITCH(B71, "Gelatos de Leite", 7, "Sorbets", 10, "Gelatos de Leite com Fruta", 13, "Chocolate base água", 16, "Vegano", 19, "Alcoólicos", 22, "Zero", 25, "Gelatos Proteicos", 28, 7), 7)) + (ROUND(O71,4) &gt; INDEX('Tabela de ingredientes'!$O$1:$V$30, SWITCH(B71, "Gelatos de Leite", 8, "Sorbets", 11, "Gelatos de Leite com Fruta", 14, "Chocolate base água", 17, "Vegano", 20, "Alcoólicos", 23, "Zero", 26, "Gelatos Proteicos", 29, 8), 7)) + (ROUND(P71,4) &lt; INDEX('Tabela de ingredientes'!$O$1:$V$30, SWITCH(B71, "Gelatos de Leite", 7, "Sorbets", 10, "Gelatos de Leite com Fruta", 13, "Chocolate base água", 16, "Vegano", 19, "Alcoólicos", 22, "Zero", 25, "Gelatos Proteicos", 28, 7), 8)) + (ROUND(P71,4) &gt; INDEX('Tabela de ingredientes'!$O$1:$V$30, SWITCH(B71, "Gelatos de Leite", 8, "Sorbets", 11, "Gelatos de Leite com Fruta", 14, "Chocolate base água", 17, "Vegano", 20, "Alcoólicos", 23, "Zero", 26, "Gelatos Proteicos", 29, 8), 8)) + IF(B71="Gelatos Proteicos", (ROUND(Q71,4)&lt;'Tabela de ingredientes'!$W$28)+(ROUND(Q71,4)&gt;'Tabela de ingredientes'!$W$29), 0) = 0, "Ok", "Revisar"))</f>
        <v>Revisar</v>
      </c>
    </row>
    <row r="72">
      <c r="A72" s="39" t="str">
        <f>IFERROR(__xludf.DUMMYFUNCTION("""COMPUTED_VALUE"""),"Sorvete Soft de Chocolate (Addolcire)")</f>
        <v>Sorvete Soft de Chocolate (Addolcire)</v>
      </c>
      <c r="B72" s="39" t="s">
        <v>25</v>
      </c>
      <c r="C72" s="39">
        <v>10.0</v>
      </c>
      <c r="D72" s="39">
        <v>999.61</v>
      </c>
      <c r="E72" s="39" t="s">
        <v>171</v>
      </c>
      <c r="F72" s="69">
        <v>28.310040915957224</v>
      </c>
      <c r="G72" s="69">
        <v>1.6986024549574334</v>
      </c>
      <c r="H72" s="69">
        <v>45.78645771188513</v>
      </c>
      <c r="I72" s="59">
        <v>0.19846740228689186</v>
      </c>
      <c r="J72" s="59">
        <v>0.06669100949370253</v>
      </c>
      <c r="K72" s="59">
        <v>0.08228209001510589</v>
      </c>
      <c r="L72" s="59">
        <v>0.057552445453726946</v>
      </c>
      <c r="M72" s="59">
        <v>0.40499294724942725</v>
      </c>
      <c r="N72" s="59">
        <v>0.5950070527505728</v>
      </c>
      <c r="O72" s="39">
        <v>200.20367943497965</v>
      </c>
      <c r="P72" s="39">
        <v>246.16600474184932</v>
      </c>
      <c r="Q72" s="59">
        <v>0.043457948599953986</v>
      </c>
      <c r="R72" s="39">
        <v>9.846640189673973</v>
      </c>
      <c r="S72" s="97" t="str">
        <f t="array" ref="S72">IF(A72="","", IF( (ROUND(I72,4) &lt; INDEX('Tabela de ingredientes'!$O$1:$V$30, SWITCH(B72, "Gelatos de Leite", 7, "Sorbets", 10, "Gelatos de Leite com Fruta", 13, "Chocolate base água", 16, "Vegano", 19, "Alcoólicos", 22, "Zero", 25, "Gelatos Proteicos", 28, 7), 1)) + (ROUND(I72,4) &gt; INDEX('Tabela de ingredientes'!$O$1:$V$30, SWITCH(B72, "Gelatos de Leite", 8, "Sorbets", 11, "Gelatos de Leite com Fruta", 14, "Chocolate base água", 17, "Vegano", 20, "Alcoólicos", 23, "Zero", 26, "Gelatos Proteicos", 29, 8), 1)) + (ROUND(J72,4) &lt; INDEX('Tabela de ingredientes'!$O$1:$V$30, SWITCH(B72, "Gelatos de Leite", 7, "Sorbets", 10, "Gelatos de Leite com Fruta", 13, "Chocolate base água", 16, "Vegano", 19, "Alcoólicos", 22, "Zero", 25, "Gelatos Proteicos", 28, 7), 2)) + (ROUND(J72,4) &gt; INDEX('Tabela de ingredientes'!$O$1:$V$30, SWITCH(B72, "Gelatos de Leite", 8, "Sorbets", 11, "Gelatos de Leite com Fruta", 14, "Chocolate base água", 17, "Vegano", 20, "Alcoólicos", 23, "Zero", 26, "Gelatos Proteicos", 29, 8), 2)) + (ROUND(K72,4) &lt; INDEX('Tabela de ingredientes'!$O$1:$V$30, SWITCH(B72, "Gelatos de Leite", 7, "Sorbets", 10, "Gelatos de Leite com Fruta", 13, "Chocolate base água", 16, "Vegano", 19, "Alcoólicos", 22, "Zero", 25, "Gelatos Proteicos", 28, 7), 3)) + (ROUND(K72,4) &gt; INDEX('Tabela de ingredientes'!$O$1:$V$30, SWITCH(B72, "Gelatos de Leite", 8, "Sorbets", 11, "Gelatos de Leite com Fruta", 14, "Chocolate base água", 17, "Vegano", 20, "Alcoólicos", 23, "Zero", 26, "Gelatos Proteicos", 29, 8), 3)) + (ROUND(L72,4) &lt; INDEX('Tabela de ingredientes'!$O$1:$V$30, SWITCH(B72, "Gelatos de Leite", 7, "Sorbets", 10, "Gelatos de Leite com Fruta", 13, "Chocolate base água", 16, "Vegano", 19, "Alcoólicos", 22, "Zero", 25, "Gelatos Proteicos", 28, 7), 4)) + (ROUND(L72,4) &gt; INDEX('Tabela de ingredientes'!$O$1:$V$30, SWITCH(B72, "Gelatos de Leite", 8, "Sorbets", 11, "Gelatos de Leite com Fruta", 14, "Chocolate base água", 17, "Vegano", 20, "Alcoólicos", 23, "Zero", 26, "Gelatos Proteicos", 29, 8), 4)) + (ROUND(M72,4) &lt; INDEX('Tabela de ingredientes'!$O$1:$V$30, SWITCH(B72, "Gelatos de Leite", 7, "Sorbets", 10, "Gelatos de Leite com Fruta", 13, "Chocolate base água", 16, "Vegano", 19, "Alcoólicos", 22, "Zero", 25, "Gelatos Proteicos", 28, 7), 5)) + (ROUND(M72,4) &gt; INDEX('Tabela de ingredientes'!$O$1:$V$30, SWITCH(B72, "Gelatos de Leite", 8, "Sorbets", 11, "Gelatos de Leite com Fruta", 14, "Chocolate base água", 17, "Vegano", 20, "Alcoólicos", 23, "Zero", 26, "Gelatos Proteicos", 29, 8), 5)) + (ROUND(N72,4) &lt; INDEX('Tabela de ingredientes'!$O$1:$V$30, SWITCH(B72, "Gelatos de Leite", 7, "Sorbets", 10, "Gelatos de Leite com Fruta", 13, "Chocolate base água", 16, "Vegano", 19, "Alcoólicos", 22, "Zero", 25, "Gelatos Proteicos", 28, 7), 6)) + (ROUND(N72,4) &gt; INDEX('Tabela de ingredientes'!$O$1:$V$30, SWITCH(B72, "Gelatos de Leite", 8, "Sorbets", 11, "Gelatos de Leite com Fruta", 14, "Chocolate base água", 17, "Vegano", 20, "Alcoólicos", 23, "Zero", 26, "Gelatos Proteicos", 29, 8), 6)) + (ROUND(O72,4) &lt; INDEX('Tabela de ingredientes'!$O$1:$V$30, SWITCH(B72, "Gelatos de Leite", 7, "Sorbets", 10, "Gelatos de Leite com Fruta", 13, "Chocolate base água", 16, "Vegano", 19, "Alcoólicos", 22, "Zero", 25, "Gelatos Proteicos", 28, 7), 7)) + (ROUND(O72,4) &gt; INDEX('Tabela de ingredientes'!$O$1:$V$30, SWITCH(B72, "Gelatos de Leite", 8, "Sorbets", 11, "Gelatos de Leite com Fruta", 14, "Chocolate base água", 17, "Vegano", 20, "Alcoólicos", 23, "Zero", 26, "Gelatos Proteicos", 29, 8), 7)) + (ROUND(P72,4) &lt; INDEX('Tabela de ingredientes'!$O$1:$V$30, SWITCH(B72, "Gelatos de Leite", 7, "Sorbets", 10, "Gelatos de Leite com Fruta", 13, "Chocolate base água", 16, "Vegano", 19, "Alcoólicos", 22, "Zero", 25, "Gelatos Proteicos", 28, 7), 8)) + (ROUND(P72,4) &gt; INDEX('Tabela de ingredientes'!$O$1:$V$30, SWITCH(B72, "Gelatos de Leite", 8, "Sorbets", 11, "Gelatos de Leite com Fruta", 14, "Chocolate base água", 17, "Vegano", 20, "Alcoólicos", 23, "Zero", 26, "Gelatos Proteicos", 29, 8), 8)) + IF(B72="Gelatos Proteicos", (ROUND(Q72,4)&lt;'Tabela de ingredientes'!$W$28)+(ROUND(Q72,4)&gt;'Tabela de ingredientes'!$W$29), 0) = 0, "Ok", "Revisar"))</f>
        <v>Revisar</v>
      </c>
    </row>
    <row r="73">
      <c r="A73" s="39" t="str">
        <f>IFERROR(__xludf.DUMMYFUNCTION("""COMPUTED_VALUE"""),"Gelato de Pudim (Direto ao Ponto)")</f>
        <v>Gelato de Pudim (Direto ao Ponto)</v>
      </c>
      <c r="B73" s="39" t="s">
        <v>25</v>
      </c>
      <c r="C73" s="39">
        <v>7.0</v>
      </c>
      <c r="D73" s="39">
        <v>999.67</v>
      </c>
      <c r="E73" s="39" t="s">
        <v>171</v>
      </c>
      <c r="F73" s="69">
        <v>14.341142529641418</v>
      </c>
      <c r="G73" s="69">
        <v>0.860468551778485</v>
      </c>
      <c r="H73" s="69">
        <v>34.22280010731906</v>
      </c>
      <c r="I73" s="59">
        <v>0.18796439791955993</v>
      </c>
      <c r="J73" s="59">
        <v>0.06933733629728143</v>
      </c>
      <c r="K73" s="59">
        <v>0.0935543800544227</v>
      </c>
      <c r="L73" s="59">
        <v>0.04105364248875115</v>
      </c>
      <c r="M73" s="59">
        <v>0.3919097567600152</v>
      </c>
      <c r="N73" s="59">
        <v>0.6080902432399848</v>
      </c>
      <c r="O73" s="39">
        <v>182.99515617404933</v>
      </c>
      <c r="P73" s="39">
        <v>271.7285329751235</v>
      </c>
      <c r="Q73" s="59">
        <v>0.052001520691401626</v>
      </c>
      <c r="R73" s="39">
        <v>10.86914131900494</v>
      </c>
      <c r="S73" s="97" t="str">
        <f t="array" ref="S73">IF(A73="","", IF( (ROUND(I73,4) &lt; INDEX('Tabela de ingredientes'!$O$1:$V$30, SWITCH(B73, "Gelatos de Leite", 7, "Sorbets", 10, "Gelatos de Leite com Fruta", 13, "Chocolate base água", 16, "Vegano", 19, "Alcoólicos", 22, "Zero", 25, "Gelatos Proteicos", 28, 7), 1)) + (ROUND(I73,4) &gt; INDEX('Tabela de ingredientes'!$O$1:$V$30, SWITCH(B73, "Gelatos de Leite", 8, "Sorbets", 11, "Gelatos de Leite com Fruta", 14, "Chocolate base água", 17, "Vegano", 20, "Alcoólicos", 23, "Zero", 26, "Gelatos Proteicos", 29, 8), 1)) + (ROUND(J73,4) &lt; INDEX('Tabela de ingredientes'!$O$1:$V$30, SWITCH(B73, "Gelatos de Leite", 7, "Sorbets", 10, "Gelatos de Leite com Fruta", 13, "Chocolate base água", 16, "Vegano", 19, "Alcoólicos", 22, "Zero", 25, "Gelatos Proteicos", 28, 7), 2)) + (ROUND(J73,4) &gt; INDEX('Tabela de ingredientes'!$O$1:$V$30, SWITCH(B73, "Gelatos de Leite", 8, "Sorbets", 11, "Gelatos de Leite com Fruta", 14, "Chocolate base água", 17, "Vegano", 20, "Alcoólicos", 23, "Zero", 26, "Gelatos Proteicos", 29, 8), 2)) + (ROUND(K73,4) &lt; INDEX('Tabela de ingredientes'!$O$1:$V$30, SWITCH(B73, "Gelatos de Leite", 7, "Sorbets", 10, "Gelatos de Leite com Fruta", 13, "Chocolate base água", 16, "Vegano", 19, "Alcoólicos", 22, "Zero", 25, "Gelatos Proteicos", 28, 7), 3)) + (ROUND(K73,4) &gt; INDEX('Tabela de ingredientes'!$O$1:$V$30, SWITCH(B73, "Gelatos de Leite", 8, "Sorbets", 11, "Gelatos de Leite com Fruta", 14, "Chocolate base água", 17, "Vegano", 20, "Alcoólicos", 23, "Zero", 26, "Gelatos Proteicos", 29, 8), 3)) + (ROUND(L73,4) &lt; INDEX('Tabela de ingredientes'!$O$1:$V$30, SWITCH(B73, "Gelatos de Leite", 7, "Sorbets", 10, "Gelatos de Leite com Fruta", 13, "Chocolate base água", 16, "Vegano", 19, "Alcoólicos", 22, "Zero", 25, "Gelatos Proteicos", 28, 7), 4)) + (ROUND(L73,4) &gt; INDEX('Tabela de ingredientes'!$O$1:$V$30, SWITCH(B73, "Gelatos de Leite", 8, "Sorbets", 11, "Gelatos de Leite com Fruta", 14, "Chocolate base água", 17, "Vegano", 20, "Alcoólicos", 23, "Zero", 26, "Gelatos Proteicos", 29, 8), 4)) + (ROUND(M73,4) &lt; INDEX('Tabela de ingredientes'!$O$1:$V$30, SWITCH(B73, "Gelatos de Leite", 7, "Sorbets", 10, "Gelatos de Leite com Fruta", 13, "Chocolate base água", 16, "Vegano", 19, "Alcoólicos", 22, "Zero", 25, "Gelatos Proteicos", 28, 7), 5)) + (ROUND(M73,4) &gt; INDEX('Tabela de ingredientes'!$O$1:$V$30, SWITCH(B73, "Gelatos de Leite", 8, "Sorbets", 11, "Gelatos de Leite com Fruta", 14, "Chocolate base água", 17, "Vegano", 20, "Alcoólicos", 23, "Zero", 26, "Gelatos Proteicos", 29, 8), 5)) + (ROUND(N73,4) &lt; INDEX('Tabela de ingredientes'!$O$1:$V$30, SWITCH(B73, "Gelatos de Leite", 7, "Sorbets", 10, "Gelatos de Leite com Fruta", 13, "Chocolate base água", 16, "Vegano", 19, "Alcoólicos", 22, "Zero", 25, "Gelatos Proteicos", 28, 7), 6)) + (ROUND(N73,4) &gt; INDEX('Tabela de ingredientes'!$O$1:$V$30, SWITCH(B73, "Gelatos de Leite", 8, "Sorbets", 11, "Gelatos de Leite com Fruta", 14, "Chocolate base água", 17, "Vegano", 20, "Alcoólicos", 23, "Zero", 26, "Gelatos Proteicos", 29, 8), 6)) + (ROUND(O73,4) &lt; INDEX('Tabela de ingredientes'!$O$1:$V$30, SWITCH(B73, "Gelatos de Leite", 7, "Sorbets", 10, "Gelatos de Leite com Fruta", 13, "Chocolate base água", 16, "Vegano", 19, "Alcoólicos", 22, "Zero", 25, "Gelatos Proteicos", 28, 7), 7)) + (ROUND(O73,4) &gt; INDEX('Tabela de ingredientes'!$O$1:$V$30, SWITCH(B73, "Gelatos de Leite", 8, "Sorbets", 11, "Gelatos de Leite com Fruta", 14, "Chocolate base água", 17, "Vegano", 20, "Alcoólicos", 23, "Zero", 26, "Gelatos Proteicos", 29, 8), 7)) + (ROUND(P73,4) &lt; INDEX('Tabela de ingredientes'!$O$1:$V$30, SWITCH(B73, "Gelatos de Leite", 7, "Sorbets", 10, "Gelatos de Leite com Fruta", 13, "Chocolate base água", 16, "Vegano", 19, "Alcoólicos", 22, "Zero", 25, "Gelatos Proteicos", 28, 7), 8)) + (ROUND(P73,4) &gt; INDEX('Tabela de ingredientes'!$O$1:$V$30, SWITCH(B73, "Gelatos de Leite", 8, "Sorbets", 11, "Gelatos de Leite com Fruta", 14, "Chocolate base água", 17, "Vegano", 20, "Alcoólicos", 23, "Zero", 26, "Gelatos Proteicos", 29, 8), 8)) + IF(B73="Gelatos Proteicos", (ROUND(Q73,4)&lt;'Tabela de ingredientes'!$W$28)+(ROUND(Q73,4)&gt;'Tabela de ingredientes'!$W$29), 0) = 0, "Ok", "Revisar"))</f>
        <v>Ok</v>
      </c>
    </row>
    <row r="74">
      <c r="A74" s="39" t="str">
        <f>IFERROR(__xludf.DUMMYFUNCTION("""COMPUTED_VALUE"""),"Mousse Maracujá (Direto ao Ponto)")</f>
        <v>Mousse Maracujá (Direto ao Ponto)</v>
      </c>
      <c r="B74" s="39" t="s">
        <v>83</v>
      </c>
      <c r="C74" s="39">
        <v>10.0</v>
      </c>
      <c r="D74" s="39">
        <v>1006.0</v>
      </c>
      <c r="E74" s="39" t="s">
        <v>322</v>
      </c>
      <c r="F74" s="69">
        <v>11.662524850894634</v>
      </c>
      <c r="G74" s="69">
        <v>0.6997514910536781</v>
      </c>
      <c r="H74" s="69">
        <v>32.005401366634636</v>
      </c>
      <c r="I74" s="59">
        <v>0.1728131212723658</v>
      </c>
      <c r="J74" s="59">
        <v>0.051838966202783304</v>
      </c>
      <c r="K74" s="59">
        <v>0.10283300198807158</v>
      </c>
      <c r="L74" s="59">
        <v>0.027087475149105367</v>
      </c>
      <c r="M74" s="59">
        <v>0.35457256461232606</v>
      </c>
      <c r="N74" s="59">
        <v>0.6454274353876739</v>
      </c>
      <c r="O74" s="39">
        <v>165.220675944334</v>
      </c>
      <c r="P74" s="39">
        <v>265.506958250497</v>
      </c>
      <c r="Q74" s="59">
        <v>0.03963717693836978</v>
      </c>
      <c r="R74" s="39">
        <v>11.062789927104042</v>
      </c>
      <c r="S74" s="97" t="str">
        <f t="array" ref="S74">IF(A74="","", IF( (ROUND(I74,4) &lt; INDEX('Tabela de ingredientes'!$O$1:$V$30, SWITCH(B74, "Gelatos de Leite", 7, "Sorbets", 10, "Gelatos de Leite com Fruta", 13, "Chocolate base água", 16, "Vegano", 19, "Alcoólicos", 22, "Zero", 25, "Gelatos Proteicos", 28, 7), 1)) + (ROUND(I74,4) &gt; INDEX('Tabela de ingredientes'!$O$1:$V$30, SWITCH(B74, "Gelatos de Leite", 8, "Sorbets", 11, "Gelatos de Leite com Fruta", 14, "Chocolate base água", 17, "Vegano", 20, "Alcoólicos", 23, "Zero", 26, "Gelatos Proteicos", 29, 8), 1)) + (ROUND(J74,4) &lt; INDEX('Tabela de ingredientes'!$O$1:$V$30, SWITCH(B74, "Gelatos de Leite", 7, "Sorbets", 10, "Gelatos de Leite com Fruta", 13, "Chocolate base água", 16, "Vegano", 19, "Alcoólicos", 22, "Zero", 25, "Gelatos Proteicos", 28, 7), 2)) + (ROUND(J74,4) &gt; INDEX('Tabela de ingredientes'!$O$1:$V$30, SWITCH(B74, "Gelatos de Leite", 8, "Sorbets", 11, "Gelatos de Leite com Fruta", 14, "Chocolate base água", 17, "Vegano", 20, "Alcoólicos", 23, "Zero", 26, "Gelatos Proteicos", 29, 8), 2)) + (ROUND(K74,4) &lt; INDEX('Tabela de ingredientes'!$O$1:$V$30, SWITCH(B74, "Gelatos de Leite", 7, "Sorbets", 10, "Gelatos de Leite com Fruta", 13, "Chocolate base água", 16, "Vegano", 19, "Alcoólicos", 22, "Zero", 25, "Gelatos Proteicos", 28, 7), 3)) + (ROUND(K74,4) &gt; INDEX('Tabela de ingredientes'!$O$1:$V$30, SWITCH(B74, "Gelatos de Leite", 8, "Sorbets", 11, "Gelatos de Leite com Fruta", 14, "Chocolate base água", 17, "Vegano", 20, "Alcoólicos", 23, "Zero", 26, "Gelatos Proteicos", 29, 8), 3)) + (ROUND(L74,4) &lt; INDEX('Tabela de ingredientes'!$O$1:$V$30, SWITCH(B74, "Gelatos de Leite", 7, "Sorbets", 10, "Gelatos de Leite com Fruta", 13, "Chocolate base água", 16, "Vegano", 19, "Alcoólicos", 22, "Zero", 25, "Gelatos Proteicos", 28, 7), 4)) + (ROUND(L74,4) &gt; INDEX('Tabela de ingredientes'!$O$1:$V$30, SWITCH(B74, "Gelatos de Leite", 8, "Sorbets", 11, "Gelatos de Leite com Fruta", 14, "Chocolate base água", 17, "Vegano", 20, "Alcoólicos", 23, "Zero", 26, "Gelatos Proteicos", 29, 8), 4)) + (ROUND(M74,4) &lt; INDEX('Tabela de ingredientes'!$O$1:$V$30, SWITCH(B74, "Gelatos de Leite", 7, "Sorbets", 10, "Gelatos de Leite com Fruta", 13, "Chocolate base água", 16, "Vegano", 19, "Alcoólicos", 22, "Zero", 25, "Gelatos Proteicos", 28, 7), 5)) + (ROUND(M74,4) &gt; INDEX('Tabela de ingredientes'!$O$1:$V$30, SWITCH(B74, "Gelatos de Leite", 8, "Sorbets", 11, "Gelatos de Leite com Fruta", 14, "Chocolate base água", 17, "Vegano", 20, "Alcoólicos", 23, "Zero", 26, "Gelatos Proteicos", 29, 8), 5)) + (ROUND(N74,4) &lt; INDEX('Tabela de ingredientes'!$O$1:$V$30, SWITCH(B74, "Gelatos de Leite", 7, "Sorbets", 10, "Gelatos de Leite com Fruta", 13, "Chocolate base água", 16, "Vegano", 19, "Alcoólicos", 22, "Zero", 25, "Gelatos Proteicos", 28, 7), 6)) + (ROUND(N74,4) &gt; INDEX('Tabela de ingredientes'!$O$1:$V$30, SWITCH(B74, "Gelatos de Leite", 8, "Sorbets", 11, "Gelatos de Leite com Fruta", 14, "Chocolate base água", 17, "Vegano", 20, "Alcoólicos", 23, "Zero", 26, "Gelatos Proteicos", 29, 8), 6)) + (ROUND(O74,4) &lt; INDEX('Tabela de ingredientes'!$O$1:$V$30, SWITCH(B74, "Gelatos de Leite", 7, "Sorbets", 10, "Gelatos de Leite com Fruta", 13, "Chocolate base água", 16, "Vegano", 19, "Alcoólicos", 22, "Zero", 25, "Gelatos Proteicos", 28, 7), 7)) + (ROUND(O74,4) &gt; INDEX('Tabela de ingredientes'!$O$1:$V$30, SWITCH(B74, "Gelatos de Leite", 8, "Sorbets", 11, "Gelatos de Leite com Fruta", 14, "Chocolate base água", 17, "Vegano", 20, "Alcoólicos", 23, "Zero", 26, "Gelatos Proteicos", 29, 8), 7)) + (ROUND(P74,4) &lt; INDEX('Tabela de ingredientes'!$O$1:$V$30, SWITCH(B74, "Gelatos de Leite", 7, "Sorbets", 10, "Gelatos de Leite com Fruta", 13, "Chocolate base água", 16, "Vegano", 19, "Alcoólicos", 22, "Zero", 25, "Gelatos Proteicos", 28, 7), 8)) + (ROUND(P74,4) &gt; INDEX('Tabela de ingredientes'!$O$1:$V$30, SWITCH(B74, "Gelatos de Leite", 8, "Sorbets", 11, "Gelatos de Leite com Fruta", 14, "Chocolate base água", 17, "Vegano", 20, "Alcoólicos", 23, "Zero", 26, "Gelatos Proteicos", 29, 8), 8)) + IF(B74="Gelatos Proteicos", (ROUND(Q74,4)&lt;'Tabela de ingredientes'!$W$28)+(ROUND(Q74,4)&gt;'Tabela de ingredientes'!$W$29), 0) = 0, "Ok", "Revisar"))</f>
        <v>Revisar</v>
      </c>
    </row>
    <row r="75">
      <c r="A75" s="39" t="str">
        <f>IFERROR(__xludf.DUMMYFUNCTION("""COMPUTED_VALUE"""),"Banana Assada (Direto ao Ponto)")</f>
        <v>Banana Assada (Direto ao Ponto)</v>
      </c>
      <c r="B75" s="39" t="s">
        <v>83</v>
      </c>
      <c r="C75" s="39">
        <v>9.0</v>
      </c>
      <c r="D75" s="39">
        <v>1001.0</v>
      </c>
      <c r="E75" s="39" t="s">
        <v>161</v>
      </c>
      <c r="F75" s="69">
        <v>10.956543456543459</v>
      </c>
      <c r="G75" s="69">
        <v>0.6573926073926075</v>
      </c>
      <c r="H75" s="69">
        <v>31.420979682569094</v>
      </c>
      <c r="I75" s="59">
        <v>0.1744255744255744</v>
      </c>
      <c r="J75" s="59">
        <v>0.058216783216783224</v>
      </c>
      <c r="K75" s="59">
        <v>0.09745254745254744</v>
      </c>
      <c r="L75" s="59">
        <v>0.034215784215784216</v>
      </c>
      <c r="M75" s="59">
        <v>0.3643106893106893</v>
      </c>
      <c r="N75" s="59">
        <v>0.6356893106893107</v>
      </c>
      <c r="O75" s="39">
        <v>183.2917082917083</v>
      </c>
      <c r="P75" s="39">
        <v>267.9320679320679</v>
      </c>
      <c r="Q75" s="59">
        <v>0.03911588411588412</v>
      </c>
      <c r="R75" s="39">
        <v>11.163836163836164</v>
      </c>
      <c r="S75" s="97" t="str">
        <f t="array" ref="S75">IF(A75="","", IF( (ROUND(I75,4) &lt; INDEX('Tabela de ingredientes'!$O$1:$V$30, SWITCH(B75, "Gelatos de Leite", 7, "Sorbets", 10, "Gelatos de Leite com Fruta", 13, "Chocolate base água", 16, "Vegano", 19, "Alcoólicos", 22, "Zero", 25, "Gelatos Proteicos", 28, 7), 1)) + (ROUND(I75,4) &gt; INDEX('Tabela de ingredientes'!$O$1:$V$30, SWITCH(B75, "Gelatos de Leite", 8, "Sorbets", 11, "Gelatos de Leite com Fruta", 14, "Chocolate base água", 17, "Vegano", 20, "Alcoólicos", 23, "Zero", 26, "Gelatos Proteicos", 29, 8), 1)) + (ROUND(J75,4) &lt; INDEX('Tabela de ingredientes'!$O$1:$V$30, SWITCH(B75, "Gelatos de Leite", 7, "Sorbets", 10, "Gelatos de Leite com Fruta", 13, "Chocolate base água", 16, "Vegano", 19, "Alcoólicos", 22, "Zero", 25, "Gelatos Proteicos", 28, 7), 2)) + (ROUND(J75,4) &gt; INDEX('Tabela de ingredientes'!$O$1:$V$30, SWITCH(B75, "Gelatos de Leite", 8, "Sorbets", 11, "Gelatos de Leite com Fruta", 14, "Chocolate base água", 17, "Vegano", 20, "Alcoólicos", 23, "Zero", 26, "Gelatos Proteicos", 29, 8), 2)) + (ROUND(K75,4) &lt; INDEX('Tabela de ingredientes'!$O$1:$V$30, SWITCH(B75, "Gelatos de Leite", 7, "Sorbets", 10, "Gelatos de Leite com Fruta", 13, "Chocolate base água", 16, "Vegano", 19, "Alcoólicos", 22, "Zero", 25, "Gelatos Proteicos", 28, 7), 3)) + (ROUND(K75,4) &gt; INDEX('Tabela de ingredientes'!$O$1:$V$30, SWITCH(B75, "Gelatos de Leite", 8, "Sorbets", 11, "Gelatos de Leite com Fruta", 14, "Chocolate base água", 17, "Vegano", 20, "Alcoólicos", 23, "Zero", 26, "Gelatos Proteicos", 29, 8), 3)) + (ROUND(L75,4) &lt; INDEX('Tabela de ingredientes'!$O$1:$V$30, SWITCH(B75, "Gelatos de Leite", 7, "Sorbets", 10, "Gelatos de Leite com Fruta", 13, "Chocolate base água", 16, "Vegano", 19, "Alcoólicos", 22, "Zero", 25, "Gelatos Proteicos", 28, 7), 4)) + (ROUND(L75,4) &gt; INDEX('Tabela de ingredientes'!$O$1:$V$30, SWITCH(B75, "Gelatos de Leite", 8, "Sorbets", 11, "Gelatos de Leite com Fruta", 14, "Chocolate base água", 17, "Vegano", 20, "Alcoólicos", 23, "Zero", 26, "Gelatos Proteicos", 29, 8), 4)) + (ROUND(M75,4) &lt; INDEX('Tabela de ingredientes'!$O$1:$V$30, SWITCH(B75, "Gelatos de Leite", 7, "Sorbets", 10, "Gelatos de Leite com Fruta", 13, "Chocolate base água", 16, "Vegano", 19, "Alcoólicos", 22, "Zero", 25, "Gelatos Proteicos", 28, 7), 5)) + (ROUND(M75,4) &gt; INDEX('Tabela de ingredientes'!$O$1:$V$30, SWITCH(B75, "Gelatos de Leite", 8, "Sorbets", 11, "Gelatos de Leite com Fruta", 14, "Chocolate base água", 17, "Vegano", 20, "Alcoólicos", 23, "Zero", 26, "Gelatos Proteicos", 29, 8), 5)) + (ROUND(N75,4) &lt; INDEX('Tabela de ingredientes'!$O$1:$V$30, SWITCH(B75, "Gelatos de Leite", 7, "Sorbets", 10, "Gelatos de Leite com Fruta", 13, "Chocolate base água", 16, "Vegano", 19, "Alcoólicos", 22, "Zero", 25, "Gelatos Proteicos", 28, 7), 6)) + (ROUND(N75,4) &gt; INDEX('Tabela de ingredientes'!$O$1:$V$30, SWITCH(B75, "Gelatos de Leite", 8, "Sorbets", 11, "Gelatos de Leite com Fruta", 14, "Chocolate base água", 17, "Vegano", 20, "Alcoólicos", 23, "Zero", 26, "Gelatos Proteicos", 29, 8), 6)) + (ROUND(O75,4) &lt; INDEX('Tabela de ingredientes'!$O$1:$V$30, SWITCH(B75, "Gelatos de Leite", 7, "Sorbets", 10, "Gelatos de Leite com Fruta", 13, "Chocolate base água", 16, "Vegano", 19, "Alcoólicos", 22, "Zero", 25, "Gelatos Proteicos", 28, 7), 7)) + (ROUND(O75,4) &gt; INDEX('Tabela de ingredientes'!$O$1:$V$30, SWITCH(B75, "Gelatos de Leite", 8, "Sorbets", 11, "Gelatos de Leite com Fruta", 14, "Chocolate base água", 17, "Vegano", 20, "Alcoólicos", 23, "Zero", 26, "Gelatos Proteicos", 29, 8), 7)) + (ROUND(P75,4) &lt; INDEX('Tabela de ingredientes'!$O$1:$V$30, SWITCH(B75, "Gelatos de Leite", 7, "Sorbets", 10, "Gelatos de Leite com Fruta", 13, "Chocolate base água", 16, "Vegano", 19, "Alcoólicos", 22, "Zero", 25, "Gelatos Proteicos", 28, 7), 8)) + (ROUND(P75,4) &gt; INDEX('Tabela de ingredientes'!$O$1:$V$30, SWITCH(B75, "Gelatos de Leite", 8, "Sorbets", 11, "Gelatos de Leite com Fruta", 14, "Chocolate base água", 17, "Vegano", 20, "Alcoólicos", 23, "Zero", 26, "Gelatos Proteicos", 29, 8), 8)) + IF(B75="Gelatos Proteicos", (ROUND(Q75,4)&lt;'Tabela de ingredientes'!$W$28)+(ROUND(Q75,4)&gt;'Tabela de ingredientes'!$W$29), 0) = 0, "Ok", "Revisar"))</f>
        <v>Ok</v>
      </c>
    </row>
    <row r="76">
      <c r="A76" s="39" t="str">
        <f>IFERROR(__xludf.DUMMYFUNCTION("""COMPUTED_VALUE"""),"Morango / Fragola (Direto ao Ponto)")</f>
        <v>Morango / Fragola (Direto ao Ponto)</v>
      </c>
      <c r="B76" s="39" t="s">
        <v>83</v>
      </c>
      <c r="C76" s="39">
        <v>9.0</v>
      </c>
      <c r="D76" s="39">
        <v>1006.0</v>
      </c>
      <c r="E76" s="39" t="s">
        <v>322</v>
      </c>
      <c r="F76" s="69">
        <v>25.941848906560637</v>
      </c>
      <c r="G76" s="69">
        <v>1.556510934393638</v>
      </c>
      <c r="H76" s="69">
        <v>43.826033863046895</v>
      </c>
      <c r="I76" s="59">
        <v>0.17306163021868787</v>
      </c>
      <c r="J76" s="59">
        <v>0.05464711729622266</v>
      </c>
      <c r="K76" s="59">
        <v>0.09309145129224651</v>
      </c>
      <c r="L76" s="59">
        <v>0.04120278330019881</v>
      </c>
      <c r="M76" s="59">
        <v>0.3620029821073559</v>
      </c>
      <c r="N76" s="59">
        <v>0.6379970178926442</v>
      </c>
      <c r="O76" s="39">
        <v>199.56958250497019</v>
      </c>
      <c r="P76" s="39">
        <v>286.36182902584494</v>
      </c>
      <c r="Q76" s="59">
        <v>0.040233598409542735</v>
      </c>
      <c r="R76" s="39">
        <v>11.931742876076873</v>
      </c>
      <c r="S76" s="97" t="str">
        <f t="array" ref="S76">IF(A76="","", IF( (ROUND(I76,4) &lt; INDEX('Tabela de ingredientes'!$O$1:$V$30, SWITCH(B76, "Gelatos de Leite", 7, "Sorbets", 10, "Gelatos de Leite com Fruta", 13, "Chocolate base água", 16, "Vegano", 19, "Alcoólicos", 22, "Zero", 25, "Gelatos Proteicos", 28, 7), 1)) + (ROUND(I76,4) &gt; INDEX('Tabela de ingredientes'!$O$1:$V$30, SWITCH(B76, "Gelatos de Leite", 8, "Sorbets", 11, "Gelatos de Leite com Fruta", 14, "Chocolate base água", 17, "Vegano", 20, "Alcoólicos", 23, "Zero", 26, "Gelatos Proteicos", 29, 8), 1)) + (ROUND(J76,4) &lt; INDEX('Tabela de ingredientes'!$O$1:$V$30, SWITCH(B76, "Gelatos de Leite", 7, "Sorbets", 10, "Gelatos de Leite com Fruta", 13, "Chocolate base água", 16, "Vegano", 19, "Alcoólicos", 22, "Zero", 25, "Gelatos Proteicos", 28, 7), 2)) + (ROUND(J76,4) &gt; INDEX('Tabela de ingredientes'!$O$1:$V$30, SWITCH(B76, "Gelatos de Leite", 8, "Sorbets", 11, "Gelatos de Leite com Fruta", 14, "Chocolate base água", 17, "Vegano", 20, "Alcoólicos", 23, "Zero", 26, "Gelatos Proteicos", 29, 8), 2)) + (ROUND(K76,4) &lt; INDEX('Tabela de ingredientes'!$O$1:$V$30, SWITCH(B76, "Gelatos de Leite", 7, "Sorbets", 10, "Gelatos de Leite com Fruta", 13, "Chocolate base água", 16, "Vegano", 19, "Alcoólicos", 22, "Zero", 25, "Gelatos Proteicos", 28, 7), 3)) + (ROUND(K76,4) &gt; INDEX('Tabela de ingredientes'!$O$1:$V$30, SWITCH(B76, "Gelatos de Leite", 8, "Sorbets", 11, "Gelatos de Leite com Fruta", 14, "Chocolate base água", 17, "Vegano", 20, "Alcoólicos", 23, "Zero", 26, "Gelatos Proteicos", 29, 8), 3)) + (ROUND(L76,4) &lt; INDEX('Tabela de ingredientes'!$O$1:$V$30, SWITCH(B76, "Gelatos de Leite", 7, "Sorbets", 10, "Gelatos de Leite com Fruta", 13, "Chocolate base água", 16, "Vegano", 19, "Alcoólicos", 22, "Zero", 25, "Gelatos Proteicos", 28, 7), 4)) + (ROUND(L76,4) &gt; INDEX('Tabela de ingredientes'!$O$1:$V$30, SWITCH(B76, "Gelatos de Leite", 8, "Sorbets", 11, "Gelatos de Leite com Fruta", 14, "Chocolate base água", 17, "Vegano", 20, "Alcoólicos", 23, "Zero", 26, "Gelatos Proteicos", 29, 8), 4)) + (ROUND(M76,4) &lt; INDEX('Tabela de ingredientes'!$O$1:$V$30, SWITCH(B76, "Gelatos de Leite", 7, "Sorbets", 10, "Gelatos de Leite com Fruta", 13, "Chocolate base água", 16, "Vegano", 19, "Alcoólicos", 22, "Zero", 25, "Gelatos Proteicos", 28, 7), 5)) + (ROUND(M76,4) &gt; INDEX('Tabela de ingredientes'!$O$1:$V$30, SWITCH(B76, "Gelatos de Leite", 8, "Sorbets", 11, "Gelatos de Leite com Fruta", 14, "Chocolate base água", 17, "Vegano", 20, "Alcoólicos", 23, "Zero", 26, "Gelatos Proteicos", 29, 8), 5)) + (ROUND(N76,4) &lt; INDEX('Tabela de ingredientes'!$O$1:$V$30, SWITCH(B76, "Gelatos de Leite", 7, "Sorbets", 10, "Gelatos de Leite com Fruta", 13, "Chocolate base água", 16, "Vegano", 19, "Alcoólicos", 22, "Zero", 25, "Gelatos Proteicos", 28, 7), 6)) + (ROUND(N76,4) &gt; INDEX('Tabela de ingredientes'!$O$1:$V$30, SWITCH(B76, "Gelatos de Leite", 8, "Sorbets", 11, "Gelatos de Leite com Fruta", 14, "Chocolate base água", 17, "Vegano", 20, "Alcoólicos", 23, "Zero", 26, "Gelatos Proteicos", 29, 8), 6)) + (ROUND(O76,4) &lt; INDEX('Tabela de ingredientes'!$O$1:$V$30, SWITCH(B76, "Gelatos de Leite", 7, "Sorbets", 10, "Gelatos de Leite com Fruta", 13, "Chocolate base água", 16, "Vegano", 19, "Alcoólicos", 22, "Zero", 25, "Gelatos Proteicos", 28, 7), 7)) + (ROUND(O76,4) &gt; INDEX('Tabela de ingredientes'!$O$1:$V$30, SWITCH(B76, "Gelatos de Leite", 8, "Sorbets", 11, "Gelatos de Leite com Fruta", 14, "Chocolate base água", 17, "Vegano", 20, "Alcoólicos", 23, "Zero", 26, "Gelatos Proteicos", 29, 8), 7)) + (ROUND(P76,4) &lt; INDEX('Tabela de ingredientes'!$O$1:$V$30, SWITCH(B76, "Gelatos de Leite", 7, "Sorbets", 10, "Gelatos de Leite com Fruta", 13, "Chocolate base água", 16, "Vegano", 19, "Alcoólicos", 22, "Zero", 25, "Gelatos Proteicos", 28, 7), 8)) + (ROUND(P76,4) &gt; INDEX('Tabela de ingredientes'!$O$1:$V$30, SWITCH(B76, "Gelatos de Leite", 8, "Sorbets", 11, "Gelatos de Leite com Fruta", 14, "Chocolate base água", 17, "Vegano", 20, "Alcoólicos", 23, "Zero", 26, "Gelatos Proteicos", 29, 8), 8)) + IF(B76="Gelatos Proteicos", (ROUND(Q76,4)&lt;'Tabela de ingredientes'!$W$28)+(ROUND(Q76,4)&gt;'Tabela de ingredientes'!$W$29), 0) = 0, "Ok", "Revisar"))</f>
        <v>Ok</v>
      </c>
    </row>
    <row r="77">
      <c r="A77" s="39" t="str">
        <f>IFERROR(__xludf.DUMMYFUNCTION("""COMPUTED_VALUE"""),"Gelato de Ameixa, Aveia e Mel (Addolcire)")</f>
        <v>Gelato de Ameixa, Aveia e Mel (Addolcire)</v>
      </c>
      <c r="B77" s="39" t="s">
        <v>83</v>
      </c>
      <c r="C77" s="39">
        <v>8.0</v>
      </c>
      <c r="D77" s="39">
        <v>1127.0</v>
      </c>
      <c r="E77" s="39" t="s">
        <v>552</v>
      </c>
      <c r="F77" s="69">
        <v>15.989707187222717</v>
      </c>
      <c r="G77" s="69">
        <v>0.959382431233363</v>
      </c>
      <c r="H77" s="69">
        <v>35.58750594968769</v>
      </c>
      <c r="I77" s="59">
        <v>0.15976042590949424</v>
      </c>
      <c r="J77" s="59">
        <v>0.08739130434782608</v>
      </c>
      <c r="K77" s="59">
        <v>0.055953859804791485</v>
      </c>
      <c r="L77" s="59">
        <v>0.08039041703637977</v>
      </c>
      <c r="M77" s="59">
        <v>0.3834960070984916</v>
      </c>
      <c r="N77" s="59">
        <v>0.6165039929015084</v>
      </c>
      <c r="O77" s="39">
        <v>200.54055013309673</v>
      </c>
      <c r="P77" s="39">
        <v>320.6388642413487</v>
      </c>
      <c r="Q77" s="59">
        <v>0.029165927240461405</v>
      </c>
      <c r="R77" s="39">
        <v>13.359952676722862</v>
      </c>
      <c r="S77" s="97" t="str">
        <f t="array" ref="S77">IF(A77="","", IF( (ROUND(I77,4) &lt; INDEX('Tabela de ingredientes'!$O$1:$V$30, SWITCH(B77, "Gelatos de Leite", 7, "Sorbets", 10, "Gelatos de Leite com Fruta", 13, "Chocolate base água", 16, "Vegano", 19, "Alcoólicos", 22, "Zero", 25, "Gelatos Proteicos", 28, 7), 1)) + (ROUND(I77,4) &gt; INDEX('Tabela de ingredientes'!$O$1:$V$30, SWITCH(B77, "Gelatos de Leite", 8, "Sorbets", 11, "Gelatos de Leite com Fruta", 14, "Chocolate base água", 17, "Vegano", 20, "Alcoólicos", 23, "Zero", 26, "Gelatos Proteicos", 29, 8), 1)) + (ROUND(J77,4) &lt; INDEX('Tabela de ingredientes'!$O$1:$V$30, SWITCH(B77, "Gelatos de Leite", 7, "Sorbets", 10, "Gelatos de Leite com Fruta", 13, "Chocolate base água", 16, "Vegano", 19, "Alcoólicos", 22, "Zero", 25, "Gelatos Proteicos", 28, 7), 2)) + (ROUND(J77,4) &gt; INDEX('Tabela de ingredientes'!$O$1:$V$30, SWITCH(B77, "Gelatos de Leite", 8, "Sorbets", 11, "Gelatos de Leite com Fruta", 14, "Chocolate base água", 17, "Vegano", 20, "Alcoólicos", 23, "Zero", 26, "Gelatos Proteicos", 29, 8), 2)) + (ROUND(K77,4) &lt; INDEX('Tabela de ingredientes'!$O$1:$V$30, SWITCH(B77, "Gelatos de Leite", 7, "Sorbets", 10, "Gelatos de Leite com Fruta", 13, "Chocolate base água", 16, "Vegano", 19, "Alcoólicos", 22, "Zero", 25, "Gelatos Proteicos", 28, 7), 3)) + (ROUND(K77,4) &gt; INDEX('Tabela de ingredientes'!$O$1:$V$30, SWITCH(B77, "Gelatos de Leite", 8, "Sorbets", 11, "Gelatos de Leite com Fruta", 14, "Chocolate base água", 17, "Vegano", 20, "Alcoólicos", 23, "Zero", 26, "Gelatos Proteicos", 29, 8), 3)) + (ROUND(L77,4) &lt; INDEX('Tabela de ingredientes'!$O$1:$V$30, SWITCH(B77, "Gelatos de Leite", 7, "Sorbets", 10, "Gelatos de Leite com Fruta", 13, "Chocolate base água", 16, "Vegano", 19, "Alcoólicos", 22, "Zero", 25, "Gelatos Proteicos", 28, 7), 4)) + (ROUND(L77,4) &gt; INDEX('Tabela de ingredientes'!$O$1:$V$30, SWITCH(B77, "Gelatos de Leite", 8, "Sorbets", 11, "Gelatos de Leite com Fruta", 14, "Chocolate base água", 17, "Vegano", 20, "Alcoólicos", 23, "Zero", 26, "Gelatos Proteicos", 29, 8), 4)) + (ROUND(M77,4) &lt; INDEX('Tabela de ingredientes'!$O$1:$V$30, SWITCH(B77, "Gelatos de Leite", 7, "Sorbets", 10, "Gelatos de Leite com Fruta", 13, "Chocolate base água", 16, "Vegano", 19, "Alcoólicos", 22, "Zero", 25, "Gelatos Proteicos", 28, 7), 5)) + (ROUND(M77,4) &gt; INDEX('Tabela de ingredientes'!$O$1:$V$30, SWITCH(B77, "Gelatos de Leite", 8, "Sorbets", 11, "Gelatos de Leite com Fruta", 14, "Chocolate base água", 17, "Vegano", 20, "Alcoólicos", 23, "Zero", 26, "Gelatos Proteicos", 29, 8), 5)) + (ROUND(N77,4) &lt; INDEX('Tabela de ingredientes'!$O$1:$V$30, SWITCH(B77, "Gelatos de Leite", 7, "Sorbets", 10, "Gelatos de Leite com Fruta", 13, "Chocolate base água", 16, "Vegano", 19, "Alcoólicos", 22, "Zero", 25, "Gelatos Proteicos", 28, 7), 6)) + (ROUND(N77,4) &gt; INDEX('Tabela de ingredientes'!$O$1:$V$30, SWITCH(B77, "Gelatos de Leite", 8, "Sorbets", 11, "Gelatos de Leite com Fruta", 14, "Chocolate base água", 17, "Vegano", 20, "Alcoólicos", 23, "Zero", 26, "Gelatos Proteicos", 29, 8), 6)) + (ROUND(O77,4) &lt; INDEX('Tabela de ingredientes'!$O$1:$V$30, SWITCH(B77, "Gelatos de Leite", 7, "Sorbets", 10, "Gelatos de Leite com Fruta", 13, "Chocolate base água", 16, "Vegano", 19, "Alcoólicos", 22, "Zero", 25, "Gelatos Proteicos", 28, 7), 7)) + (ROUND(O77,4) &gt; INDEX('Tabela de ingredientes'!$O$1:$V$30, SWITCH(B77, "Gelatos de Leite", 8, "Sorbets", 11, "Gelatos de Leite com Fruta", 14, "Chocolate base água", 17, "Vegano", 20, "Alcoólicos", 23, "Zero", 26, "Gelatos Proteicos", 29, 8), 7)) + (ROUND(P77,4) &lt; INDEX('Tabela de ingredientes'!$O$1:$V$30, SWITCH(B77, "Gelatos de Leite", 7, "Sorbets", 10, "Gelatos de Leite com Fruta", 13, "Chocolate base água", 16, "Vegano", 19, "Alcoólicos", 22, "Zero", 25, "Gelatos Proteicos", 28, 7), 8)) + (ROUND(P77,4) &gt; INDEX('Tabela de ingredientes'!$O$1:$V$30, SWITCH(B77, "Gelatos de Leite", 8, "Sorbets", 11, "Gelatos de Leite com Fruta", 14, "Chocolate base água", 17, "Vegano", 20, "Alcoólicos", 23, "Zero", 26, "Gelatos Proteicos", 29, 8), 8)) + IF(B77="Gelatos Proteicos", (ROUND(Q77,4)&lt;'Tabela de ingredientes'!$W$28)+(ROUND(Q77,4)&gt;'Tabela de ingredientes'!$W$29), 0) = 0, "Ok", "Revisar"))</f>
        <v>Revisar</v>
      </c>
    </row>
    <row r="78">
      <c r="A78" s="39" t="str">
        <f>IFERROR(__xludf.DUMMYFUNCTION("""COMPUTED_VALUE"""),"Gelato de Banana (Addolcire)")</f>
        <v>Gelato de Banana (Addolcire)</v>
      </c>
      <c r="B78" s="39" t="s">
        <v>83</v>
      </c>
      <c r="C78" s="39">
        <v>8.0</v>
      </c>
      <c r="D78" s="39">
        <v>1031.0</v>
      </c>
      <c r="E78" s="39" t="s">
        <v>556</v>
      </c>
      <c r="F78" s="69">
        <v>6.719689621726479</v>
      </c>
      <c r="G78" s="69">
        <v>0.4031813773035887</v>
      </c>
      <c r="H78" s="69">
        <v>27.913650349111332</v>
      </c>
      <c r="I78" s="59">
        <v>0.17798254122211446</v>
      </c>
      <c r="J78" s="59">
        <v>0.0475266731328807</v>
      </c>
      <c r="K78" s="59">
        <v>0.04105722599418041</v>
      </c>
      <c r="L78" s="59">
        <v>0.037827352085354024</v>
      </c>
      <c r="M78" s="59">
        <v>0.3043937924345296</v>
      </c>
      <c r="N78" s="59">
        <v>0.6956062075654704</v>
      </c>
      <c r="O78" s="39">
        <v>182.01163918525702</v>
      </c>
      <c r="P78" s="39">
        <v>271.3870029097963</v>
      </c>
      <c r="Q78" s="59">
        <v>0.02073714839961203</v>
      </c>
      <c r="R78" s="39">
        <v>11.30779178790818</v>
      </c>
      <c r="S78" s="97" t="str">
        <f t="array" ref="S78">IF(A78="","", IF( (ROUND(I78,4) &lt; INDEX('Tabela de ingredientes'!$O$1:$V$30, SWITCH(B78, "Gelatos de Leite", 7, "Sorbets", 10, "Gelatos de Leite com Fruta", 13, "Chocolate base água", 16, "Vegano", 19, "Alcoólicos", 22, "Zero", 25, "Gelatos Proteicos", 28, 7), 1)) + (ROUND(I78,4) &gt; INDEX('Tabela de ingredientes'!$O$1:$V$30, SWITCH(B78, "Gelatos de Leite", 8, "Sorbets", 11, "Gelatos de Leite com Fruta", 14, "Chocolate base água", 17, "Vegano", 20, "Alcoólicos", 23, "Zero", 26, "Gelatos Proteicos", 29, 8), 1)) + (ROUND(J78,4) &lt; INDEX('Tabela de ingredientes'!$O$1:$V$30, SWITCH(B78, "Gelatos de Leite", 7, "Sorbets", 10, "Gelatos de Leite com Fruta", 13, "Chocolate base água", 16, "Vegano", 19, "Alcoólicos", 22, "Zero", 25, "Gelatos Proteicos", 28, 7), 2)) + (ROUND(J78,4) &gt; INDEX('Tabela de ingredientes'!$O$1:$V$30, SWITCH(B78, "Gelatos de Leite", 8, "Sorbets", 11, "Gelatos de Leite com Fruta", 14, "Chocolate base água", 17, "Vegano", 20, "Alcoólicos", 23, "Zero", 26, "Gelatos Proteicos", 29, 8), 2)) + (ROUND(K78,4) &lt; INDEX('Tabela de ingredientes'!$O$1:$V$30, SWITCH(B78, "Gelatos de Leite", 7, "Sorbets", 10, "Gelatos de Leite com Fruta", 13, "Chocolate base água", 16, "Vegano", 19, "Alcoólicos", 22, "Zero", 25, "Gelatos Proteicos", 28, 7), 3)) + (ROUND(K78,4) &gt; INDEX('Tabela de ingredientes'!$O$1:$V$30, SWITCH(B78, "Gelatos de Leite", 8, "Sorbets", 11, "Gelatos de Leite com Fruta", 14, "Chocolate base água", 17, "Vegano", 20, "Alcoólicos", 23, "Zero", 26, "Gelatos Proteicos", 29, 8), 3)) + (ROUND(L78,4) &lt; INDEX('Tabela de ingredientes'!$O$1:$V$30, SWITCH(B78, "Gelatos de Leite", 7, "Sorbets", 10, "Gelatos de Leite com Fruta", 13, "Chocolate base água", 16, "Vegano", 19, "Alcoólicos", 22, "Zero", 25, "Gelatos Proteicos", 28, 7), 4)) + (ROUND(L78,4) &gt; INDEX('Tabela de ingredientes'!$O$1:$V$30, SWITCH(B78, "Gelatos de Leite", 8, "Sorbets", 11, "Gelatos de Leite com Fruta", 14, "Chocolate base água", 17, "Vegano", 20, "Alcoólicos", 23, "Zero", 26, "Gelatos Proteicos", 29, 8), 4)) + (ROUND(M78,4) &lt; INDEX('Tabela de ingredientes'!$O$1:$V$30, SWITCH(B78, "Gelatos de Leite", 7, "Sorbets", 10, "Gelatos de Leite com Fruta", 13, "Chocolate base água", 16, "Vegano", 19, "Alcoólicos", 22, "Zero", 25, "Gelatos Proteicos", 28, 7), 5)) + (ROUND(M78,4) &gt; INDEX('Tabela de ingredientes'!$O$1:$V$30, SWITCH(B78, "Gelatos de Leite", 8, "Sorbets", 11, "Gelatos de Leite com Fruta", 14, "Chocolate base água", 17, "Vegano", 20, "Alcoólicos", 23, "Zero", 26, "Gelatos Proteicos", 29, 8), 5)) + (ROUND(N78,4) &lt; INDEX('Tabela de ingredientes'!$O$1:$V$30, SWITCH(B78, "Gelatos de Leite", 7, "Sorbets", 10, "Gelatos de Leite com Fruta", 13, "Chocolate base água", 16, "Vegano", 19, "Alcoólicos", 22, "Zero", 25, "Gelatos Proteicos", 28, 7), 6)) + (ROUND(N78,4) &gt; INDEX('Tabela de ingredientes'!$O$1:$V$30, SWITCH(B78, "Gelatos de Leite", 8, "Sorbets", 11, "Gelatos de Leite com Fruta", 14, "Chocolate base água", 17, "Vegano", 20, "Alcoólicos", 23, "Zero", 26, "Gelatos Proteicos", 29, 8), 6)) + (ROUND(O78,4) &lt; INDEX('Tabela de ingredientes'!$O$1:$V$30, SWITCH(B78, "Gelatos de Leite", 7, "Sorbets", 10, "Gelatos de Leite com Fruta", 13, "Chocolate base água", 16, "Vegano", 19, "Alcoólicos", 22, "Zero", 25, "Gelatos Proteicos", 28, 7), 7)) + (ROUND(O78,4) &gt; INDEX('Tabela de ingredientes'!$O$1:$V$30, SWITCH(B78, "Gelatos de Leite", 8, "Sorbets", 11, "Gelatos de Leite com Fruta", 14, "Chocolate base água", 17, "Vegano", 20, "Alcoólicos", 23, "Zero", 26, "Gelatos Proteicos", 29, 8), 7)) + (ROUND(P78,4) &lt; INDEX('Tabela de ingredientes'!$O$1:$V$30, SWITCH(B78, "Gelatos de Leite", 7, "Sorbets", 10, "Gelatos de Leite com Fruta", 13, "Chocolate base água", 16, "Vegano", 19, "Alcoólicos", 22, "Zero", 25, "Gelatos Proteicos", 28, 7), 8)) + (ROUND(P78,4) &gt; INDEX('Tabela de ingredientes'!$O$1:$V$30, SWITCH(B78, "Gelatos de Leite", 8, "Sorbets", 11, "Gelatos de Leite com Fruta", 14, "Chocolate base água", 17, "Vegano", 20, "Alcoólicos", 23, "Zero", 26, "Gelatos Proteicos", 29, 8), 8)) + IF(B78="Gelatos Proteicos", (ROUND(Q78,4)&lt;'Tabela de ingredientes'!$W$28)+(ROUND(Q78,4)&gt;'Tabela de ingredientes'!$W$29), 0) = 0, "Ok", "Revisar"))</f>
        <v>Revisar</v>
      </c>
    </row>
    <row r="79">
      <c r="A79" s="39" t="str">
        <f>IFERROR(__xludf.DUMMYFUNCTION("""COMPUTED_VALUE"""),"Gelato de Cheesecake de Laranja (Addolcire)")</f>
        <v>Gelato de Cheesecake de Laranja (Addolcire)</v>
      </c>
      <c r="B79" s="39" t="s">
        <v>83</v>
      </c>
      <c r="C79" s="39">
        <v>9.0</v>
      </c>
      <c r="D79" s="39">
        <v>1036.0</v>
      </c>
      <c r="E79" s="39" t="s">
        <v>560</v>
      </c>
      <c r="F79" s="69">
        <v>17.494208494208493</v>
      </c>
      <c r="G79" s="69">
        <v>1.0496525096525096</v>
      </c>
      <c r="H79" s="69">
        <v>36.832954051497104</v>
      </c>
      <c r="I79" s="59">
        <v>0.21842664092664094</v>
      </c>
      <c r="J79" s="59">
        <v>0.09903474903474903</v>
      </c>
      <c r="K79" s="59">
        <v>0.09446911196911198</v>
      </c>
      <c r="L79" s="59">
        <v>0.005598455598455598</v>
      </c>
      <c r="M79" s="59">
        <v>0.4175289575289576</v>
      </c>
      <c r="N79" s="59">
        <v>0.5824710424710424</v>
      </c>
      <c r="O79" s="39">
        <v>211.48725868725867</v>
      </c>
      <c r="P79" s="39">
        <v>280.46332046332043</v>
      </c>
      <c r="Q79" s="59">
        <v>0.04587644787644788</v>
      </c>
      <c r="R79" s="39">
        <v>11.685971685971685</v>
      </c>
      <c r="S79" s="97" t="str">
        <f t="array" ref="S79">IF(A79="","", IF( (ROUND(I79,4) &lt; INDEX('Tabela de ingredientes'!$O$1:$V$30, SWITCH(B79, "Gelatos de Leite", 7, "Sorbets", 10, "Gelatos de Leite com Fruta", 13, "Chocolate base água", 16, "Vegano", 19, "Alcoólicos", 22, "Zero", 25, "Gelatos Proteicos", 28, 7), 1)) + (ROUND(I79,4) &gt; INDEX('Tabela de ingredientes'!$O$1:$V$30, SWITCH(B79, "Gelatos de Leite", 8, "Sorbets", 11, "Gelatos de Leite com Fruta", 14, "Chocolate base água", 17, "Vegano", 20, "Alcoólicos", 23, "Zero", 26, "Gelatos Proteicos", 29, 8), 1)) + (ROUND(J79,4) &lt; INDEX('Tabela de ingredientes'!$O$1:$V$30, SWITCH(B79, "Gelatos de Leite", 7, "Sorbets", 10, "Gelatos de Leite com Fruta", 13, "Chocolate base água", 16, "Vegano", 19, "Alcoólicos", 22, "Zero", 25, "Gelatos Proteicos", 28, 7), 2)) + (ROUND(J79,4) &gt; INDEX('Tabela de ingredientes'!$O$1:$V$30, SWITCH(B79, "Gelatos de Leite", 8, "Sorbets", 11, "Gelatos de Leite com Fruta", 14, "Chocolate base água", 17, "Vegano", 20, "Alcoólicos", 23, "Zero", 26, "Gelatos Proteicos", 29, 8), 2)) + (ROUND(K79,4) &lt; INDEX('Tabela de ingredientes'!$O$1:$V$30, SWITCH(B79, "Gelatos de Leite", 7, "Sorbets", 10, "Gelatos de Leite com Fruta", 13, "Chocolate base água", 16, "Vegano", 19, "Alcoólicos", 22, "Zero", 25, "Gelatos Proteicos", 28, 7), 3)) + (ROUND(K79,4) &gt; INDEX('Tabela de ingredientes'!$O$1:$V$30, SWITCH(B79, "Gelatos de Leite", 8, "Sorbets", 11, "Gelatos de Leite com Fruta", 14, "Chocolate base água", 17, "Vegano", 20, "Alcoólicos", 23, "Zero", 26, "Gelatos Proteicos", 29, 8), 3)) + (ROUND(L79,4) &lt; INDEX('Tabela de ingredientes'!$O$1:$V$30, SWITCH(B79, "Gelatos de Leite", 7, "Sorbets", 10, "Gelatos de Leite com Fruta", 13, "Chocolate base água", 16, "Vegano", 19, "Alcoólicos", 22, "Zero", 25, "Gelatos Proteicos", 28, 7), 4)) + (ROUND(L79,4) &gt; INDEX('Tabela de ingredientes'!$O$1:$V$30, SWITCH(B79, "Gelatos de Leite", 8, "Sorbets", 11, "Gelatos de Leite com Fruta", 14, "Chocolate base água", 17, "Vegano", 20, "Alcoólicos", 23, "Zero", 26, "Gelatos Proteicos", 29, 8), 4)) + (ROUND(M79,4) &lt; INDEX('Tabela de ingredientes'!$O$1:$V$30, SWITCH(B79, "Gelatos de Leite", 7, "Sorbets", 10, "Gelatos de Leite com Fruta", 13, "Chocolate base água", 16, "Vegano", 19, "Alcoólicos", 22, "Zero", 25, "Gelatos Proteicos", 28, 7), 5)) + (ROUND(M79,4) &gt; INDEX('Tabela de ingredientes'!$O$1:$V$30, SWITCH(B79, "Gelatos de Leite", 8, "Sorbets", 11, "Gelatos de Leite com Fruta", 14, "Chocolate base água", 17, "Vegano", 20, "Alcoólicos", 23, "Zero", 26, "Gelatos Proteicos", 29, 8), 5)) + (ROUND(N79,4) &lt; INDEX('Tabela de ingredientes'!$O$1:$V$30, SWITCH(B79, "Gelatos de Leite", 7, "Sorbets", 10, "Gelatos de Leite com Fruta", 13, "Chocolate base água", 16, "Vegano", 19, "Alcoólicos", 22, "Zero", 25, "Gelatos Proteicos", 28, 7), 6)) + (ROUND(N79,4) &gt; INDEX('Tabela de ingredientes'!$O$1:$V$30, SWITCH(B79, "Gelatos de Leite", 8, "Sorbets", 11, "Gelatos de Leite com Fruta", 14, "Chocolate base água", 17, "Vegano", 20, "Alcoólicos", 23, "Zero", 26, "Gelatos Proteicos", 29, 8), 6)) + (ROUND(O79,4) &lt; INDEX('Tabela de ingredientes'!$O$1:$V$30, SWITCH(B79, "Gelatos de Leite", 7, "Sorbets", 10, "Gelatos de Leite com Fruta", 13, "Chocolate base água", 16, "Vegano", 19, "Alcoólicos", 22, "Zero", 25, "Gelatos Proteicos", 28, 7), 7)) + (ROUND(O79,4) &gt; INDEX('Tabela de ingredientes'!$O$1:$V$30, SWITCH(B79, "Gelatos de Leite", 8, "Sorbets", 11, "Gelatos de Leite com Fruta", 14, "Chocolate base água", 17, "Vegano", 20, "Alcoólicos", 23, "Zero", 26, "Gelatos Proteicos", 29, 8), 7)) + (ROUND(P79,4) &lt; INDEX('Tabela de ingredientes'!$O$1:$V$30, SWITCH(B79, "Gelatos de Leite", 7, "Sorbets", 10, "Gelatos de Leite com Fruta", 13, "Chocolate base água", 16, "Vegano", 19, "Alcoólicos", 22, "Zero", 25, "Gelatos Proteicos", 28, 7), 8)) + (ROUND(P79,4) &gt; INDEX('Tabela de ingredientes'!$O$1:$V$30, SWITCH(B79, "Gelatos de Leite", 8, "Sorbets", 11, "Gelatos de Leite com Fruta", 14, "Chocolate base água", 17, "Vegano", 20, "Alcoólicos", 23, "Zero", 26, "Gelatos Proteicos", 29, 8), 8)) + IF(B79="Gelatos Proteicos", (ROUND(Q79,4)&lt;'Tabela de ingredientes'!$W$28)+(ROUND(Q79,4)&gt;'Tabela de ingredientes'!$W$29), 0) = 0, "Ok", "Revisar"))</f>
        <v>Revisar</v>
      </c>
    </row>
    <row r="80">
      <c r="A80" s="39" t="str">
        <f>IFERROR(__xludf.DUMMYFUNCTION("""COMPUTED_VALUE"""),"Gelato de Chocolate ao Leite com Morango (Addolcire)")</f>
        <v>Gelato de Chocolate ao Leite com Morango (Addolcire)</v>
      </c>
      <c r="B80" s="39" t="s">
        <v>83</v>
      </c>
      <c r="C80" s="39">
        <v>11.0</v>
      </c>
      <c r="D80" s="39">
        <v>1000.0</v>
      </c>
      <c r="E80" s="39" t="s">
        <v>171</v>
      </c>
      <c r="F80" s="69">
        <v>18.341</v>
      </c>
      <c r="G80" s="69">
        <v>1.10046</v>
      </c>
      <c r="H80" s="69">
        <v>37.533940397351</v>
      </c>
      <c r="I80" s="59">
        <v>0.19826</v>
      </c>
      <c r="J80" s="59">
        <v>0.07875</v>
      </c>
      <c r="K80" s="59">
        <v>0.04542</v>
      </c>
      <c r="L80" s="59">
        <v>0.04</v>
      </c>
      <c r="M80" s="59">
        <v>0.36243</v>
      </c>
      <c r="N80" s="59">
        <v>0.63757</v>
      </c>
      <c r="O80" s="39">
        <v>207.2038</v>
      </c>
      <c r="P80" s="39">
        <v>249.795</v>
      </c>
      <c r="Q80" s="59">
        <v>0.025025000000000002</v>
      </c>
      <c r="R80" s="39">
        <v>10.408125</v>
      </c>
      <c r="S80" s="97" t="str">
        <f t="array" ref="S80">IF(A80="","", IF( (ROUND(I80,4) &lt; INDEX('Tabela de ingredientes'!$O$1:$V$30, SWITCH(B80, "Gelatos de Leite", 7, "Sorbets", 10, "Gelatos de Leite com Fruta", 13, "Chocolate base água", 16, "Vegano", 19, "Alcoólicos", 22, "Zero", 25, "Gelatos Proteicos", 28, 7), 1)) + (ROUND(I80,4) &gt; INDEX('Tabela de ingredientes'!$O$1:$V$30, SWITCH(B80, "Gelatos de Leite", 8, "Sorbets", 11, "Gelatos de Leite com Fruta", 14, "Chocolate base água", 17, "Vegano", 20, "Alcoólicos", 23, "Zero", 26, "Gelatos Proteicos", 29, 8), 1)) + (ROUND(J80,4) &lt; INDEX('Tabela de ingredientes'!$O$1:$V$30, SWITCH(B80, "Gelatos de Leite", 7, "Sorbets", 10, "Gelatos de Leite com Fruta", 13, "Chocolate base água", 16, "Vegano", 19, "Alcoólicos", 22, "Zero", 25, "Gelatos Proteicos", 28, 7), 2)) + (ROUND(J80,4) &gt; INDEX('Tabela de ingredientes'!$O$1:$V$30, SWITCH(B80, "Gelatos de Leite", 8, "Sorbets", 11, "Gelatos de Leite com Fruta", 14, "Chocolate base água", 17, "Vegano", 20, "Alcoólicos", 23, "Zero", 26, "Gelatos Proteicos", 29, 8), 2)) + (ROUND(K80,4) &lt; INDEX('Tabela de ingredientes'!$O$1:$V$30, SWITCH(B80, "Gelatos de Leite", 7, "Sorbets", 10, "Gelatos de Leite com Fruta", 13, "Chocolate base água", 16, "Vegano", 19, "Alcoólicos", 22, "Zero", 25, "Gelatos Proteicos", 28, 7), 3)) + (ROUND(K80,4) &gt; INDEX('Tabela de ingredientes'!$O$1:$V$30, SWITCH(B80, "Gelatos de Leite", 8, "Sorbets", 11, "Gelatos de Leite com Fruta", 14, "Chocolate base água", 17, "Vegano", 20, "Alcoólicos", 23, "Zero", 26, "Gelatos Proteicos", 29, 8), 3)) + (ROUND(L80,4) &lt; INDEX('Tabela de ingredientes'!$O$1:$V$30, SWITCH(B80, "Gelatos de Leite", 7, "Sorbets", 10, "Gelatos de Leite com Fruta", 13, "Chocolate base água", 16, "Vegano", 19, "Alcoólicos", 22, "Zero", 25, "Gelatos Proteicos", 28, 7), 4)) + (ROUND(L80,4) &gt; INDEX('Tabela de ingredientes'!$O$1:$V$30, SWITCH(B80, "Gelatos de Leite", 8, "Sorbets", 11, "Gelatos de Leite com Fruta", 14, "Chocolate base água", 17, "Vegano", 20, "Alcoólicos", 23, "Zero", 26, "Gelatos Proteicos", 29, 8), 4)) + (ROUND(M80,4) &lt; INDEX('Tabela de ingredientes'!$O$1:$V$30, SWITCH(B80, "Gelatos de Leite", 7, "Sorbets", 10, "Gelatos de Leite com Fruta", 13, "Chocolate base água", 16, "Vegano", 19, "Alcoólicos", 22, "Zero", 25, "Gelatos Proteicos", 28, 7), 5)) + (ROUND(M80,4) &gt; INDEX('Tabela de ingredientes'!$O$1:$V$30, SWITCH(B80, "Gelatos de Leite", 8, "Sorbets", 11, "Gelatos de Leite com Fruta", 14, "Chocolate base água", 17, "Vegano", 20, "Alcoólicos", 23, "Zero", 26, "Gelatos Proteicos", 29, 8), 5)) + (ROUND(N80,4) &lt; INDEX('Tabela de ingredientes'!$O$1:$V$30, SWITCH(B80, "Gelatos de Leite", 7, "Sorbets", 10, "Gelatos de Leite com Fruta", 13, "Chocolate base água", 16, "Vegano", 19, "Alcoólicos", 22, "Zero", 25, "Gelatos Proteicos", 28, 7), 6)) + (ROUND(N80,4) &gt; INDEX('Tabela de ingredientes'!$O$1:$V$30, SWITCH(B80, "Gelatos de Leite", 8, "Sorbets", 11, "Gelatos de Leite com Fruta", 14, "Chocolate base água", 17, "Vegano", 20, "Alcoólicos", 23, "Zero", 26, "Gelatos Proteicos", 29, 8), 6)) + (ROUND(O80,4) &lt; INDEX('Tabela de ingredientes'!$O$1:$V$30, SWITCH(B80, "Gelatos de Leite", 7, "Sorbets", 10, "Gelatos de Leite com Fruta", 13, "Chocolate base água", 16, "Vegano", 19, "Alcoólicos", 22, "Zero", 25, "Gelatos Proteicos", 28, 7), 7)) + (ROUND(O80,4) &gt; INDEX('Tabela de ingredientes'!$O$1:$V$30, SWITCH(B80, "Gelatos de Leite", 8, "Sorbets", 11, "Gelatos de Leite com Fruta", 14, "Chocolate base água", 17, "Vegano", 20, "Alcoólicos", 23, "Zero", 26, "Gelatos Proteicos", 29, 8), 7)) + (ROUND(P80,4) &lt; INDEX('Tabela de ingredientes'!$O$1:$V$30, SWITCH(B80, "Gelatos de Leite", 7, "Sorbets", 10, "Gelatos de Leite com Fruta", 13, "Chocolate base água", 16, "Vegano", 19, "Alcoólicos", 22, "Zero", 25, "Gelatos Proteicos", 28, 7), 8)) + (ROUND(P80,4) &gt; INDEX('Tabela de ingredientes'!$O$1:$V$30, SWITCH(B80, "Gelatos de Leite", 8, "Sorbets", 11, "Gelatos de Leite com Fruta", 14, "Chocolate base água", 17, "Vegano", 20, "Alcoólicos", 23, "Zero", 26, "Gelatos Proteicos", 29, 8), 8)) + IF(B80="Gelatos Proteicos", (ROUND(Q80,4)&lt;'Tabela de ingredientes'!$W$28)+(ROUND(Q80,4)&gt;'Tabela de ingredientes'!$W$29), 0) = 0, "Ok", "Revisar"))</f>
        <v>Revisar</v>
      </c>
    </row>
    <row r="81">
      <c r="A81" s="39" t="str">
        <f>IFERROR(__xludf.DUMMYFUNCTION("""COMPUTED_VALUE"""),"Gelato de Leite com Framboesa (Addolcire)")</f>
        <v>Gelato de Leite com Framboesa (Addolcire)</v>
      </c>
      <c r="B81" s="39" t="s">
        <v>83</v>
      </c>
      <c r="C81" s="39">
        <v>8.0</v>
      </c>
      <c r="D81" s="39">
        <v>1054.0</v>
      </c>
      <c r="E81" s="39" t="s">
        <v>570</v>
      </c>
      <c r="F81" s="69">
        <v>10.920683111954459</v>
      </c>
      <c r="G81" s="69">
        <v>0.6552409867172675</v>
      </c>
      <c r="H81" s="69">
        <v>31.391293966849727</v>
      </c>
      <c r="I81" s="59">
        <v>0.17934535104364327</v>
      </c>
      <c r="J81" s="59">
        <v>0.0919259962049336</v>
      </c>
      <c r="K81" s="59">
        <v>0.09480075901328273</v>
      </c>
      <c r="L81" s="59">
        <v>0.007590132827324478</v>
      </c>
      <c r="M81" s="59">
        <v>0.37366223908918406</v>
      </c>
      <c r="N81" s="59">
        <v>0.6263377609108159</v>
      </c>
      <c r="O81" s="39">
        <v>175.00872865275142</v>
      </c>
      <c r="P81" s="39">
        <v>237.6755218216319</v>
      </c>
      <c r="Q81" s="59">
        <v>0.036859582542694495</v>
      </c>
      <c r="R81" s="39">
        <v>9.903146742567996</v>
      </c>
      <c r="S81" s="97" t="str">
        <f t="array" ref="S81">IF(A81="","", IF( (ROUND(I81,4) &lt; INDEX('Tabela de ingredientes'!$O$1:$V$30, SWITCH(B81, "Gelatos de Leite", 7, "Sorbets", 10, "Gelatos de Leite com Fruta", 13, "Chocolate base água", 16, "Vegano", 19, "Alcoólicos", 22, "Zero", 25, "Gelatos Proteicos", 28, 7), 1)) + (ROUND(I81,4) &gt; INDEX('Tabela de ingredientes'!$O$1:$V$30, SWITCH(B81, "Gelatos de Leite", 8, "Sorbets", 11, "Gelatos de Leite com Fruta", 14, "Chocolate base água", 17, "Vegano", 20, "Alcoólicos", 23, "Zero", 26, "Gelatos Proteicos", 29, 8), 1)) + (ROUND(J81,4) &lt; INDEX('Tabela de ingredientes'!$O$1:$V$30, SWITCH(B81, "Gelatos de Leite", 7, "Sorbets", 10, "Gelatos de Leite com Fruta", 13, "Chocolate base água", 16, "Vegano", 19, "Alcoólicos", 22, "Zero", 25, "Gelatos Proteicos", 28, 7), 2)) + (ROUND(J81,4) &gt; INDEX('Tabela de ingredientes'!$O$1:$V$30, SWITCH(B81, "Gelatos de Leite", 8, "Sorbets", 11, "Gelatos de Leite com Fruta", 14, "Chocolate base água", 17, "Vegano", 20, "Alcoólicos", 23, "Zero", 26, "Gelatos Proteicos", 29, 8), 2)) + (ROUND(K81,4) &lt; INDEX('Tabela de ingredientes'!$O$1:$V$30, SWITCH(B81, "Gelatos de Leite", 7, "Sorbets", 10, "Gelatos de Leite com Fruta", 13, "Chocolate base água", 16, "Vegano", 19, "Alcoólicos", 22, "Zero", 25, "Gelatos Proteicos", 28, 7), 3)) + (ROUND(K81,4) &gt; INDEX('Tabela de ingredientes'!$O$1:$V$30, SWITCH(B81, "Gelatos de Leite", 8, "Sorbets", 11, "Gelatos de Leite com Fruta", 14, "Chocolate base água", 17, "Vegano", 20, "Alcoólicos", 23, "Zero", 26, "Gelatos Proteicos", 29, 8), 3)) + (ROUND(L81,4) &lt; INDEX('Tabela de ingredientes'!$O$1:$V$30, SWITCH(B81, "Gelatos de Leite", 7, "Sorbets", 10, "Gelatos de Leite com Fruta", 13, "Chocolate base água", 16, "Vegano", 19, "Alcoólicos", 22, "Zero", 25, "Gelatos Proteicos", 28, 7), 4)) + (ROUND(L81,4) &gt; INDEX('Tabela de ingredientes'!$O$1:$V$30, SWITCH(B81, "Gelatos de Leite", 8, "Sorbets", 11, "Gelatos de Leite com Fruta", 14, "Chocolate base água", 17, "Vegano", 20, "Alcoólicos", 23, "Zero", 26, "Gelatos Proteicos", 29, 8), 4)) + (ROUND(M81,4) &lt; INDEX('Tabela de ingredientes'!$O$1:$V$30, SWITCH(B81, "Gelatos de Leite", 7, "Sorbets", 10, "Gelatos de Leite com Fruta", 13, "Chocolate base água", 16, "Vegano", 19, "Alcoólicos", 22, "Zero", 25, "Gelatos Proteicos", 28, 7), 5)) + (ROUND(M81,4) &gt; INDEX('Tabela de ingredientes'!$O$1:$V$30, SWITCH(B81, "Gelatos de Leite", 8, "Sorbets", 11, "Gelatos de Leite com Fruta", 14, "Chocolate base água", 17, "Vegano", 20, "Alcoólicos", 23, "Zero", 26, "Gelatos Proteicos", 29, 8), 5)) + (ROUND(N81,4) &lt; INDEX('Tabela de ingredientes'!$O$1:$V$30, SWITCH(B81, "Gelatos de Leite", 7, "Sorbets", 10, "Gelatos de Leite com Fruta", 13, "Chocolate base água", 16, "Vegano", 19, "Alcoólicos", 22, "Zero", 25, "Gelatos Proteicos", 28, 7), 6)) + (ROUND(N81,4) &gt; INDEX('Tabela de ingredientes'!$O$1:$V$30, SWITCH(B81, "Gelatos de Leite", 8, "Sorbets", 11, "Gelatos de Leite com Fruta", 14, "Chocolate base água", 17, "Vegano", 20, "Alcoólicos", 23, "Zero", 26, "Gelatos Proteicos", 29, 8), 6)) + (ROUND(O81,4) &lt; INDEX('Tabela de ingredientes'!$O$1:$V$30, SWITCH(B81, "Gelatos de Leite", 7, "Sorbets", 10, "Gelatos de Leite com Fruta", 13, "Chocolate base água", 16, "Vegano", 19, "Alcoólicos", 22, "Zero", 25, "Gelatos Proteicos", 28, 7), 7)) + (ROUND(O81,4) &gt; INDEX('Tabela de ingredientes'!$O$1:$V$30, SWITCH(B81, "Gelatos de Leite", 8, "Sorbets", 11, "Gelatos de Leite com Fruta", 14, "Chocolate base água", 17, "Vegano", 20, "Alcoólicos", 23, "Zero", 26, "Gelatos Proteicos", 29, 8), 7)) + (ROUND(P81,4) &lt; INDEX('Tabela de ingredientes'!$O$1:$V$30, SWITCH(B81, "Gelatos de Leite", 7, "Sorbets", 10, "Gelatos de Leite com Fruta", 13, "Chocolate base água", 16, "Vegano", 19, "Alcoólicos", 22, "Zero", 25, "Gelatos Proteicos", 28, 7), 8)) + (ROUND(P81,4) &gt; INDEX('Tabela de ingredientes'!$O$1:$V$30, SWITCH(B81, "Gelatos de Leite", 8, "Sorbets", 11, "Gelatos de Leite com Fruta", 14, "Chocolate base água", 17, "Vegano", 20, "Alcoólicos", 23, "Zero", 26, "Gelatos Proteicos", 29, 8), 8)) + IF(B81="Gelatos Proteicos", (ROUND(Q81,4)&lt;'Tabela de ingredientes'!$W$28)+(ROUND(Q81,4)&gt;'Tabela de ingredientes'!$W$29), 0) = 0, "Ok", "Revisar"))</f>
        <v>Revisar</v>
      </c>
    </row>
    <row r="82">
      <c r="A82" s="39" t="str">
        <f>IFERROR(__xludf.DUMMYFUNCTION("""COMPUTED_VALUE"""),"Gelato de Mousse de Limão (Addolcire)")</f>
        <v>Gelato de Mousse de Limão (Addolcire)</v>
      </c>
      <c r="B82" s="39" t="s">
        <v>83</v>
      </c>
      <c r="C82" s="39">
        <v>9.0</v>
      </c>
      <c r="D82" s="39">
        <v>1008.0</v>
      </c>
      <c r="E82" s="39" t="s">
        <v>575</v>
      </c>
      <c r="F82" s="69">
        <v>14.625198412698413</v>
      </c>
      <c r="G82" s="69">
        <v>0.8775119047619048</v>
      </c>
      <c r="H82" s="69">
        <v>34.45794570587618</v>
      </c>
      <c r="I82" s="59">
        <v>0.18237103174603173</v>
      </c>
      <c r="J82" s="59">
        <v>0.08775297619047619</v>
      </c>
      <c r="K82" s="59">
        <v>0.08398214285714287</v>
      </c>
      <c r="L82" s="59">
        <v>0.014162698412698412</v>
      </c>
      <c r="M82" s="59">
        <v>0.3682688492063492</v>
      </c>
      <c r="N82" s="59">
        <v>0.6317311507936507</v>
      </c>
      <c r="O82" s="39">
        <v>157.81904761904767</v>
      </c>
      <c r="P82" s="39">
        <v>268.99801587301596</v>
      </c>
      <c r="Q82" s="59">
        <v>0.034727182539682544</v>
      </c>
      <c r="R82" s="39">
        <v>11.208250661375665</v>
      </c>
      <c r="S82" s="97" t="str">
        <f t="array" ref="S82">IF(A82="","", IF( (ROUND(I82,4) &lt; INDEX('Tabela de ingredientes'!$O$1:$V$30, SWITCH(B82, "Gelatos de Leite", 7, "Sorbets", 10, "Gelatos de Leite com Fruta", 13, "Chocolate base água", 16, "Vegano", 19, "Alcoólicos", 22, "Zero", 25, "Gelatos Proteicos", 28, 7), 1)) + (ROUND(I82,4) &gt; INDEX('Tabela de ingredientes'!$O$1:$V$30, SWITCH(B82, "Gelatos de Leite", 8, "Sorbets", 11, "Gelatos de Leite com Fruta", 14, "Chocolate base água", 17, "Vegano", 20, "Alcoólicos", 23, "Zero", 26, "Gelatos Proteicos", 29, 8), 1)) + (ROUND(J82,4) &lt; INDEX('Tabela de ingredientes'!$O$1:$V$30, SWITCH(B82, "Gelatos de Leite", 7, "Sorbets", 10, "Gelatos de Leite com Fruta", 13, "Chocolate base água", 16, "Vegano", 19, "Alcoólicos", 22, "Zero", 25, "Gelatos Proteicos", 28, 7), 2)) + (ROUND(J82,4) &gt; INDEX('Tabela de ingredientes'!$O$1:$V$30, SWITCH(B82, "Gelatos de Leite", 8, "Sorbets", 11, "Gelatos de Leite com Fruta", 14, "Chocolate base água", 17, "Vegano", 20, "Alcoólicos", 23, "Zero", 26, "Gelatos Proteicos", 29, 8), 2)) + (ROUND(K82,4) &lt; INDEX('Tabela de ingredientes'!$O$1:$V$30, SWITCH(B82, "Gelatos de Leite", 7, "Sorbets", 10, "Gelatos de Leite com Fruta", 13, "Chocolate base água", 16, "Vegano", 19, "Alcoólicos", 22, "Zero", 25, "Gelatos Proteicos", 28, 7), 3)) + (ROUND(K82,4) &gt; INDEX('Tabela de ingredientes'!$O$1:$V$30, SWITCH(B82, "Gelatos de Leite", 8, "Sorbets", 11, "Gelatos de Leite com Fruta", 14, "Chocolate base água", 17, "Vegano", 20, "Alcoólicos", 23, "Zero", 26, "Gelatos Proteicos", 29, 8), 3)) + (ROUND(L82,4) &lt; INDEX('Tabela de ingredientes'!$O$1:$V$30, SWITCH(B82, "Gelatos de Leite", 7, "Sorbets", 10, "Gelatos de Leite com Fruta", 13, "Chocolate base água", 16, "Vegano", 19, "Alcoólicos", 22, "Zero", 25, "Gelatos Proteicos", 28, 7), 4)) + (ROUND(L82,4) &gt; INDEX('Tabela de ingredientes'!$O$1:$V$30, SWITCH(B82, "Gelatos de Leite", 8, "Sorbets", 11, "Gelatos de Leite com Fruta", 14, "Chocolate base água", 17, "Vegano", 20, "Alcoólicos", 23, "Zero", 26, "Gelatos Proteicos", 29, 8), 4)) + (ROUND(M82,4) &lt; INDEX('Tabela de ingredientes'!$O$1:$V$30, SWITCH(B82, "Gelatos de Leite", 7, "Sorbets", 10, "Gelatos de Leite com Fruta", 13, "Chocolate base água", 16, "Vegano", 19, "Alcoólicos", 22, "Zero", 25, "Gelatos Proteicos", 28, 7), 5)) + (ROUND(M82,4) &gt; INDEX('Tabela de ingredientes'!$O$1:$V$30, SWITCH(B82, "Gelatos de Leite", 8, "Sorbets", 11, "Gelatos de Leite com Fruta", 14, "Chocolate base água", 17, "Vegano", 20, "Alcoólicos", 23, "Zero", 26, "Gelatos Proteicos", 29, 8), 5)) + (ROUND(N82,4) &lt; INDEX('Tabela de ingredientes'!$O$1:$V$30, SWITCH(B82, "Gelatos de Leite", 7, "Sorbets", 10, "Gelatos de Leite com Fruta", 13, "Chocolate base água", 16, "Vegano", 19, "Alcoólicos", 22, "Zero", 25, "Gelatos Proteicos", 28, 7), 6)) + (ROUND(N82,4) &gt; INDEX('Tabela de ingredientes'!$O$1:$V$30, SWITCH(B82, "Gelatos de Leite", 8, "Sorbets", 11, "Gelatos de Leite com Fruta", 14, "Chocolate base água", 17, "Vegano", 20, "Alcoólicos", 23, "Zero", 26, "Gelatos Proteicos", 29, 8), 6)) + (ROUND(O82,4) &lt; INDEX('Tabela de ingredientes'!$O$1:$V$30, SWITCH(B82, "Gelatos de Leite", 7, "Sorbets", 10, "Gelatos de Leite com Fruta", 13, "Chocolate base água", 16, "Vegano", 19, "Alcoólicos", 22, "Zero", 25, "Gelatos Proteicos", 28, 7), 7)) + (ROUND(O82,4) &gt; INDEX('Tabela de ingredientes'!$O$1:$V$30, SWITCH(B82, "Gelatos de Leite", 8, "Sorbets", 11, "Gelatos de Leite com Fruta", 14, "Chocolate base água", 17, "Vegano", 20, "Alcoólicos", 23, "Zero", 26, "Gelatos Proteicos", 29, 8), 7)) + (ROUND(P82,4) &lt; INDEX('Tabela de ingredientes'!$O$1:$V$30, SWITCH(B82, "Gelatos de Leite", 7, "Sorbets", 10, "Gelatos de Leite com Fruta", 13, "Chocolate base água", 16, "Vegano", 19, "Alcoólicos", 22, "Zero", 25, "Gelatos Proteicos", 28, 7), 8)) + (ROUND(P82,4) &gt; INDEX('Tabela de ingredientes'!$O$1:$V$30, SWITCH(B82, "Gelatos de Leite", 8, "Sorbets", 11, "Gelatos de Leite com Fruta", 14, "Chocolate base água", 17, "Vegano", 20, "Alcoólicos", 23, "Zero", 26, "Gelatos Proteicos", 29, 8), 8)) + IF(B82="Gelatos Proteicos", (ROUND(Q82,4)&lt;'Tabela de ingredientes'!$W$28)+(ROUND(Q82,4)&gt;'Tabela de ingredientes'!$W$29), 0) = 0, "Ok", "Revisar"))</f>
        <v>Revisar</v>
      </c>
    </row>
    <row r="83">
      <c r="A83" s="39" t="str">
        <f>IFERROR(__xludf.DUMMYFUNCTION("""COMPUTED_VALUE"""),"Gelato de Mousse de Maracujá (Addolcire)")</f>
        <v>Gelato de Mousse de Maracujá (Addolcire)</v>
      </c>
      <c r="B83" s="39" t="s">
        <v>83</v>
      </c>
      <c r="C83" s="39">
        <v>9.0</v>
      </c>
      <c r="D83" s="39">
        <v>1108.0</v>
      </c>
      <c r="E83" s="39" t="s">
        <v>484</v>
      </c>
      <c r="F83" s="69">
        <v>13.64774368231047</v>
      </c>
      <c r="G83" s="69">
        <v>0.8188646209386281</v>
      </c>
      <c r="H83" s="69">
        <v>33.64879443899874</v>
      </c>
      <c r="I83" s="59">
        <v>0.21322202166064982</v>
      </c>
      <c r="J83" s="59">
        <v>0.0811326714801444</v>
      </c>
      <c r="K83" s="59">
        <v>0.0793592057761733</v>
      </c>
      <c r="L83" s="59">
        <v>0.0157942238267148</v>
      </c>
      <c r="M83" s="59">
        <v>0.3895081227436823</v>
      </c>
      <c r="N83" s="59">
        <v>0.6104918772563177</v>
      </c>
      <c r="O83" s="39">
        <v>184.27039711191335</v>
      </c>
      <c r="P83" s="39">
        <v>336.94043321299637</v>
      </c>
      <c r="Q83" s="59">
        <v>0.03343411552346571</v>
      </c>
      <c r="R83" s="39">
        <v>14.039184717208181</v>
      </c>
      <c r="S83" s="97" t="str">
        <f t="array" ref="S83">IF(A83="","", IF( (ROUND(I83,4) &lt; INDEX('Tabela de ingredientes'!$O$1:$V$30, SWITCH(B83, "Gelatos de Leite", 7, "Sorbets", 10, "Gelatos de Leite com Fruta", 13, "Chocolate base água", 16, "Vegano", 19, "Alcoólicos", 22, "Zero", 25, "Gelatos Proteicos", 28, 7), 1)) + (ROUND(I83,4) &gt; INDEX('Tabela de ingredientes'!$O$1:$V$30, SWITCH(B83, "Gelatos de Leite", 8, "Sorbets", 11, "Gelatos de Leite com Fruta", 14, "Chocolate base água", 17, "Vegano", 20, "Alcoólicos", 23, "Zero", 26, "Gelatos Proteicos", 29, 8), 1)) + (ROUND(J83,4) &lt; INDEX('Tabela de ingredientes'!$O$1:$V$30, SWITCH(B83, "Gelatos de Leite", 7, "Sorbets", 10, "Gelatos de Leite com Fruta", 13, "Chocolate base água", 16, "Vegano", 19, "Alcoólicos", 22, "Zero", 25, "Gelatos Proteicos", 28, 7), 2)) + (ROUND(J83,4) &gt; INDEX('Tabela de ingredientes'!$O$1:$V$30, SWITCH(B83, "Gelatos de Leite", 8, "Sorbets", 11, "Gelatos de Leite com Fruta", 14, "Chocolate base água", 17, "Vegano", 20, "Alcoólicos", 23, "Zero", 26, "Gelatos Proteicos", 29, 8), 2)) + (ROUND(K83,4) &lt; INDEX('Tabela de ingredientes'!$O$1:$V$30, SWITCH(B83, "Gelatos de Leite", 7, "Sorbets", 10, "Gelatos de Leite com Fruta", 13, "Chocolate base água", 16, "Vegano", 19, "Alcoólicos", 22, "Zero", 25, "Gelatos Proteicos", 28, 7), 3)) + (ROUND(K83,4) &gt; INDEX('Tabela de ingredientes'!$O$1:$V$30, SWITCH(B83, "Gelatos de Leite", 8, "Sorbets", 11, "Gelatos de Leite com Fruta", 14, "Chocolate base água", 17, "Vegano", 20, "Alcoólicos", 23, "Zero", 26, "Gelatos Proteicos", 29, 8), 3)) + (ROUND(L83,4) &lt; INDEX('Tabela de ingredientes'!$O$1:$V$30, SWITCH(B83, "Gelatos de Leite", 7, "Sorbets", 10, "Gelatos de Leite com Fruta", 13, "Chocolate base água", 16, "Vegano", 19, "Alcoólicos", 22, "Zero", 25, "Gelatos Proteicos", 28, 7), 4)) + (ROUND(L83,4) &gt; INDEX('Tabela de ingredientes'!$O$1:$V$30, SWITCH(B83, "Gelatos de Leite", 8, "Sorbets", 11, "Gelatos de Leite com Fruta", 14, "Chocolate base água", 17, "Vegano", 20, "Alcoólicos", 23, "Zero", 26, "Gelatos Proteicos", 29, 8), 4)) + (ROUND(M83,4) &lt; INDEX('Tabela de ingredientes'!$O$1:$V$30, SWITCH(B83, "Gelatos de Leite", 7, "Sorbets", 10, "Gelatos de Leite com Fruta", 13, "Chocolate base água", 16, "Vegano", 19, "Alcoólicos", 22, "Zero", 25, "Gelatos Proteicos", 28, 7), 5)) + (ROUND(M83,4) &gt; INDEX('Tabela de ingredientes'!$O$1:$V$30, SWITCH(B83, "Gelatos de Leite", 8, "Sorbets", 11, "Gelatos de Leite com Fruta", 14, "Chocolate base água", 17, "Vegano", 20, "Alcoólicos", 23, "Zero", 26, "Gelatos Proteicos", 29, 8), 5)) + (ROUND(N83,4) &lt; INDEX('Tabela de ingredientes'!$O$1:$V$30, SWITCH(B83, "Gelatos de Leite", 7, "Sorbets", 10, "Gelatos de Leite com Fruta", 13, "Chocolate base água", 16, "Vegano", 19, "Alcoólicos", 22, "Zero", 25, "Gelatos Proteicos", 28, 7), 6)) + (ROUND(N83,4) &gt; INDEX('Tabela de ingredientes'!$O$1:$V$30, SWITCH(B83, "Gelatos de Leite", 8, "Sorbets", 11, "Gelatos de Leite com Fruta", 14, "Chocolate base água", 17, "Vegano", 20, "Alcoólicos", 23, "Zero", 26, "Gelatos Proteicos", 29, 8), 6)) + (ROUND(O83,4) &lt; INDEX('Tabela de ingredientes'!$O$1:$V$30, SWITCH(B83, "Gelatos de Leite", 7, "Sorbets", 10, "Gelatos de Leite com Fruta", 13, "Chocolate base água", 16, "Vegano", 19, "Alcoólicos", 22, "Zero", 25, "Gelatos Proteicos", 28, 7), 7)) + (ROUND(O83,4) &gt; INDEX('Tabela de ingredientes'!$O$1:$V$30, SWITCH(B83, "Gelatos de Leite", 8, "Sorbets", 11, "Gelatos de Leite com Fruta", 14, "Chocolate base água", 17, "Vegano", 20, "Alcoólicos", 23, "Zero", 26, "Gelatos Proteicos", 29, 8), 7)) + (ROUND(P83,4) &lt; INDEX('Tabela de ingredientes'!$O$1:$V$30, SWITCH(B83, "Gelatos de Leite", 7, "Sorbets", 10, "Gelatos de Leite com Fruta", 13, "Chocolate base água", 16, "Vegano", 19, "Alcoólicos", 22, "Zero", 25, "Gelatos Proteicos", 28, 7), 8)) + (ROUND(P83,4) &gt; INDEX('Tabela de ingredientes'!$O$1:$V$30, SWITCH(B83, "Gelatos de Leite", 8, "Sorbets", 11, "Gelatos de Leite com Fruta", 14, "Chocolate base água", 17, "Vegano", 20, "Alcoólicos", 23, "Zero", 26, "Gelatos Proteicos", 29, 8), 8)) + IF(B83="Gelatos Proteicos", (ROUND(Q83,4)&lt;'Tabela de ingredientes'!$W$28)+(ROUND(Q83,4)&gt;'Tabela de ingredientes'!$W$29), 0) = 0, "Ok", "Revisar"))</f>
        <v>Revisar</v>
      </c>
    </row>
    <row r="84">
      <c r="A84" s="39" t="str">
        <f>IFERROR(__xludf.DUMMYFUNCTION("""COMPUTED_VALUE"""),"Sorbet de Cupuaçu (Direto ao Ponto)")</f>
        <v>Sorbet de Cupuaçu (Direto ao Ponto)</v>
      </c>
      <c r="B84" s="39" t="s">
        <v>86</v>
      </c>
      <c r="C84" s="39">
        <v>8.0</v>
      </c>
      <c r="D84" s="39">
        <v>1005.0</v>
      </c>
      <c r="E84" s="39" t="s">
        <v>179</v>
      </c>
      <c r="F84" s="69">
        <v>23.22885572139304</v>
      </c>
      <c r="G84" s="69">
        <v>1.3937313432835823</v>
      </c>
      <c r="H84" s="69">
        <v>41.580178577312125</v>
      </c>
      <c r="I84" s="59">
        <v>0.26119402985074625</v>
      </c>
      <c r="J84" s="59">
        <v>0.005472636815920398</v>
      </c>
      <c r="K84" s="59">
        <v>0.0</v>
      </c>
      <c r="L84" s="59">
        <v>0.04223880597014926</v>
      </c>
      <c r="M84" s="59">
        <v>0.3089054726368159</v>
      </c>
      <c r="N84" s="59">
        <v>0.6910945273631841</v>
      </c>
      <c r="O84" s="39">
        <v>228.65671641791042</v>
      </c>
      <c r="P84" s="39">
        <v>295.1641791044776</v>
      </c>
      <c r="Q84" s="59">
        <v>0.005472636815920398</v>
      </c>
      <c r="R84" s="39">
        <v>11.806567164179105</v>
      </c>
      <c r="S84" s="97" t="str">
        <f t="array" ref="S84">IF(A84="","", IF( (ROUND(I84,4) &lt; INDEX('Tabela de ingredientes'!$O$1:$V$30, SWITCH(B84, "Gelatos de Leite", 7, "Sorbets", 10, "Gelatos de Leite com Fruta", 13, "Chocolate base água", 16, "Vegano", 19, "Alcoólicos", 22, "Zero", 25, "Gelatos Proteicos", 28, 7), 1)) + (ROUND(I84,4) &gt; INDEX('Tabela de ingredientes'!$O$1:$V$30, SWITCH(B84, "Gelatos de Leite", 8, "Sorbets", 11, "Gelatos de Leite com Fruta", 14, "Chocolate base água", 17, "Vegano", 20, "Alcoólicos", 23, "Zero", 26, "Gelatos Proteicos", 29, 8), 1)) + (ROUND(J84,4) &lt; INDEX('Tabela de ingredientes'!$O$1:$V$30, SWITCH(B84, "Gelatos de Leite", 7, "Sorbets", 10, "Gelatos de Leite com Fruta", 13, "Chocolate base água", 16, "Vegano", 19, "Alcoólicos", 22, "Zero", 25, "Gelatos Proteicos", 28, 7), 2)) + (ROUND(J84,4) &gt; INDEX('Tabela de ingredientes'!$O$1:$V$30, SWITCH(B84, "Gelatos de Leite", 8, "Sorbets", 11, "Gelatos de Leite com Fruta", 14, "Chocolate base água", 17, "Vegano", 20, "Alcoólicos", 23, "Zero", 26, "Gelatos Proteicos", 29, 8), 2)) + (ROUND(K84,4) &lt; INDEX('Tabela de ingredientes'!$O$1:$V$30, SWITCH(B84, "Gelatos de Leite", 7, "Sorbets", 10, "Gelatos de Leite com Fruta", 13, "Chocolate base água", 16, "Vegano", 19, "Alcoólicos", 22, "Zero", 25, "Gelatos Proteicos", 28, 7), 3)) + (ROUND(K84,4) &gt; INDEX('Tabela de ingredientes'!$O$1:$V$30, SWITCH(B84, "Gelatos de Leite", 8, "Sorbets", 11, "Gelatos de Leite com Fruta", 14, "Chocolate base água", 17, "Vegano", 20, "Alcoólicos", 23, "Zero", 26, "Gelatos Proteicos", 29, 8), 3)) + (ROUND(L84,4) &lt; INDEX('Tabela de ingredientes'!$O$1:$V$30, SWITCH(B84, "Gelatos de Leite", 7, "Sorbets", 10, "Gelatos de Leite com Fruta", 13, "Chocolate base água", 16, "Vegano", 19, "Alcoólicos", 22, "Zero", 25, "Gelatos Proteicos", 28, 7), 4)) + (ROUND(L84,4) &gt; INDEX('Tabela de ingredientes'!$O$1:$V$30, SWITCH(B84, "Gelatos de Leite", 8, "Sorbets", 11, "Gelatos de Leite com Fruta", 14, "Chocolate base água", 17, "Vegano", 20, "Alcoólicos", 23, "Zero", 26, "Gelatos Proteicos", 29, 8), 4)) + (ROUND(M84,4) &lt; INDEX('Tabela de ingredientes'!$O$1:$V$30, SWITCH(B84, "Gelatos de Leite", 7, "Sorbets", 10, "Gelatos de Leite com Fruta", 13, "Chocolate base água", 16, "Vegano", 19, "Alcoólicos", 22, "Zero", 25, "Gelatos Proteicos", 28, 7), 5)) + (ROUND(M84,4) &gt; INDEX('Tabela de ingredientes'!$O$1:$V$30, SWITCH(B84, "Gelatos de Leite", 8, "Sorbets", 11, "Gelatos de Leite com Fruta", 14, "Chocolate base água", 17, "Vegano", 20, "Alcoólicos", 23, "Zero", 26, "Gelatos Proteicos", 29, 8), 5)) + (ROUND(N84,4) &lt; INDEX('Tabela de ingredientes'!$O$1:$V$30, SWITCH(B84, "Gelatos de Leite", 7, "Sorbets", 10, "Gelatos de Leite com Fruta", 13, "Chocolate base água", 16, "Vegano", 19, "Alcoólicos", 22, "Zero", 25, "Gelatos Proteicos", 28, 7), 6)) + (ROUND(N84,4) &gt; INDEX('Tabela de ingredientes'!$O$1:$V$30, SWITCH(B84, "Gelatos de Leite", 8, "Sorbets", 11, "Gelatos de Leite com Fruta", 14, "Chocolate base água", 17, "Vegano", 20, "Alcoólicos", 23, "Zero", 26, "Gelatos Proteicos", 29, 8), 6)) + (ROUND(O84,4) &lt; INDEX('Tabela de ingredientes'!$O$1:$V$30, SWITCH(B84, "Gelatos de Leite", 7, "Sorbets", 10, "Gelatos de Leite com Fruta", 13, "Chocolate base água", 16, "Vegano", 19, "Alcoólicos", 22, "Zero", 25, "Gelatos Proteicos", 28, 7), 7)) + (ROUND(O84,4) &gt; INDEX('Tabela de ingredientes'!$O$1:$V$30, SWITCH(B84, "Gelatos de Leite", 8, "Sorbets", 11, "Gelatos de Leite com Fruta", 14, "Chocolate base água", 17, "Vegano", 20, "Alcoólicos", 23, "Zero", 26, "Gelatos Proteicos", 29, 8), 7)) + (ROUND(P84,4) &lt; INDEX('Tabela de ingredientes'!$O$1:$V$30, SWITCH(B84, "Gelatos de Leite", 7, "Sorbets", 10, "Gelatos de Leite com Fruta", 13, "Chocolate base água", 16, "Vegano", 19, "Alcoólicos", 22, "Zero", 25, "Gelatos Proteicos", 28, 7), 8)) + (ROUND(P84,4) &gt; INDEX('Tabela de ingredientes'!$O$1:$V$30, SWITCH(B84, "Gelatos de Leite", 8, "Sorbets", 11, "Gelatos de Leite com Fruta", 14, "Chocolate base água", 17, "Vegano", 20, "Alcoólicos", 23, "Zero", 26, "Gelatos Proteicos", 29, 8), 8)) + IF(B84="Gelatos Proteicos", (ROUND(Q84,4)&lt;'Tabela de ingredientes'!$W$28)+(ROUND(Q84,4)&gt;'Tabela de ingredientes'!$W$29), 0) = 0, "Ok", "Revisar"))</f>
        <v>Ok</v>
      </c>
    </row>
    <row r="85">
      <c r="A85" s="39" t="str">
        <f>IFERROR(__xludf.DUMMYFUNCTION("""COMPUTED_VALUE"""),"Sorbet de Manga com Maracujá (Direto ao Ponto)")</f>
        <v>Sorbet de Manga com Maracujá (Direto ao Ponto)</v>
      </c>
      <c r="B85" s="39" t="s">
        <v>86</v>
      </c>
      <c r="C85" s="39">
        <v>8.0</v>
      </c>
      <c r="D85" s="39">
        <v>1000.0</v>
      </c>
      <c r="E85" s="39" t="s">
        <v>171</v>
      </c>
      <c r="F85" s="69">
        <v>7.1899999999999995</v>
      </c>
      <c r="G85" s="69">
        <v>0.43139999999999995</v>
      </c>
      <c r="H85" s="69">
        <v>28.302980132450337</v>
      </c>
      <c r="I85" s="59">
        <v>0.25935</v>
      </c>
      <c r="J85" s="59">
        <v>0.0</v>
      </c>
      <c r="K85" s="59">
        <v>0.0</v>
      </c>
      <c r="L85" s="59">
        <v>0.0565</v>
      </c>
      <c r="M85" s="59">
        <v>0.31585</v>
      </c>
      <c r="N85" s="59">
        <v>0.68415</v>
      </c>
      <c r="O85" s="39">
        <v>234.45</v>
      </c>
      <c r="P85" s="39">
        <v>315.0</v>
      </c>
      <c r="Q85" s="59">
        <v>0.004525</v>
      </c>
      <c r="R85" s="39">
        <v>12.6</v>
      </c>
      <c r="S85" s="97" t="str">
        <f t="array" ref="S85">IF(A85="","", IF( (ROUND(I85,4) &lt; INDEX('Tabela de ingredientes'!$O$1:$V$30, SWITCH(B85, "Gelatos de Leite", 7, "Sorbets", 10, "Gelatos de Leite com Fruta", 13, "Chocolate base água", 16, "Vegano", 19, "Alcoólicos", 22, "Zero", 25, "Gelatos Proteicos", 28, 7), 1)) + (ROUND(I85,4) &gt; INDEX('Tabela de ingredientes'!$O$1:$V$30, SWITCH(B85, "Gelatos de Leite", 8, "Sorbets", 11, "Gelatos de Leite com Fruta", 14, "Chocolate base água", 17, "Vegano", 20, "Alcoólicos", 23, "Zero", 26, "Gelatos Proteicos", 29, 8), 1)) + (ROUND(J85,4) &lt; INDEX('Tabela de ingredientes'!$O$1:$V$30, SWITCH(B85, "Gelatos de Leite", 7, "Sorbets", 10, "Gelatos de Leite com Fruta", 13, "Chocolate base água", 16, "Vegano", 19, "Alcoólicos", 22, "Zero", 25, "Gelatos Proteicos", 28, 7), 2)) + (ROUND(J85,4) &gt; INDEX('Tabela de ingredientes'!$O$1:$V$30, SWITCH(B85, "Gelatos de Leite", 8, "Sorbets", 11, "Gelatos de Leite com Fruta", 14, "Chocolate base água", 17, "Vegano", 20, "Alcoólicos", 23, "Zero", 26, "Gelatos Proteicos", 29, 8), 2)) + (ROUND(K85,4) &lt; INDEX('Tabela de ingredientes'!$O$1:$V$30, SWITCH(B85, "Gelatos de Leite", 7, "Sorbets", 10, "Gelatos de Leite com Fruta", 13, "Chocolate base água", 16, "Vegano", 19, "Alcoólicos", 22, "Zero", 25, "Gelatos Proteicos", 28, 7), 3)) + (ROUND(K85,4) &gt; INDEX('Tabela de ingredientes'!$O$1:$V$30, SWITCH(B85, "Gelatos de Leite", 8, "Sorbets", 11, "Gelatos de Leite com Fruta", 14, "Chocolate base água", 17, "Vegano", 20, "Alcoólicos", 23, "Zero", 26, "Gelatos Proteicos", 29, 8), 3)) + (ROUND(L85,4) &lt; INDEX('Tabela de ingredientes'!$O$1:$V$30, SWITCH(B85, "Gelatos de Leite", 7, "Sorbets", 10, "Gelatos de Leite com Fruta", 13, "Chocolate base água", 16, "Vegano", 19, "Alcoólicos", 22, "Zero", 25, "Gelatos Proteicos", 28, 7), 4)) + (ROUND(L85,4) &gt; INDEX('Tabela de ingredientes'!$O$1:$V$30, SWITCH(B85, "Gelatos de Leite", 8, "Sorbets", 11, "Gelatos de Leite com Fruta", 14, "Chocolate base água", 17, "Vegano", 20, "Alcoólicos", 23, "Zero", 26, "Gelatos Proteicos", 29, 8), 4)) + (ROUND(M85,4) &lt; INDEX('Tabela de ingredientes'!$O$1:$V$30, SWITCH(B85, "Gelatos de Leite", 7, "Sorbets", 10, "Gelatos de Leite com Fruta", 13, "Chocolate base água", 16, "Vegano", 19, "Alcoólicos", 22, "Zero", 25, "Gelatos Proteicos", 28, 7), 5)) + (ROUND(M85,4) &gt; INDEX('Tabela de ingredientes'!$O$1:$V$30, SWITCH(B85, "Gelatos de Leite", 8, "Sorbets", 11, "Gelatos de Leite com Fruta", 14, "Chocolate base água", 17, "Vegano", 20, "Alcoólicos", 23, "Zero", 26, "Gelatos Proteicos", 29, 8), 5)) + (ROUND(N85,4) &lt; INDEX('Tabela de ingredientes'!$O$1:$V$30, SWITCH(B85, "Gelatos de Leite", 7, "Sorbets", 10, "Gelatos de Leite com Fruta", 13, "Chocolate base água", 16, "Vegano", 19, "Alcoólicos", 22, "Zero", 25, "Gelatos Proteicos", 28, 7), 6)) + (ROUND(N85,4) &gt; INDEX('Tabela de ingredientes'!$O$1:$V$30, SWITCH(B85, "Gelatos de Leite", 8, "Sorbets", 11, "Gelatos de Leite com Fruta", 14, "Chocolate base água", 17, "Vegano", 20, "Alcoólicos", 23, "Zero", 26, "Gelatos Proteicos", 29, 8), 6)) + (ROUND(O85,4) &lt; INDEX('Tabela de ingredientes'!$O$1:$V$30, SWITCH(B85, "Gelatos de Leite", 7, "Sorbets", 10, "Gelatos de Leite com Fruta", 13, "Chocolate base água", 16, "Vegano", 19, "Alcoólicos", 22, "Zero", 25, "Gelatos Proteicos", 28, 7), 7)) + (ROUND(O85,4) &gt; INDEX('Tabela de ingredientes'!$O$1:$V$30, SWITCH(B85, "Gelatos de Leite", 8, "Sorbets", 11, "Gelatos de Leite com Fruta", 14, "Chocolate base água", 17, "Vegano", 20, "Alcoólicos", 23, "Zero", 26, "Gelatos Proteicos", 29, 8), 7)) + (ROUND(P85,4) &lt; INDEX('Tabela de ingredientes'!$O$1:$V$30, SWITCH(B85, "Gelatos de Leite", 7, "Sorbets", 10, "Gelatos de Leite com Fruta", 13, "Chocolate base água", 16, "Vegano", 19, "Alcoólicos", 22, "Zero", 25, "Gelatos Proteicos", 28, 7), 8)) + (ROUND(P85,4) &gt; INDEX('Tabela de ingredientes'!$O$1:$V$30, SWITCH(B85, "Gelatos de Leite", 8, "Sorbets", 11, "Gelatos de Leite com Fruta", 14, "Chocolate base água", 17, "Vegano", 20, "Alcoólicos", 23, "Zero", 26, "Gelatos Proteicos", 29, 8), 8)) + IF(B85="Gelatos Proteicos", (ROUND(Q85,4)&lt;'Tabela de ingredientes'!$W$28)+(ROUND(Q85,4)&gt;'Tabela de ingredientes'!$W$29), 0) = 0, "Ok", "Revisar"))</f>
        <v>Ok</v>
      </c>
    </row>
    <row r="86">
      <c r="A86" s="39" t="str">
        <f>IFERROR(__xludf.DUMMYFUNCTION("""COMPUTED_VALUE"""),"Sorbet de Limão (Direto ao Ponto)")</f>
        <v>Sorbet de Limão (Direto ao Ponto)</v>
      </c>
      <c r="B86" s="39" t="s">
        <v>86</v>
      </c>
      <c r="C86" s="39">
        <v>7.0</v>
      </c>
      <c r="D86" s="39">
        <v>1000.0</v>
      </c>
      <c r="E86" s="39" t="s">
        <v>171</v>
      </c>
      <c r="F86" s="69">
        <v>12.57</v>
      </c>
      <c r="G86" s="69">
        <v>0.7542</v>
      </c>
      <c r="H86" s="69">
        <v>32.7566225165563</v>
      </c>
      <c r="I86" s="59">
        <v>0.2326</v>
      </c>
      <c r="J86" s="59">
        <v>0.0</v>
      </c>
      <c r="K86" s="59">
        <v>0.0</v>
      </c>
      <c r="L86" s="59">
        <v>0.058</v>
      </c>
      <c r="M86" s="59">
        <v>0.2906</v>
      </c>
      <c r="N86" s="59">
        <v>0.7094</v>
      </c>
      <c r="O86" s="39">
        <v>192.2</v>
      </c>
      <c r="P86" s="39">
        <v>277.0</v>
      </c>
      <c r="Q86" s="59">
        <v>0.0</v>
      </c>
      <c r="R86" s="39">
        <v>11.08</v>
      </c>
      <c r="S86" s="97" t="str">
        <f t="array" ref="S86">IF(A86="","", IF( (ROUND(I86,4) &lt; INDEX('Tabela de ingredientes'!$O$1:$V$30, SWITCH(B86, "Gelatos de Leite", 7, "Sorbets", 10, "Gelatos de Leite com Fruta", 13, "Chocolate base água", 16, "Vegano", 19, "Alcoólicos", 22, "Zero", 25, "Gelatos Proteicos", 28, 7), 1)) + (ROUND(I86,4) &gt; INDEX('Tabela de ingredientes'!$O$1:$V$30, SWITCH(B86, "Gelatos de Leite", 8, "Sorbets", 11, "Gelatos de Leite com Fruta", 14, "Chocolate base água", 17, "Vegano", 20, "Alcoólicos", 23, "Zero", 26, "Gelatos Proteicos", 29, 8), 1)) + (ROUND(J86,4) &lt; INDEX('Tabela de ingredientes'!$O$1:$V$30, SWITCH(B86, "Gelatos de Leite", 7, "Sorbets", 10, "Gelatos de Leite com Fruta", 13, "Chocolate base água", 16, "Vegano", 19, "Alcoólicos", 22, "Zero", 25, "Gelatos Proteicos", 28, 7), 2)) + (ROUND(J86,4) &gt; INDEX('Tabela de ingredientes'!$O$1:$V$30, SWITCH(B86, "Gelatos de Leite", 8, "Sorbets", 11, "Gelatos de Leite com Fruta", 14, "Chocolate base água", 17, "Vegano", 20, "Alcoólicos", 23, "Zero", 26, "Gelatos Proteicos", 29, 8), 2)) + (ROUND(K86,4) &lt; INDEX('Tabela de ingredientes'!$O$1:$V$30, SWITCH(B86, "Gelatos de Leite", 7, "Sorbets", 10, "Gelatos de Leite com Fruta", 13, "Chocolate base água", 16, "Vegano", 19, "Alcoólicos", 22, "Zero", 25, "Gelatos Proteicos", 28, 7), 3)) + (ROUND(K86,4) &gt; INDEX('Tabela de ingredientes'!$O$1:$V$30, SWITCH(B86, "Gelatos de Leite", 8, "Sorbets", 11, "Gelatos de Leite com Fruta", 14, "Chocolate base água", 17, "Vegano", 20, "Alcoólicos", 23, "Zero", 26, "Gelatos Proteicos", 29, 8), 3)) + (ROUND(L86,4) &lt; INDEX('Tabela de ingredientes'!$O$1:$V$30, SWITCH(B86, "Gelatos de Leite", 7, "Sorbets", 10, "Gelatos de Leite com Fruta", 13, "Chocolate base água", 16, "Vegano", 19, "Alcoólicos", 22, "Zero", 25, "Gelatos Proteicos", 28, 7), 4)) + (ROUND(L86,4) &gt; INDEX('Tabela de ingredientes'!$O$1:$V$30, SWITCH(B86, "Gelatos de Leite", 8, "Sorbets", 11, "Gelatos de Leite com Fruta", 14, "Chocolate base água", 17, "Vegano", 20, "Alcoólicos", 23, "Zero", 26, "Gelatos Proteicos", 29, 8), 4)) + (ROUND(M86,4) &lt; INDEX('Tabela de ingredientes'!$O$1:$V$30, SWITCH(B86, "Gelatos de Leite", 7, "Sorbets", 10, "Gelatos de Leite com Fruta", 13, "Chocolate base água", 16, "Vegano", 19, "Alcoólicos", 22, "Zero", 25, "Gelatos Proteicos", 28, 7), 5)) + (ROUND(M86,4) &gt; INDEX('Tabela de ingredientes'!$O$1:$V$30, SWITCH(B86, "Gelatos de Leite", 8, "Sorbets", 11, "Gelatos de Leite com Fruta", 14, "Chocolate base água", 17, "Vegano", 20, "Alcoólicos", 23, "Zero", 26, "Gelatos Proteicos", 29, 8), 5)) + (ROUND(N86,4) &lt; INDEX('Tabela de ingredientes'!$O$1:$V$30, SWITCH(B86, "Gelatos de Leite", 7, "Sorbets", 10, "Gelatos de Leite com Fruta", 13, "Chocolate base água", 16, "Vegano", 19, "Alcoólicos", 22, "Zero", 25, "Gelatos Proteicos", 28, 7), 6)) + (ROUND(N86,4) &gt; INDEX('Tabela de ingredientes'!$O$1:$V$30, SWITCH(B86, "Gelatos de Leite", 8, "Sorbets", 11, "Gelatos de Leite com Fruta", 14, "Chocolate base água", 17, "Vegano", 20, "Alcoólicos", 23, "Zero", 26, "Gelatos Proteicos", 29, 8), 6)) + (ROUND(O86,4) &lt; INDEX('Tabela de ingredientes'!$O$1:$V$30, SWITCH(B86, "Gelatos de Leite", 7, "Sorbets", 10, "Gelatos de Leite com Fruta", 13, "Chocolate base água", 16, "Vegano", 19, "Alcoólicos", 22, "Zero", 25, "Gelatos Proteicos", 28, 7), 7)) + (ROUND(O86,4) &gt; INDEX('Tabela de ingredientes'!$O$1:$V$30, SWITCH(B86, "Gelatos de Leite", 8, "Sorbets", 11, "Gelatos de Leite com Fruta", 14, "Chocolate base água", 17, "Vegano", 20, "Alcoólicos", 23, "Zero", 26, "Gelatos Proteicos", 29, 8), 7)) + (ROUND(P86,4) &lt; INDEX('Tabela de ingredientes'!$O$1:$V$30, SWITCH(B86, "Gelatos de Leite", 7, "Sorbets", 10, "Gelatos de Leite com Fruta", 13, "Chocolate base água", 16, "Vegano", 19, "Alcoólicos", 22, "Zero", 25, "Gelatos Proteicos", 28, 7), 8)) + (ROUND(P86,4) &gt; INDEX('Tabela de ingredientes'!$O$1:$V$30, SWITCH(B86, "Gelatos de Leite", 8, "Sorbets", 11, "Gelatos de Leite com Fruta", 14, "Chocolate base água", 17, "Vegano", 20, "Alcoólicos", 23, "Zero", 26, "Gelatos Proteicos", 29, 8), 8)) + IF(B86="Gelatos Proteicos", (ROUND(Q86,4)&lt;'Tabela de ingredientes'!$W$28)+(ROUND(Q86,4)&gt;'Tabela de ingredientes'!$W$29), 0) = 0, "Ok", "Revisar"))</f>
        <v>Ok</v>
      </c>
    </row>
    <row r="87">
      <c r="A87" s="39" t="str">
        <f>IFERROR(__xludf.DUMMYFUNCTION("""COMPUTED_VALUE"""),"Sorbet de Framboesa (Direto ao Ponto)")</f>
        <v>Sorbet de Framboesa (Direto ao Ponto)</v>
      </c>
      <c r="B87" s="39" t="s">
        <v>86</v>
      </c>
      <c r="C87" s="39">
        <v>8.0</v>
      </c>
      <c r="D87" s="39">
        <v>1000.0</v>
      </c>
      <c r="E87" s="39" t="s">
        <v>171</v>
      </c>
      <c r="F87" s="69">
        <v>5.935</v>
      </c>
      <c r="G87" s="69">
        <v>0.35609999999999997</v>
      </c>
      <c r="H87" s="69">
        <v>27.264072847682126</v>
      </c>
      <c r="I87" s="59">
        <v>0.2325</v>
      </c>
      <c r="J87" s="59">
        <v>0.005350000000000001</v>
      </c>
      <c r="K87" s="59">
        <v>0.0</v>
      </c>
      <c r="L87" s="59">
        <v>0.06325</v>
      </c>
      <c r="M87" s="59">
        <v>0.30110000000000003</v>
      </c>
      <c r="N87" s="59">
        <v>0.6989</v>
      </c>
      <c r="O87" s="39">
        <v>213.37499999999997</v>
      </c>
      <c r="P87" s="39">
        <v>285.315</v>
      </c>
      <c r="Q87" s="59">
        <v>0.005350000000000001</v>
      </c>
      <c r="R87" s="39">
        <v>11.4126</v>
      </c>
      <c r="S87" s="97" t="str">
        <f t="array" ref="S87">IF(A87="","", IF( (ROUND(I87,4) &lt; INDEX('Tabela de ingredientes'!$O$1:$V$30, SWITCH(B87, "Gelatos de Leite", 7, "Sorbets", 10, "Gelatos de Leite com Fruta", 13, "Chocolate base água", 16, "Vegano", 19, "Alcoólicos", 22, "Zero", 25, "Gelatos Proteicos", 28, 7), 1)) + (ROUND(I87,4) &gt; INDEX('Tabela de ingredientes'!$O$1:$V$30, SWITCH(B87, "Gelatos de Leite", 8, "Sorbets", 11, "Gelatos de Leite com Fruta", 14, "Chocolate base água", 17, "Vegano", 20, "Alcoólicos", 23, "Zero", 26, "Gelatos Proteicos", 29, 8), 1)) + (ROUND(J87,4) &lt; INDEX('Tabela de ingredientes'!$O$1:$V$30, SWITCH(B87, "Gelatos de Leite", 7, "Sorbets", 10, "Gelatos de Leite com Fruta", 13, "Chocolate base água", 16, "Vegano", 19, "Alcoólicos", 22, "Zero", 25, "Gelatos Proteicos", 28, 7), 2)) + (ROUND(J87,4) &gt; INDEX('Tabela de ingredientes'!$O$1:$V$30, SWITCH(B87, "Gelatos de Leite", 8, "Sorbets", 11, "Gelatos de Leite com Fruta", 14, "Chocolate base água", 17, "Vegano", 20, "Alcoólicos", 23, "Zero", 26, "Gelatos Proteicos", 29, 8), 2)) + (ROUND(K87,4) &lt; INDEX('Tabela de ingredientes'!$O$1:$V$30, SWITCH(B87, "Gelatos de Leite", 7, "Sorbets", 10, "Gelatos de Leite com Fruta", 13, "Chocolate base água", 16, "Vegano", 19, "Alcoólicos", 22, "Zero", 25, "Gelatos Proteicos", 28, 7), 3)) + (ROUND(K87,4) &gt; INDEX('Tabela de ingredientes'!$O$1:$V$30, SWITCH(B87, "Gelatos de Leite", 8, "Sorbets", 11, "Gelatos de Leite com Fruta", 14, "Chocolate base água", 17, "Vegano", 20, "Alcoólicos", 23, "Zero", 26, "Gelatos Proteicos", 29, 8), 3)) + (ROUND(L87,4) &lt; INDEX('Tabela de ingredientes'!$O$1:$V$30, SWITCH(B87, "Gelatos de Leite", 7, "Sorbets", 10, "Gelatos de Leite com Fruta", 13, "Chocolate base água", 16, "Vegano", 19, "Alcoólicos", 22, "Zero", 25, "Gelatos Proteicos", 28, 7), 4)) + (ROUND(L87,4) &gt; INDEX('Tabela de ingredientes'!$O$1:$V$30, SWITCH(B87, "Gelatos de Leite", 8, "Sorbets", 11, "Gelatos de Leite com Fruta", 14, "Chocolate base água", 17, "Vegano", 20, "Alcoólicos", 23, "Zero", 26, "Gelatos Proteicos", 29, 8), 4)) + (ROUND(M87,4) &lt; INDEX('Tabela de ingredientes'!$O$1:$V$30, SWITCH(B87, "Gelatos de Leite", 7, "Sorbets", 10, "Gelatos de Leite com Fruta", 13, "Chocolate base água", 16, "Vegano", 19, "Alcoólicos", 22, "Zero", 25, "Gelatos Proteicos", 28, 7), 5)) + (ROUND(M87,4) &gt; INDEX('Tabela de ingredientes'!$O$1:$V$30, SWITCH(B87, "Gelatos de Leite", 8, "Sorbets", 11, "Gelatos de Leite com Fruta", 14, "Chocolate base água", 17, "Vegano", 20, "Alcoólicos", 23, "Zero", 26, "Gelatos Proteicos", 29, 8), 5)) + (ROUND(N87,4) &lt; INDEX('Tabela de ingredientes'!$O$1:$V$30, SWITCH(B87, "Gelatos de Leite", 7, "Sorbets", 10, "Gelatos de Leite com Fruta", 13, "Chocolate base água", 16, "Vegano", 19, "Alcoólicos", 22, "Zero", 25, "Gelatos Proteicos", 28, 7), 6)) + (ROUND(N87,4) &gt; INDEX('Tabela de ingredientes'!$O$1:$V$30, SWITCH(B87, "Gelatos de Leite", 8, "Sorbets", 11, "Gelatos de Leite com Fruta", 14, "Chocolate base água", 17, "Vegano", 20, "Alcoólicos", 23, "Zero", 26, "Gelatos Proteicos", 29, 8), 6)) + (ROUND(O87,4) &lt; INDEX('Tabela de ingredientes'!$O$1:$V$30, SWITCH(B87, "Gelatos de Leite", 7, "Sorbets", 10, "Gelatos de Leite com Fruta", 13, "Chocolate base água", 16, "Vegano", 19, "Alcoólicos", 22, "Zero", 25, "Gelatos Proteicos", 28, 7), 7)) + (ROUND(O87,4) &gt; INDEX('Tabela de ingredientes'!$O$1:$V$30, SWITCH(B87, "Gelatos de Leite", 8, "Sorbets", 11, "Gelatos de Leite com Fruta", 14, "Chocolate base água", 17, "Vegano", 20, "Alcoólicos", 23, "Zero", 26, "Gelatos Proteicos", 29, 8), 7)) + (ROUND(P87,4) &lt; INDEX('Tabela de ingredientes'!$O$1:$V$30, SWITCH(B87, "Gelatos de Leite", 7, "Sorbets", 10, "Gelatos de Leite com Fruta", 13, "Chocolate base água", 16, "Vegano", 19, "Alcoólicos", 22, "Zero", 25, "Gelatos Proteicos", 28, 7), 8)) + (ROUND(P87,4) &gt; INDEX('Tabela de ingredientes'!$O$1:$V$30, SWITCH(B87, "Gelatos de Leite", 8, "Sorbets", 11, "Gelatos de Leite com Fruta", 14, "Chocolate base água", 17, "Vegano", 20, "Alcoólicos", 23, "Zero", 26, "Gelatos Proteicos", 29, 8), 8)) + IF(B87="Gelatos Proteicos", (ROUND(Q87,4)&lt;'Tabela de ingredientes'!$W$28)+(ROUND(Q87,4)&gt;'Tabela de ingredientes'!$W$29), 0) = 0, "Ok", "Revisar"))</f>
        <v>Ok</v>
      </c>
    </row>
    <row r="88">
      <c r="A88" s="39" t="str">
        <f>IFERROR(__xludf.DUMMYFUNCTION("""COMPUTED_VALUE"""),"Sorbet de Banana (Direto ao Ponto)")</f>
        <v>Sorbet de Banana (Direto ao Ponto)</v>
      </c>
      <c r="B88" s="39" t="s">
        <v>86</v>
      </c>
      <c r="C88" s="39">
        <v>8.0</v>
      </c>
      <c r="D88" s="39">
        <v>1000.0</v>
      </c>
      <c r="E88" s="39" t="s">
        <v>171</v>
      </c>
      <c r="F88" s="69">
        <v>4.904999999999999</v>
      </c>
      <c r="G88" s="69">
        <v>0.29429999999999995</v>
      </c>
      <c r="H88" s="69">
        <v>26.41142384105961</v>
      </c>
      <c r="I88" s="59">
        <v>0.25345</v>
      </c>
      <c r="J88" s="59">
        <v>0.0</v>
      </c>
      <c r="K88" s="59">
        <v>0.0</v>
      </c>
      <c r="L88" s="59">
        <v>0.045250000000000005</v>
      </c>
      <c r="M88" s="59">
        <v>0.2987</v>
      </c>
      <c r="N88" s="59">
        <v>0.7013</v>
      </c>
      <c r="O88" s="39">
        <v>240.99999999999997</v>
      </c>
      <c r="P88" s="39">
        <v>319.84</v>
      </c>
      <c r="Q88" s="59">
        <v>0.004900000000000001</v>
      </c>
      <c r="R88" s="39">
        <v>12.7936</v>
      </c>
      <c r="S88" s="97" t="str">
        <f t="array" ref="S88">IF(A88="","", IF( (ROUND(I88,4) &lt; INDEX('Tabela de ingredientes'!$O$1:$V$30, SWITCH(B88, "Gelatos de Leite", 7, "Sorbets", 10, "Gelatos de Leite com Fruta", 13, "Chocolate base água", 16, "Vegano", 19, "Alcoólicos", 22, "Zero", 25, "Gelatos Proteicos", 28, 7), 1)) + (ROUND(I88,4) &gt; INDEX('Tabela de ingredientes'!$O$1:$V$30, SWITCH(B88, "Gelatos de Leite", 8, "Sorbets", 11, "Gelatos de Leite com Fruta", 14, "Chocolate base água", 17, "Vegano", 20, "Alcoólicos", 23, "Zero", 26, "Gelatos Proteicos", 29, 8), 1)) + (ROUND(J88,4) &lt; INDEX('Tabela de ingredientes'!$O$1:$V$30, SWITCH(B88, "Gelatos de Leite", 7, "Sorbets", 10, "Gelatos de Leite com Fruta", 13, "Chocolate base água", 16, "Vegano", 19, "Alcoólicos", 22, "Zero", 25, "Gelatos Proteicos", 28, 7), 2)) + (ROUND(J88,4) &gt; INDEX('Tabela de ingredientes'!$O$1:$V$30, SWITCH(B88, "Gelatos de Leite", 8, "Sorbets", 11, "Gelatos de Leite com Fruta", 14, "Chocolate base água", 17, "Vegano", 20, "Alcoólicos", 23, "Zero", 26, "Gelatos Proteicos", 29, 8), 2)) + (ROUND(K88,4) &lt; INDEX('Tabela de ingredientes'!$O$1:$V$30, SWITCH(B88, "Gelatos de Leite", 7, "Sorbets", 10, "Gelatos de Leite com Fruta", 13, "Chocolate base água", 16, "Vegano", 19, "Alcoólicos", 22, "Zero", 25, "Gelatos Proteicos", 28, 7), 3)) + (ROUND(K88,4) &gt; INDEX('Tabela de ingredientes'!$O$1:$V$30, SWITCH(B88, "Gelatos de Leite", 8, "Sorbets", 11, "Gelatos de Leite com Fruta", 14, "Chocolate base água", 17, "Vegano", 20, "Alcoólicos", 23, "Zero", 26, "Gelatos Proteicos", 29, 8), 3)) + (ROUND(L88,4) &lt; INDEX('Tabela de ingredientes'!$O$1:$V$30, SWITCH(B88, "Gelatos de Leite", 7, "Sorbets", 10, "Gelatos de Leite com Fruta", 13, "Chocolate base água", 16, "Vegano", 19, "Alcoólicos", 22, "Zero", 25, "Gelatos Proteicos", 28, 7), 4)) + (ROUND(L88,4) &gt; INDEX('Tabela de ingredientes'!$O$1:$V$30, SWITCH(B88, "Gelatos de Leite", 8, "Sorbets", 11, "Gelatos de Leite com Fruta", 14, "Chocolate base água", 17, "Vegano", 20, "Alcoólicos", 23, "Zero", 26, "Gelatos Proteicos", 29, 8), 4)) + (ROUND(M88,4) &lt; INDEX('Tabela de ingredientes'!$O$1:$V$30, SWITCH(B88, "Gelatos de Leite", 7, "Sorbets", 10, "Gelatos de Leite com Fruta", 13, "Chocolate base água", 16, "Vegano", 19, "Alcoólicos", 22, "Zero", 25, "Gelatos Proteicos", 28, 7), 5)) + (ROUND(M88,4) &gt; INDEX('Tabela de ingredientes'!$O$1:$V$30, SWITCH(B88, "Gelatos de Leite", 8, "Sorbets", 11, "Gelatos de Leite com Fruta", 14, "Chocolate base água", 17, "Vegano", 20, "Alcoólicos", 23, "Zero", 26, "Gelatos Proteicos", 29, 8), 5)) + (ROUND(N88,4) &lt; INDEX('Tabela de ingredientes'!$O$1:$V$30, SWITCH(B88, "Gelatos de Leite", 7, "Sorbets", 10, "Gelatos de Leite com Fruta", 13, "Chocolate base água", 16, "Vegano", 19, "Alcoólicos", 22, "Zero", 25, "Gelatos Proteicos", 28, 7), 6)) + (ROUND(N88,4) &gt; INDEX('Tabela de ingredientes'!$O$1:$V$30, SWITCH(B88, "Gelatos de Leite", 8, "Sorbets", 11, "Gelatos de Leite com Fruta", 14, "Chocolate base água", 17, "Vegano", 20, "Alcoólicos", 23, "Zero", 26, "Gelatos Proteicos", 29, 8), 6)) + (ROUND(O88,4) &lt; INDEX('Tabela de ingredientes'!$O$1:$V$30, SWITCH(B88, "Gelatos de Leite", 7, "Sorbets", 10, "Gelatos de Leite com Fruta", 13, "Chocolate base água", 16, "Vegano", 19, "Alcoólicos", 22, "Zero", 25, "Gelatos Proteicos", 28, 7), 7)) + (ROUND(O88,4) &gt; INDEX('Tabela de ingredientes'!$O$1:$V$30, SWITCH(B88, "Gelatos de Leite", 8, "Sorbets", 11, "Gelatos de Leite com Fruta", 14, "Chocolate base água", 17, "Vegano", 20, "Alcoólicos", 23, "Zero", 26, "Gelatos Proteicos", 29, 8), 7)) + (ROUND(P88,4) &lt; INDEX('Tabela de ingredientes'!$O$1:$V$30, SWITCH(B88, "Gelatos de Leite", 7, "Sorbets", 10, "Gelatos de Leite com Fruta", 13, "Chocolate base água", 16, "Vegano", 19, "Alcoólicos", 22, "Zero", 25, "Gelatos Proteicos", 28, 7), 8)) + (ROUND(P88,4) &gt; INDEX('Tabela de ingredientes'!$O$1:$V$30, SWITCH(B88, "Gelatos de Leite", 8, "Sorbets", 11, "Gelatos de Leite com Fruta", 14, "Chocolate base água", 17, "Vegano", 20, "Alcoólicos", 23, "Zero", 26, "Gelatos Proteicos", 29, 8), 8)) + IF(B88="Gelatos Proteicos", (ROUND(Q88,4)&lt;'Tabela de ingredientes'!$W$28)+(ROUND(Q88,4)&gt;'Tabela de ingredientes'!$W$29), 0) = 0, "Ok", "Revisar"))</f>
        <v>Revisar</v>
      </c>
    </row>
    <row r="89">
      <c r="A89" s="39" t="str">
        <f>IFERROR(__xludf.DUMMYFUNCTION("""COMPUTED_VALUE"""),"Sorbet de Melancia (Direto ao Ponto)")</f>
        <v>Sorbet de Melancia (Direto ao Ponto)</v>
      </c>
      <c r="B89" s="39" t="s">
        <v>86</v>
      </c>
      <c r="C89" s="39">
        <v>8.0</v>
      </c>
      <c r="D89" s="39">
        <v>1005.0</v>
      </c>
      <c r="E89" s="39" t="s">
        <v>179</v>
      </c>
      <c r="F89" s="69">
        <v>9.213930348258707</v>
      </c>
      <c r="G89" s="69">
        <v>0.5528358208955224</v>
      </c>
      <c r="H89" s="69">
        <v>29.978419162465823</v>
      </c>
      <c r="I89" s="59">
        <v>0.22318407960199005</v>
      </c>
      <c r="J89" s="59">
        <v>0.0</v>
      </c>
      <c r="K89" s="59">
        <v>0.0</v>
      </c>
      <c r="L89" s="59">
        <v>0.06960199004975125</v>
      </c>
      <c r="M89" s="59">
        <v>0.2927860696517413</v>
      </c>
      <c r="N89" s="59">
        <v>0.7072139303482587</v>
      </c>
      <c r="O89" s="39">
        <v>201.99004975124376</v>
      </c>
      <c r="P89" s="39">
        <v>277.0049751243781</v>
      </c>
      <c r="Q89" s="59">
        <v>0.0</v>
      </c>
      <c r="R89" s="39">
        <v>11.080199004975125</v>
      </c>
      <c r="S89" s="97" t="str">
        <f t="array" ref="S89">IF(A89="","", IF( (ROUND(I89,4) &lt; INDEX('Tabela de ingredientes'!$O$1:$V$30, SWITCH(B89, "Gelatos de Leite", 7, "Sorbets", 10, "Gelatos de Leite com Fruta", 13, "Chocolate base água", 16, "Vegano", 19, "Alcoólicos", 22, "Zero", 25, "Gelatos Proteicos", 28, 7), 1)) + (ROUND(I89,4) &gt; INDEX('Tabela de ingredientes'!$O$1:$V$30, SWITCH(B89, "Gelatos de Leite", 8, "Sorbets", 11, "Gelatos de Leite com Fruta", 14, "Chocolate base água", 17, "Vegano", 20, "Alcoólicos", 23, "Zero", 26, "Gelatos Proteicos", 29, 8), 1)) + (ROUND(J89,4) &lt; INDEX('Tabela de ingredientes'!$O$1:$V$30, SWITCH(B89, "Gelatos de Leite", 7, "Sorbets", 10, "Gelatos de Leite com Fruta", 13, "Chocolate base água", 16, "Vegano", 19, "Alcoólicos", 22, "Zero", 25, "Gelatos Proteicos", 28, 7), 2)) + (ROUND(J89,4) &gt; INDEX('Tabela de ingredientes'!$O$1:$V$30, SWITCH(B89, "Gelatos de Leite", 8, "Sorbets", 11, "Gelatos de Leite com Fruta", 14, "Chocolate base água", 17, "Vegano", 20, "Alcoólicos", 23, "Zero", 26, "Gelatos Proteicos", 29, 8), 2)) + (ROUND(K89,4) &lt; INDEX('Tabela de ingredientes'!$O$1:$V$30, SWITCH(B89, "Gelatos de Leite", 7, "Sorbets", 10, "Gelatos de Leite com Fruta", 13, "Chocolate base água", 16, "Vegano", 19, "Alcoólicos", 22, "Zero", 25, "Gelatos Proteicos", 28, 7), 3)) + (ROUND(K89,4) &gt; INDEX('Tabela de ingredientes'!$O$1:$V$30, SWITCH(B89, "Gelatos de Leite", 8, "Sorbets", 11, "Gelatos de Leite com Fruta", 14, "Chocolate base água", 17, "Vegano", 20, "Alcoólicos", 23, "Zero", 26, "Gelatos Proteicos", 29, 8), 3)) + (ROUND(L89,4) &lt; INDEX('Tabela de ingredientes'!$O$1:$V$30, SWITCH(B89, "Gelatos de Leite", 7, "Sorbets", 10, "Gelatos de Leite com Fruta", 13, "Chocolate base água", 16, "Vegano", 19, "Alcoólicos", 22, "Zero", 25, "Gelatos Proteicos", 28, 7), 4)) + (ROUND(L89,4) &gt; INDEX('Tabela de ingredientes'!$O$1:$V$30, SWITCH(B89, "Gelatos de Leite", 8, "Sorbets", 11, "Gelatos de Leite com Fruta", 14, "Chocolate base água", 17, "Vegano", 20, "Alcoólicos", 23, "Zero", 26, "Gelatos Proteicos", 29, 8), 4)) + (ROUND(M89,4) &lt; INDEX('Tabela de ingredientes'!$O$1:$V$30, SWITCH(B89, "Gelatos de Leite", 7, "Sorbets", 10, "Gelatos de Leite com Fruta", 13, "Chocolate base água", 16, "Vegano", 19, "Alcoólicos", 22, "Zero", 25, "Gelatos Proteicos", 28, 7), 5)) + (ROUND(M89,4) &gt; INDEX('Tabela de ingredientes'!$O$1:$V$30, SWITCH(B89, "Gelatos de Leite", 8, "Sorbets", 11, "Gelatos de Leite com Fruta", 14, "Chocolate base água", 17, "Vegano", 20, "Alcoólicos", 23, "Zero", 26, "Gelatos Proteicos", 29, 8), 5)) + (ROUND(N89,4) &lt; INDEX('Tabela de ingredientes'!$O$1:$V$30, SWITCH(B89, "Gelatos de Leite", 7, "Sorbets", 10, "Gelatos de Leite com Fruta", 13, "Chocolate base água", 16, "Vegano", 19, "Alcoólicos", 22, "Zero", 25, "Gelatos Proteicos", 28, 7), 6)) + (ROUND(N89,4) &gt; INDEX('Tabela de ingredientes'!$O$1:$V$30, SWITCH(B89, "Gelatos de Leite", 8, "Sorbets", 11, "Gelatos de Leite com Fruta", 14, "Chocolate base água", 17, "Vegano", 20, "Alcoólicos", 23, "Zero", 26, "Gelatos Proteicos", 29, 8), 6)) + (ROUND(O89,4) &lt; INDEX('Tabela de ingredientes'!$O$1:$V$30, SWITCH(B89, "Gelatos de Leite", 7, "Sorbets", 10, "Gelatos de Leite com Fruta", 13, "Chocolate base água", 16, "Vegano", 19, "Alcoólicos", 22, "Zero", 25, "Gelatos Proteicos", 28, 7), 7)) + (ROUND(O89,4) &gt; INDEX('Tabela de ingredientes'!$O$1:$V$30, SWITCH(B89, "Gelatos de Leite", 8, "Sorbets", 11, "Gelatos de Leite com Fruta", 14, "Chocolate base água", 17, "Vegano", 20, "Alcoólicos", 23, "Zero", 26, "Gelatos Proteicos", 29, 8), 7)) + (ROUND(P89,4) &lt; INDEX('Tabela de ingredientes'!$O$1:$V$30, SWITCH(B89, "Gelatos de Leite", 7, "Sorbets", 10, "Gelatos de Leite com Fruta", 13, "Chocolate base água", 16, "Vegano", 19, "Alcoólicos", 22, "Zero", 25, "Gelatos Proteicos", 28, 7), 8)) + (ROUND(P89,4) &gt; INDEX('Tabela de ingredientes'!$O$1:$V$30, SWITCH(B89, "Gelatos de Leite", 8, "Sorbets", 11, "Gelatos de Leite com Fruta", 14, "Chocolate base água", 17, "Vegano", 20, "Alcoólicos", 23, "Zero", 26, "Gelatos Proteicos", 29, 8), 8)) + IF(B89="Gelatos Proteicos", (ROUND(Q89,4)&lt;'Tabela de ingredientes'!$W$28)+(ROUND(Q89,4)&gt;'Tabela de ingredientes'!$W$29), 0) = 0, "Ok", "Revisar"))</f>
        <v>Revisar</v>
      </c>
    </row>
    <row r="90">
      <c r="A90" s="39" t="str">
        <f>IFERROR(__xludf.DUMMYFUNCTION("""COMPUTED_VALUE"""),"Sorbet de Maracujá com Pêssego (Direto ao Ponto)")</f>
        <v>Sorbet de Maracujá com Pêssego (Direto ao Ponto)</v>
      </c>
      <c r="B90" s="39" t="s">
        <v>86</v>
      </c>
      <c r="C90" s="39">
        <v>8.0</v>
      </c>
      <c r="D90" s="39">
        <v>1000.0</v>
      </c>
      <c r="E90" s="39" t="s">
        <v>171</v>
      </c>
      <c r="F90" s="69">
        <v>6.8149999999999995</v>
      </c>
      <c r="G90" s="69">
        <v>0.40889999999999993</v>
      </c>
      <c r="H90" s="69">
        <v>27.992549668874176</v>
      </c>
      <c r="I90" s="59">
        <v>0.2358</v>
      </c>
      <c r="J90" s="59">
        <v>0.0</v>
      </c>
      <c r="K90" s="59">
        <v>0.0</v>
      </c>
      <c r="L90" s="59">
        <v>0.0482</v>
      </c>
      <c r="M90" s="59">
        <v>0.28400000000000003</v>
      </c>
      <c r="N90" s="59">
        <v>0.716</v>
      </c>
      <c r="O90" s="39">
        <v>227.75</v>
      </c>
      <c r="P90" s="39">
        <v>324.4</v>
      </c>
      <c r="Q90" s="59">
        <v>0.0039</v>
      </c>
      <c r="R90" s="39">
        <v>12.975999999999999</v>
      </c>
      <c r="S90" s="97" t="str">
        <f t="array" ref="S90">IF(A90="","", IF( (ROUND(I90,4) &lt; INDEX('Tabela de ingredientes'!$O$1:$V$30, SWITCH(B90, "Gelatos de Leite", 7, "Sorbets", 10, "Gelatos de Leite com Fruta", 13, "Chocolate base água", 16, "Vegano", 19, "Alcoólicos", 22, "Zero", 25, "Gelatos Proteicos", 28, 7), 1)) + (ROUND(I90,4) &gt; INDEX('Tabela de ingredientes'!$O$1:$V$30, SWITCH(B90, "Gelatos de Leite", 8, "Sorbets", 11, "Gelatos de Leite com Fruta", 14, "Chocolate base água", 17, "Vegano", 20, "Alcoólicos", 23, "Zero", 26, "Gelatos Proteicos", 29, 8), 1)) + (ROUND(J90,4) &lt; INDEX('Tabela de ingredientes'!$O$1:$V$30, SWITCH(B90, "Gelatos de Leite", 7, "Sorbets", 10, "Gelatos de Leite com Fruta", 13, "Chocolate base água", 16, "Vegano", 19, "Alcoólicos", 22, "Zero", 25, "Gelatos Proteicos", 28, 7), 2)) + (ROUND(J90,4) &gt; INDEX('Tabela de ingredientes'!$O$1:$V$30, SWITCH(B90, "Gelatos de Leite", 8, "Sorbets", 11, "Gelatos de Leite com Fruta", 14, "Chocolate base água", 17, "Vegano", 20, "Alcoólicos", 23, "Zero", 26, "Gelatos Proteicos", 29, 8), 2)) + (ROUND(K90,4) &lt; INDEX('Tabela de ingredientes'!$O$1:$V$30, SWITCH(B90, "Gelatos de Leite", 7, "Sorbets", 10, "Gelatos de Leite com Fruta", 13, "Chocolate base água", 16, "Vegano", 19, "Alcoólicos", 22, "Zero", 25, "Gelatos Proteicos", 28, 7), 3)) + (ROUND(K90,4) &gt; INDEX('Tabela de ingredientes'!$O$1:$V$30, SWITCH(B90, "Gelatos de Leite", 8, "Sorbets", 11, "Gelatos de Leite com Fruta", 14, "Chocolate base água", 17, "Vegano", 20, "Alcoólicos", 23, "Zero", 26, "Gelatos Proteicos", 29, 8), 3)) + (ROUND(L90,4) &lt; INDEX('Tabela de ingredientes'!$O$1:$V$30, SWITCH(B90, "Gelatos de Leite", 7, "Sorbets", 10, "Gelatos de Leite com Fruta", 13, "Chocolate base água", 16, "Vegano", 19, "Alcoólicos", 22, "Zero", 25, "Gelatos Proteicos", 28, 7), 4)) + (ROUND(L90,4) &gt; INDEX('Tabela de ingredientes'!$O$1:$V$30, SWITCH(B90, "Gelatos de Leite", 8, "Sorbets", 11, "Gelatos de Leite com Fruta", 14, "Chocolate base água", 17, "Vegano", 20, "Alcoólicos", 23, "Zero", 26, "Gelatos Proteicos", 29, 8), 4)) + (ROUND(M90,4) &lt; INDEX('Tabela de ingredientes'!$O$1:$V$30, SWITCH(B90, "Gelatos de Leite", 7, "Sorbets", 10, "Gelatos de Leite com Fruta", 13, "Chocolate base água", 16, "Vegano", 19, "Alcoólicos", 22, "Zero", 25, "Gelatos Proteicos", 28, 7), 5)) + (ROUND(M90,4) &gt; INDEX('Tabela de ingredientes'!$O$1:$V$30, SWITCH(B90, "Gelatos de Leite", 8, "Sorbets", 11, "Gelatos de Leite com Fruta", 14, "Chocolate base água", 17, "Vegano", 20, "Alcoólicos", 23, "Zero", 26, "Gelatos Proteicos", 29, 8), 5)) + (ROUND(N90,4) &lt; INDEX('Tabela de ingredientes'!$O$1:$V$30, SWITCH(B90, "Gelatos de Leite", 7, "Sorbets", 10, "Gelatos de Leite com Fruta", 13, "Chocolate base água", 16, "Vegano", 19, "Alcoólicos", 22, "Zero", 25, "Gelatos Proteicos", 28, 7), 6)) + (ROUND(N90,4) &gt; INDEX('Tabela de ingredientes'!$O$1:$V$30, SWITCH(B90, "Gelatos de Leite", 8, "Sorbets", 11, "Gelatos de Leite com Fruta", 14, "Chocolate base água", 17, "Vegano", 20, "Alcoólicos", 23, "Zero", 26, "Gelatos Proteicos", 29, 8), 6)) + (ROUND(O90,4) &lt; INDEX('Tabela de ingredientes'!$O$1:$V$30, SWITCH(B90, "Gelatos de Leite", 7, "Sorbets", 10, "Gelatos de Leite com Fruta", 13, "Chocolate base água", 16, "Vegano", 19, "Alcoólicos", 22, "Zero", 25, "Gelatos Proteicos", 28, 7), 7)) + (ROUND(O90,4) &gt; INDEX('Tabela de ingredientes'!$O$1:$V$30, SWITCH(B90, "Gelatos de Leite", 8, "Sorbets", 11, "Gelatos de Leite com Fruta", 14, "Chocolate base água", 17, "Vegano", 20, "Alcoólicos", 23, "Zero", 26, "Gelatos Proteicos", 29, 8), 7)) + (ROUND(P90,4) &lt; INDEX('Tabela de ingredientes'!$O$1:$V$30, SWITCH(B90, "Gelatos de Leite", 7, "Sorbets", 10, "Gelatos de Leite com Fruta", 13, "Chocolate base água", 16, "Vegano", 19, "Alcoólicos", 22, "Zero", 25, "Gelatos Proteicos", 28, 7), 8)) + (ROUND(P90,4) &gt; INDEX('Tabela de ingredientes'!$O$1:$V$30, SWITCH(B90, "Gelatos de Leite", 8, "Sorbets", 11, "Gelatos de Leite com Fruta", 14, "Chocolate base água", 17, "Vegano", 20, "Alcoólicos", 23, "Zero", 26, "Gelatos Proteicos", 29, 8), 8)) + IF(B90="Gelatos Proteicos", (ROUND(Q90,4)&lt;'Tabela de ingredientes'!$W$28)+(ROUND(Q90,4)&gt;'Tabela de ingredientes'!$W$29), 0) = 0, "Ok", "Revisar"))</f>
        <v>Ok</v>
      </c>
    </row>
    <row r="91">
      <c r="A91" s="39" t="str">
        <f>IFERROR(__xludf.DUMMYFUNCTION("""COMPUTED_VALUE"""),"Sorbet de Mexerica (Direto ao Ponto)")</f>
        <v>Sorbet de Mexerica (Direto ao Ponto)</v>
      </c>
      <c r="B91" s="39" t="s">
        <v>86</v>
      </c>
      <c r="C91" s="39">
        <v>8.0</v>
      </c>
      <c r="D91" s="39">
        <v>1000.0</v>
      </c>
      <c r="E91" s="39" t="s">
        <v>171</v>
      </c>
      <c r="F91" s="69">
        <v>7.01</v>
      </c>
      <c r="G91" s="69">
        <v>0.4206</v>
      </c>
      <c r="H91" s="69">
        <v>28.153973509933778</v>
      </c>
      <c r="I91" s="59">
        <v>0.25370000000000004</v>
      </c>
      <c r="J91" s="59">
        <v>0.0</v>
      </c>
      <c r="K91" s="59">
        <v>0.0</v>
      </c>
      <c r="L91" s="59">
        <v>0.053649999999999996</v>
      </c>
      <c r="M91" s="59">
        <v>0.30735</v>
      </c>
      <c r="N91" s="59">
        <v>0.69265</v>
      </c>
      <c r="O91" s="39">
        <v>235.75</v>
      </c>
      <c r="P91" s="39">
        <v>312.48</v>
      </c>
      <c r="Q91" s="59">
        <v>0.006</v>
      </c>
      <c r="R91" s="39">
        <v>12.4992</v>
      </c>
      <c r="S91" s="97" t="str">
        <f t="array" ref="S91">IF(A91="","", IF( (ROUND(I91,4) &lt; INDEX('Tabela de ingredientes'!$O$1:$V$30, SWITCH(B91, "Gelatos de Leite", 7, "Sorbets", 10, "Gelatos de Leite com Fruta", 13, "Chocolate base água", 16, "Vegano", 19, "Alcoólicos", 22, "Zero", 25, "Gelatos Proteicos", 28, 7), 1)) + (ROUND(I91,4) &gt; INDEX('Tabela de ingredientes'!$O$1:$V$30, SWITCH(B91, "Gelatos de Leite", 8, "Sorbets", 11, "Gelatos de Leite com Fruta", 14, "Chocolate base água", 17, "Vegano", 20, "Alcoólicos", 23, "Zero", 26, "Gelatos Proteicos", 29, 8), 1)) + (ROUND(J91,4) &lt; INDEX('Tabela de ingredientes'!$O$1:$V$30, SWITCH(B91, "Gelatos de Leite", 7, "Sorbets", 10, "Gelatos de Leite com Fruta", 13, "Chocolate base água", 16, "Vegano", 19, "Alcoólicos", 22, "Zero", 25, "Gelatos Proteicos", 28, 7), 2)) + (ROUND(J91,4) &gt; INDEX('Tabela de ingredientes'!$O$1:$V$30, SWITCH(B91, "Gelatos de Leite", 8, "Sorbets", 11, "Gelatos de Leite com Fruta", 14, "Chocolate base água", 17, "Vegano", 20, "Alcoólicos", 23, "Zero", 26, "Gelatos Proteicos", 29, 8), 2)) + (ROUND(K91,4) &lt; INDEX('Tabela de ingredientes'!$O$1:$V$30, SWITCH(B91, "Gelatos de Leite", 7, "Sorbets", 10, "Gelatos de Leite com Fruta", 13, "Chocolate base água", 16, "Vegano", 19, "Alcoólicos", 22, "Zero", 25, "Gelatos Proteicos", 28, 7), 3)) + (ROUND(K91,4) &gt; INDEX('Tabela de ingredientes'!$O$1:$V$30, SWITCH(B91, "Gelatos de Leite", 8, "Sorbets", 11, "Gelatos de Leite com Fruta", 14, "Chocolate base água", 17, "Vegano", 20, "Alcoólicos", 23, "Zero", 26, "Gelatos Proteicos", 29, 8), 3)) + (ROUND(L91,4) &lt; INDEX('Tabela de ingredientes'!$O$1:$V$30, SWITCH(B91, "Gelatos de Leite", 7, "Sorbets", 10, "Gelatos de Leite com Fruta", 13, "Chocolate base água", 16, "Vegano", 19, "Alcoólicos", 22, "Zero", 25, "Gelatos Proteicos", 28, 7), 4)) + (ROUND(L91,4) &gt; INDEX('Tabela de ingredientes'!$O$1:$V$30, SWITCH(B91, "Gelatos de Leite", 8, "Sorbets", 11, "Gelatos de Leite com Fruta", 14, "Chocolate base água", 17, "Vegano", 20, "Alcoólicos", 23, "Zero", 26, "Gelatos Proteicos", 29, 8), 4)) + (ROUND(M91,4) &lt; INDEX('Tabela de ingredientes'!$O$1:$V$30, SWITCH(B91, "Gelatos de Leite", 7, "Sorbets", 10, "Gelatos de Leite com Fruta", 13, "Chocolate base água", 16, "Vegano", 19, "Alcoólicos", 22, "Zero", 25, "Gelatos Proteicos", 28, 7), 5)) + (ROUND(M91,4) &gt; INDEX('Tabela de ingredientes'!$O$1:$V$30, SWITCH(B91, "Gelatos de Leite", 8, "Sorbets", 11, "Gelatos de Leite com Fruta", 14, "Chocolate base água", 17, "Vegano", 20, "Alcoólicos", 23, "Zero", 26, "Gelatos Proteicos", 29, 8), 5)) + (ROUND(N91,4) &lt; INDEX('Tabela de ingredientes'!$O$1:$V$30, SWITCH(B91, "Gelatos de Leite", 7, "Sorbets", 10, "Gelatos de Leite com Fruta", 13, "Chocolate base água", 16, "Vegano", 19, "Alcoólicos", 22, "Zero", 25, "Gelatos Proteicos", 28, 7), 6)) + (ROUND(N91,4) &gt; INDEX('Tabela de ingredientes'!$O$1:$V$30, SWITCH(B91, "Gelatos de Leite", 8, "Sorbets", 11, "Gelatos de Leite com Fruta", 14, "Chocolate base água", 17, "Vegano", 20, "Alcoólicos", 23, "Zero", 26, "Gelatos Proteicos", 29, 8), 6)) + (ROUND(O91,4) &lt; INDEX('Tabela de ingredientes'!$O$1:$V$30, SWITCH(B91, "Gelatos de Leite", 7, "Sorbets", 10, "Gelatos de Leite com Fruta", 13, "Chocolate base água", 16, "Vegano", 19, "Alcoólicos", 22, "Zero", 25, "Gelatos Proteicos", 28, 7), 7)) + (ROUND(O91,4) &gt; INDEX('Tabela de ingredientes'!$O$1:$V$30, SWITCH(B91, "Gelatos de Leite", 8, "Sorbets", 11, "Gelatos de Leite com Fruta", 14, "Chocolate base água", 17, "Vegano", 20, "Alcoólicos", 23, "Zero", 26, "Gelatos Proteicos", 29, 8), 7)) + (ROUND(P91,4) &lt; INDEX('Tabela de ingredientes'!$O$1:$V$30, SWITCH(B91, "Gelatos de Leite", 7, "Sorbets", 10, "Gelatos de Leite com Fruta", 13, "Chocolate base água", 16, "Vegano", 19, "Alcoólicos", 22, "Zero", 25, "Gelatos Proteicos", 28, 7), 8)) + (ROUND(P91,4) &gt; INDEX('Tabela de ingredientes'!$O$1:$V$30, SWITCH(B91, "Gelatos de Leite", 8, "Sorbets", 11, "Gelatos de Leite com Fruta", 14, "Chocolate base água", 17, "Vegano", 20, "Alcoólicos", 23, "Zero", 26, "Gelatos Proteicos", 29, 8), 8)) + IF(B91="Gelatos Proteicos", (ROUND(Q91,4)&lt;'Tabela de ingredientes'!$W$28)+(ROUND(Q91,4)&gt;'Tabela de ingredientes'!$W$29), 0) = 0, "Ok", "Revisar"))</f>
        <v>Ok</v>
      </c>
    </row>
    <row r="92">
      <c r="A92" s="39" t="str">
        <f>IFERROR(__xludf.DUMMYFUNCTION("""COMPUTED_VALUE"""),"Sorbet de Açaí (Direto ao Ponto)")</f>
        <v>Sorbet de Açaí (Direto ao Ponto)</v>
      </c>
      <c r="B92" s="39" t="s">
        <v>86</v>
      </c>
      <c r="C92" s="39">
        <v>8.0</v>
      </c>
      <c r="D92" s="39">
        <v>1000.0</v>
      </c>
      <c r="E92" s="39" t="s">
        <v>171</v>
      </c>
      <c r="F92" s="69">
        <v>28.195</v>
      </c>
      <c r="G92" s="69">
        <v>1.6917</v>
      </c>
      <c r="H92" s="69">
        <v>45.691225165562926</v>
      </c>
      <c r="I92" s="59">
        <v>0.2363</v>
      </c>
      <c r="J92" s="59">
        <v>0.03780000000000001</v>
      </c>
      <c r="K92" s="59">
        <v>0.0</v>
      </c>
      <c r="L92" s="59">
        <v>0.0465</v>
      </c>
      <c r="M92" s="59">
        <v>0.3206</v>
      </c>
      <c r="N92" s="59">
        <v>0.6794</v>
      </c>
      <c r="O92" s="39">
        <v>210.67000000000002</v>
      </c>
      <c r="P92" s="39">
        <v>289.52</v>
      </c>
      <c r="Q92" s="59">
        <v>0.00486</v>
      </c>
      <c r="R92" s="39">
        <v>11.5808</v>
      </c>
      <c r="S92" s="97" t="str">
        <f t="array" ref="S92">IF(A92="","", IF( (ROUND(I92,4) &lt; INDEX('Tabela de ingredientes'!$O$1:$V$30, SWITCH(B92, "Gelatos de Leite", 7, "Sorbets", 10, "Gelatos de Leite com Fruta", 13, "Chocolate base água", 16, "Vegano", 19, "Alcoólicos", 22, "Zero", 25, "Gelatos Proteicos", 28, 7), 1)) + (ROUND(I92,4) &gt; INDEX('Tabela de ingredientes'!$O$1:$V$30, SWITCH(B92, "Gelatos de Leite", 8, "Sorbets", 11, "Gelatos de Leite com Fruta", 14, "Chocolate base água", 17, "Vegano", 20, "Alcoólicos", 23, "Zero", 26, "Gelatos Proteicos", 29, 8), 1)) + (ROUND(J92,4) &lt; INDEX('Tabela de ingredientes'!$O$1:$V$30, SWITCH(B92, "Gelatos de Leite", 7, "Sorbets", 10, "Gelatos de Leite com Fruta", 13, "Chocolate base água", 16, "Vegano", 19, "Alcoólicos", 22, "Zero", 25, "Gelatos Proteicos", 28, 7), 2)) + (ROUND(J92,4) &gt; INDEX('Tabela de ingredientes'!$O$1:$V$30, SWITCH(B92, "Gelatos de Leite", 8, "Sorbets", 11, "Gelatos de Leite com Fruta", 14, "Chocolate base água", 17, "Vegano", 20, "Alcoólicos", 23, "Zero", 26, "Gelatos Proteicos", 29, 8), 2)) + (ROUND(K92,4) &lt; INDEX('Tabela de ingredientes'!$O$1:$V$30, SWITCH(B92, "Gelatos de Leite", 7, "Sorbets", 10, "Gelatos de Leite com Fruta", 13, "Chocolate base água", 16, "Vegano", 19, "Alcoólicos", 22, "Zero", 25, "Gelatos Proteicos", 28, 7), 3)) + (ROUND(K92,4) &gt; INDEX('Tabela de ingredientes'!$O$1:$V$30, SWITCH(B92, "Gelatos de Leite", 8, "Sorbets", 11, "Gelatos de Leite com Fruta", 14, "Chocolate base água", 17, "Vegano", 20, "Alcoólicos", 23, "Zero", 26, "Gelatos Proteicos", 29, 8), 3)) + (ROUND(L92,4) &lt; INDEX('Tabela de ingredientes'!$O$1:$V$30, SWITCH(B92, "Gelatos de Leite", 7, "Sorbets", 10, "Gelatos de Leite com Fruta", 13, "Chocolate base água", 16, "Vegano", 19, "Alcoólicos", 22, "Zero", 25, "Gelatos Proteicos", 28, 7), 4)) + (ROUND(L92,4) &gt; INDEX('Tabela de ingredientes'!$O$1:$V$30, SWITCH(B92, "Gelatos de Leite", 8, "Sorbets", 11, "Gelatos de Leite com Fruta", 14, "Chocolate base água", 17, "Vegano", 20, "Alcoólicos", 23, "Zero", 26, "Gelatos Proteicos", 29, 8), 4)) + (ROUND(M92,4) &lt; INDEX('Tabela de ingredientes'!$O$1:$V$30, SWITCH(B92, "Gelatos de Leite", 7, "Sorbets", 10, "Gelatos de Leite com Fruta", 13, "Chocolate base água", 16, "Vegano", 19, "Alcoólicos", 22, "Zero", 25, "Gelatos Proteicos", 28, 7), 5)) + (ROUND(M92,4) &gt; INDEX('Tabela de ingredientes'!$O$1:$V$30, SWITCH(B92, "Gelatos de Leite", 8, "Sorbets", 11, "Gelatos de Leite com Fruta", 14, "Chocolate base água", 17, "Vegano", 20, "Alcoólicos", 23, "Zero", 26, "Gelatos Proteicos", 29, 8), 5)) + (ROUND(N92,4) &lt; INDEX('Tabela de ingredientes'!$O$1:$V$30, SWITCH(B92, "Gelatos de Leite", 7, "Sorbets", 10, "Gelatos de Leite com Fruta", 13, "Chocolate base água", 16, "Vegano", 19, "Alcoólicos", 22, "Zero", 25, "Gelatos Proteicos", 28, 7), 6)) + (ROUND(N92,4) &gt; INDEX('Tabela de ingredientes'!$O$1:$V$30, SWITCH(B92, "Gelatos de Leite", 8, "Sorbets", 11, "Gelatos de Leite com Fruta", 14, "Chocolate base água", 17, "Vegano", 20, "Alcoólicos", 23, "Zero", 26, "Gelatos Proteicos", 29, 8), 6)) + (ROUND(O92,4) &lt; INDEX('Tabela de ingredientes'!$O$1:$V$30, SWITCH(B92, "Gelatos de Leite", 7, "Sorbets", 10, "Gelatos de Leite com Fruta", 13, "Chocolate base água", 16, "Vegano", 19, "Alcoólicos", 22, "Zero", 25, "Gelatos Proteicos", 28, 7), 7)) + (ROUND(O92,4) &gt; INDEX('Tabela de ingredientes'!$O$1:$V$30, SWITCH(B92, "Gelatos de Leite", 8, "Sorbets", 11, "Gelatos de Leite com Fruta", 14, "Chocolate base água", 17, "Vegano", 20, "Alcoólicos", 23, "Zero", 26, "Gelatos Proteicos", 29, 8), 7)) + (ROUND(P92,4) &lt; INDEX('Tabela de ingredientes'!$O$1:$V$30, SWITCH(B92, "Gelatos de Leite", 7, "Sorbets", 10, "Gelatos de Leite com Fruta", 13, "Chocolate base água", 16, "Vegano", 19, "Alcoólicos", 22, "Zero", 25, "Gelatos Proteicos", 28, 7), 8)) + (ROUND(P92,4) &gt; INDEX('Tabela de ingredientes'!$O$1:$V$30, SWITCH(B92, "Gelatos de Leite", 8, "Sorbets", 11, "Gelatos de Leite com Fruta", 14, "Chocolate base água", 17, "Vegano", 20, "Alcoólicos", 23, "Zero", 26, "Gelatos Proteicos", 29, 8), 8)) + IF(B92="Gelatos Proteicos", (ROUND(Q92,4)&lt;'Tabela de ingredientes'!$W$28)+(ROUND(Q92,4)&gt;'Tabela de ingredientes'!$W$29), 0) = 0, "Ok", "Revisar"))</f>
        <v>Revisar</v>
      </c>
    </row>
    <row r="93">
      <c r="A93" s="39" t="str">
        <f>IFERROR(__xludf.DUMMYFUNCTION("""COMPUTED_VALUE"""),"Sorbet de Açaí com Banana (Direto ao Ponto)")</f>
        <v>Sorbet de Açaí com Banana (Direto ao Ponto)</v>
      </c>
      <c r="B93" s="39" t="s">
        <v>86</v>
      </c>
      <c r="C93" s="39">
        <v>9.0</v>
      </c>
      <c r="D93" s="39">
        <v>1150.0</v>
      </c>
      <c r="E93" s="39" t="s">
        <v>601</v>
      </c>
      <c r="F93" s="69">
        <v>26.55217391304348</v>
      </c>
      <c r="G93" s="69">
        <v>1.5931304347826087</v>
      </c>
      <c r="H93" s="69">
        <v>44.3312697955658</v>
      </c>
      <c r="I93" s="59">
        <v>0.2153913043478261</v>
      </c>
      <c r="J93" s="59">
        <v>0.036521739130434785</v>
      </c>
      <c r="K93" s="59">
        <v>0.0</v>
      </c>
      <c r="L93" s="59">
        <v>0.05165217391304348</v>
      </c>
      <c r="M93" s="59">
        <v>0.3035652173913044</v>
      </c>
      <c r="N93" s="59">
        <v>0.6964347826086956</v>
      </c>
      <c r="O93" s="39">
        <v>197.43478260869566</v>
      </c>
      <c r="P93" s="39">
        <v>272.6782608695653</v>
      </c>
      <c r="Q93" s="59">
        <v>0.005999999999999999</v>
      </c>
      <c r="R93" s="39">
        <v>10.907130434782612</v>
      </c>
      <c r="S93" s="97" t="str">
        <f t="array" ref="S93">IF(A93="","", IF( (ROUND(I93,4) &lt; INDEX('Tabela de ingredientes'!$O$1:$V$30, SWITCH(B93, "Gelatos de Leite", 7, "Sorbets", 10, "Gelatos de Leite com Fruta", 13, "Chocolate base água", 16, "Vegano", 19, "Alcoólicos", 22, "Zero", 25, "Gelatos Proteicos", 28, 7), 1)) + (ROUND(I93,4) &gt; INDEX('Tabela de ingredientes'!$O$1:$V$30, SWITCH(B93, "Gelatos de Leite", 8, "Sorbets", 11, "Gelatos de Leite com Fruta", 14, "Chocolate base água", 17, "Vegano", 20, "Alcoólicos", 23, "Zero", 26, "Gelatos Proteicos", 29, 8), 1)) + (ROUND(J93,4) &lt; INDEX('Tabela de ingredientes'!$O$1:$V$30, SWITCH(B93, "Gelatos de Leite", 7, "Sorbets", 10, "Gelatos de Leite com Fruta", 13, "Chocolate base água", 16, "Vegano", 19, "Alcoólicos", 22, "Zero", 25, "Gelatos Proteicos", 28, 7), 2)) + (ROUND(J93,4) &gt; INDEX('Tabela de ingredientes'!$O$1:$V$30, SWITCH(B93, "Gelatos de Leite", 8, "Sorbets", 11, "Gelatos de Leite com Fruta", 14, "Chocolate base água", 17, "Vegano", 20, "Alcoólicos", 23, "Zero", 26, "Gelatos Proteicos", 29, 8), 2)) + (ROUND(K93,4) &lt; INDEX('Tabela de ingredientes'!$O$1:$V$30, SWITCH(B93, "Gelatos de Leite", 7, "Sorbets", 10, "Gelatos de Leite com Fruta", 13, "Chocolate base água", 16, "Vegano", 19, "Alcoólicos", 22, "Zero", 25, "Gelatos Proteicos", 28, 7), 3)) + (ROUND(K93,4) &gt; INDEX('Tabela de ingredientes'!$O$1:$V$30, SWITCH(B93, "Gelatos de Leite", 8, "Sorbets", 11, "Gelatos de Leite com Fruta", 14, "Chocolate base água", 17, "Vegano", 20, "Alcoólicos", 23, "Zero", 26, "Gelatos Proteicos", 29, 8), 3)) + (ROUND(L93,4) &lt; INDEX('Tabela de ingredientes'!$O$1:$V$30, SWITCH(B93, "Gelatos de Leite", 7, "Sorbets", 10, "Gelatos de Leite com Fruta", 13, "Chocolate base água", 16, "Vegano", 19, "Alcoólicos", 22, "Zero", 25, "Gelatos Proteicos", 28, 7), 4)) + (ROUND(L93,4) &gt; INDEX('Tabela de ingredientes'!$O$1:$V$30, SWITCH(B93, "Gelatos de Leite", 8, "Sorbets", 11, "Gelatos de Leite com Fruta", 14, "Chocolate base água", 17, "Vegano", 20, "Alcoólicos", 23, "Zero", 26, "Gelatos Proteicos", 29, 8), 4)) + (ROUND(M93,4) &lt; INDEX('Tabela de ingredientes'!$O$1:$V$30, SWITCH(B93, "Gelatos de Leite", 7, "Sorbets", 10, "Gelatos de Leite com Fruta", 13, "Chocolate base água", 16, "Vegano", 19, "Alcoólicos", 22, "Zero", 25, "Gelatos Proteicos", 28, 7), 5)) + (ROUND(M93,4) &gt; INDEX('Tabela de ingredientes'!$O$1:$V$30, SWITCH(B93, "Gelatos de Leite", 8, "Sorbets", 11, "Gelatos de Leite com Fruta", 14, "Chocolate base água", 17, "Vegano", 20, "Alcoólicos", 23, "Zero", 26, "Gelatos Proteicos", 29, 8), 5)) + (ROUND(N93,4) &lt; INDEX('Tabela de ingredientes'!$O$1:$V$30, SWITCH(B93, "Gelatos de Leite", 7, "Sorbets", 10, "Gelatos de Leite com Fruta", 13, "Chocolate base água", 16, "Vegano", 19, "Alcoólicos", 22, "Zero", 25, "Gelatos Proteicos", 28, 7), 6)) + (ROUND(N93,4) &gt; INDEX('Tabela de ingredientes'!$O$1:$V$30, SWITCH(B93, "Gelatos de Leite", 8, "Sorbets", 11, "Gelatos de Leite com Fruta", 14, "Chocolate base água", 17, "Vegano", 20, "Alcoólicos", 23, "Zero", 26, "Gelatos Proteicos", 29, 8), 6)) + (ROUND(O93,4) &lt; INDEX('Tabela de ingredientes'!$O$1:$V$30, SWITCH(B93, "Gelatos de Leite", 7, "Sorbets", 10, "Gelatos de Leite com Fruta", 13, "Chocolate base água", 16, "Vegano", 19, "Alcoólicos", 22, "Zero", 25, "Gelatos Proteicos", 28, 7), 7)) + (ROUND(O93,4) &gt; INDEX('Tabela de ingredientes'!$O$1:$V$30, SWITCH(B93, "Gelatos de Leite", 8, "Sorbets", 11, "Gelatos de Leite com Fruta", 14, "Chocolate base água", 17, "Vegano", 20, "Alcoólicos", 23, "Zero", 26, "Gelatos Proteicos", 29, 8), 7)) + (ROUND(P93,4) &lt; INDEX('Tabela de ingredientes'!$O$1:$V$30, SWITCH(B93, "Gelatos de Leite", 7, "Sorbets", 10, "Gelatos de Leite com Fruta", 13, "Chocolate base água", 16, "Vegano", 19, "Alcoólicos", 22, "Zero", 25, "Gelatos Proteicos", 28, 7), 8)) + (ROUND(P93,4) &gt; INDEX('Tabela de ingredientes'!$O$1:$V$30, SWITCH(B93, "Gelatos de Leite", 8, "Sorbets", 11, "Gelatos de Leite com Fruta", 14, "Chocolate base água", 17, "Vegano", 20, "Alcoólicos", 23, "Zero", 26, "Gelatos Proteicos", 29, 8), 8)) + IF(B93="Gelatos Proteicos", (ROUND(Q93,4)&lt;'Tabela de ingredientes'!$W$28)+(ROUND(Q93,4)&gt;'Tabela de ingredientes'!$W$29), 0) = 0, "Ok", "Revisar"))</f>
        <v>Revisar</v>
      </c>
    </row>
    <row r="94">
      <c r="A94" s="39" t="str">
        <f>IFERROR(__xludf.DUMMYFUNCTION("""COMPUTED_VALUE"""),"Sorbet Mix de Frutas Vermelhas (Addolcire)")</f>
        <v>Sorbet Mix de Frutas Vermelhas (Addolcire)</v>
      </c>
      <c r="B94" s="39" t="s">
        <v>86</v>
      </c>
      <c r="C94" s="39">
        <v>8.0</v>
      </c>
      <c r="D94" s="39">
        <v>1000.0</v>
      </c>
      <c r="E94" s="39" t="s">
        <v>171</v>
      </c>
      <c r="F94" s="69">
        <v>15.514</v>
      </c>
      <c r="G94" s="69">
        <v>0.9308399999999999</v>
      </c>
      <c r="H94" s="69">
        <v>35.193708609271525</v>
      </c>
      <c r="I94" s="59">
        <v>0.27344</v>
      </c>
      <c r="J94" s="59">
        <v>0.0015</v>
      </c>
      <c r="K94" s="59">
        <v>0.0</v>
      </c>
      <c r="L94" s="59">
        <v>0.0355</v>
      </c>
      <c r="M94" s="59">
        <v>0.31044</v>
      </c>
      <c r="N94" s="59">
        <v>0.68956</v>
      </c>
      <c r="O94" s="39">
        <v>242.88</v>
      </c>
      <c r="P94" s="39">
        <v>307.8</v>
      </c>
      <c r="Q94" s="59">
        <v>0.005</v>
      </c>
      <c r="R94" s="39">
        <v>12.312000000000001</v>
      </c>
      <c r="S94" s="97" t="str">
        <f t="array" ref="S94">IF(A94="","", IF( (ROUND(I94,4) &lt; INDEX('Tabela de ingredientes'!$O$1:$V$30, SWITCH(B94, "Gelatos de Leite", 7, "Sorbets", 10, "Gelatos de Leite com Fruta", 13, "Chocolate base água", 16, "Vegano", 19, "Alcoólicos", 22, "Zero", 25, "Gelatos Proteicos", 28, 7), 1)) + (ROUND(I94,4) &gt; INDEX('Tabela de ingredientes'!$O$1:$V$30, SWITCH(B94, "Gelatos de Leite", 8, "Sorbets", 11, "Gelatos de Leite com Fruta", 14, "Chocolate base água", 17, "Vegano", 20, "Alcoólicos", 23, "Zero", 26, "Gelatos Proteicos", 29, 8), 1)) + (ROUND(J94,4) &lt; INDEX('Tabela de ingredientes'!$O$1:$V$30, SWITCH(B94, "Gelatos de Leite", 7, "Sorbets", 10, "Gelatos de Leite com Fruta", 13, "Chocolate base água", 16, "Vegano", 19, "Alcoólicos", 22, "Zero", 25, "Gelatos Proteicos", 28, 7), 2)) + (ROUND(J94,4) &gt; INDEX('Tabela de ingredientes'!$O$1:$V$30, SWITCH(B94, "Gelatos de Leite", 8, "Sorbets", 11, "Gelatos de Leite com Fruta", 14, "Chocolate base água", 17, "Vegano", 20, "Alcoólicos", 23, "Zero", 26, "Gelatos Proteicos", 29, 8), 2)) + (ROUND(K94,4) &lt; INDEX('Tabela de ingredientes'!$O$1:$V$30, SWITCH(B94, "Gelatos de Leite", 7, "Sorbets", 10, "Gelatos de Leite com Fruta", 13, "Chocolate base água", 16, "Vegano", 19, "Alcoólicos", 22, "Zero", 25, "Gelatos Proteicos", 28, 7), 3)) + (ROUND(K94,4) &gt; INDEX('Tabela de ingredientes'!$O$1:$V$30, SWITCH(B94, "Gelatos de Leite", 8, "Sorbets", 11, "Gelatos de Leite com Fruta", 14, "Chocolate base água", 17, "Vegano", 20, "Alcoólicos", 23, "Zero", 26, "Gelatos Proteicos", 29, 8), 3)) + (ROUND(L94,4) &lt; INDEX('Tabela de ingredientes'!$O$1:$V$30, SWITCH(B94, "Gelatos de Leite", 7, "Sorbets", 10, "Gelatos de Leite com Fruta", 13, "Chocolate base água", 16, "Vegano", 19, "Alcoólicos", 22, "Zero", 25, "Gelatos Proteicos", 28, 7), 4)) + (ROUND(L94,4) &gt; INDEX('Tabela de ingredientes'!$O$1:$V$30, SWITCH(B94, "Gelatos de Leite", 8, "Sorbets", 11, "Gelatos de Leite com Fruta", 14, "Chocolate base água", 17, "Vegano", 20, "Alcoólicos", 23, "Zero", 26, "Gelatos Proteicos", 29, 8), 4)) + (ROUND(M94,4) &lt; INDEX('Tabela de ingredientes'!$O$1:$V$30, SWITCH(B94, "Gelatos de Leite", 7, "Sorbets", 10, "Gelatos de Leite com Fruta", 13, "Chocolate base água", 16, "Vegano", 19, "Alcoólicos", 22, "Zero", 25, "Gelatos Proteicos", 28, 7), 5)) + (ROUND(M94,4) &gt; INDEX('Tabela de ingredientes'!$O$1:$V$30, SWITCH(B94, "Gelatos de Leite", 8, "Sorbets", 11, "Gelatos de Leite com Fruta", 14, "Chocolate base água", 17, "Vegano", 20, "Alcoólicos", 23, "Zero", 26, "Gelatos Proteicos", 29, 8), 5)) + (ROUND(N94,4) &lt; INDEX('Tabela de ingredientes'!$O$1:$V$30, SWITCH(B94, "Gelatos de Leite", 7, "Sorbets", 10, "Gelatos de Leite com Fruta", 13, "Chocolate base água", 16, "Vegano", 19, "Alcoólicos", 22, "Zero", 25, "Gelatos Proteicos", 28, 7), 6)) + (ROUND(N94,4) &gt; INDEX('Tabela de ingredientes'!$O$1:$V$30, SWITCH(B94, "Gelatos de Leite", 8, "Sorbets", 11, "Gelatos de Leite com Fruta", 14, "Chocolate base água", 17, "Vegano", 20, "Alcoólicos", 23, "Zero", 26, "Gelatos Proteicos", 29, 8), 6)) + (ROUND(O94,4) &lt; INDEX('Tabela de ingredientes'!$O$1:$V$30, SWITCH(B94, "Gelatos de Leite", 7, "Sorbets", 10, "Gelatos de Leite com Fruta", 13, "Chocolate base água", 16, "Vegano", 19, "Alcoólicos", 22, "Zero", 25, "Gelatos Proteicos", 28, 7), 7)) + (ROUND(O94,4) &gt; INDEX('Tabela de ingredientes'!$O$1:$V$30, SWITCH(B94, "Gelatos de Leite", 8, "Sorbets", 11, "Gelatos de Leite com Fruta", 14, "Chocolate base água", 17, "Vegano", 20, "Alcoólicos", 23, "Zero", 26, "Gelatos Proteicos", 29, 8), 7)) + (ROUND(P94,4) &lt; INDEX('Tabela de ingredientes'!$O$1:$V$30, SWITCH(B94, "Gelatos de Leite", 7, "Sorbets", 10, "Gelatos de Leite com Fruta", 13, "Chocolate base água", 16, "Vegano", 19, "Alcoólicos", 22, "Zero", 25, "Gelatos Proteicos", 28, 7), 8)) + (ROUND(P94,4) &gt; INDEX('Tabela de ingredientes'!$O$1:$V$30, SWITCH(B94, "Gelatos de Leite", 8, "Sorbets", 11, "Gelatos de Leite com Fruta", 14, "Chocolate base água", 17, "Vegano", 20, "Alcoólicos", 23, "Zero", 26, "Gelatos Proteicos", 29, 8), 8)) + IF(B94="Gelatos Proteicos", (ROUND(Q94,4)&lt;'Tabela de ingredientes'!$W$28)+(ROUND(Q94,4)&gt;'Tabela de ingredientes'!$W$29), 0) = 0, "Ok", "Revisar"))</f>
        <v>Revisar</v>
      </c>
    </row>
    <row r="95">
      <c r="A95" s="39" t="str">
        <f>IFERROR(__xludf.DUMMYFUNCTION("""COMPUTED_VALUE"""),"Sorbet Pink Lemonade (Addolcire)")</f>
        <v>Sorbet Pink Lemonade (Addolcire)</v>
      </c>
      <c r="B95" s="39" t="s">
        <v>86</v>
      </c>
      <c r="C95" s="39">
        <v>9.0</v>
      </c>
      <c r="D95" s="39">
        <v>980.0</v>
      </c>
      <c r="E95" s="39" t="s">
        <v>515</v>
      </c>
      <c r="F95" s="69">
        <v>10.107142857142858</v>
      </c>
      <c r="G95" s="69">
        <v>0.6064285714285714</v>
      </c>
      <c r="H95" s="69">
        <v>30.71783349101231</v>
      </c>
      <c r="I95" s="59">
        <v>0.2764897959183673</v>
      </c>
      <c r="J95" s="59">
        <v>2.0408163265306123E-4</v>
      </c>
      <c r="K95" s="59">
        <v>0.0</v>
      </c>
      <c r="L95" s="59">
        <v>0.04280612244897959</v>
      </c>
      <c r="M95" s="59">
        <v>0.31949999999999995</v>
      </c>
      <c r="N95" s="59">
        <v>0.6805000000000001</v>
      </c>
      <c r="O95" s="39">
        <v>228.6530612244898</v>
      </c>
      <c r="P95" s="39">
        <v>284.40816326530614</v>
      </c>
      <c r="Q95" s="59">
        <v>2.0408163265306123E-4</v>
      </c>
      <c r="R95" s="39">
        <v>11.376326530612246</v>
      </c>
      <c r="S95" s="97" t="str">
        <f t="array" ref="S95">IF(A95="","", IF( (ROUND(I95,4) &lt; INDEX('Tabela de ingredientes'!$O$1:$V$30, SWITCH(B95, "Gelatos de Leite", 7, "Sorbets", 10, "Gelatos de Leite com Fruta", 13, "Chocolate base água", 16, "Vegano", 19, "Alcoólicos", 22, "Zero", 25, "Gelatos Proteicos", 28, 7), 1)) + (ROUND(I95,4) &gt; INDEX('Tabela de ingredientes'!$O$1:$V$30, SWITCH(B95, "Gelatos de Leite", 8, "Sorbets", 11, "Gelatos de Leite com Fruta", 14, "Chocolate base água", 17, "Vegano", 20, "Alcoólicos", 23, "Zero", 26, "Gelatos Proteicos", 29, 8), 1)) + (ROUND(J95,4) &lt; INDEX('Tabela de ingredientes'!$O$1:$V$30, SWITCH(B95, "Gelatos de Leite", 7, "Sorbets", 10, "Gelatos de Leite com Fruta", 13, "Chocolate base água", 16, "Vegano", 19, "Alcoólicos", 22, "Zero", 25, "Gelatos Proteicos", 28, 7), 2)) + (ROUND(J95,4) &gt; INDEX('Tabela de ingredientes'!$O$1:$V$30, SWITCH(B95, "Gelatos de Leite", 8, "Sorbets", 11, "Gelatos de Leite com Fruta", 14, "Chocolate base água", 17, "Vegano", 20, "Alcoólicos", 23, "Zero", 26, "Gelatos Proteicos", 29, 8), 2)) + (ROUND(K95,4) &lt; INDEX('Tabela de ingredientes'!$O$1:$V$30, SWITCH(B95, "Gelatos de Leite", 7, "Sorbets", 10, "Gelatos de Leite com Fruta", 13, "Chocolate base água", 16, "Vegano", 19, "Alcoólicos", 22, "Zero", 25, "Gelatos Proteicos", 28, 7), 3)) + (ROUND(K95,4) &gt; INDEX('Tabela de ingredientes'!$O$1:$V$30, SWITCH(B95, "Gelatos de Leite", 8, "Sorbets", 11, "Gelatos de Leite com Fruta", 14, "Chocolate base água", 17, "Vegano", 20, "Alcoólicos", 23, "Zero", 26, "Gelatos Proteicos", 29, 8), 3)) + (ROUND(L95,4) &lt; INDEX('Tabela de ingredientes'!$O$1:$V$30, SWITCH(B95, "Gelatos de Leite", 7, "Sorbets", 10, "Gelatos de Leite com Fruta", 13, "Chocolate base água", 16, "Vegano", 19, "Alcoólicos", 22, "Zero", 25, "Gelatos Proteicos", 28, 7), 4)) + (ROUND(L95,4) &gt; INDEX('Tabela de ingredientes'!$O$1:$V$30, SWITCH(B95, "Gelatos de Leite", 8, "Sorbets", 11, "Gelatos de Leite com Fruta", 14, "Chocolate base água", 17, "Vegano", 20, "Alcoólicos", 23, "Zero", 26, "Gelatos Proteicos", 29, 8), 4)) + (ROUND(M95,4) &lt; INDEX('Tabela de ingredientes'!$O$1:$V$30, SWITCH(B95, "Gelatos de Leite", 7, "Sorbets", 10, "Gelatos de Leite com Fruta", 13, "Chocolate base água", 16, "Vegano", 19, "Alcoólicos", 22, "Zero", 25, "Gelatos Proteicos", 28, 7), 5)) + (ROUND(M95,4) &gt; INDEX('Tabela de ingredientes'!$O$1:$V$30, SWITCH(B95, "Gelatos de Leite", 8, "Sorbets", 11, "Gelatos de Leite com Fruta", 14, "Chocolate base água", 17, "Vegano", 20, "Alcoólicos", 23, "Zero", 26, "Gelatos Proteicos", 29, 8), 5)) + (ROUND(N95,4) &lt; INDEX('Tabela de ingredientes'!$O$1:$V$30, SWITCH(B95, "Gelatos de Leite", 7, "Sorbets", 10, "Gelatos de Leite com Fruta", 13, "Chocolate base água", 16, "Vegano", 19, "Alcoólicos", 22, "Zero", 25, "Gelatos Proteicos", 28, 7), 6)) + (ROUND(N95,4) &gt; INDEX('Tabela de ingredientes'!$O$1:$V$30, SWITCH(B95, "Gelatos de Leite", 8, "Sorbets", 11, "Gelatos de Leite com Fruta", 14, "Chocolate base água", 17, "Vegano", 20, "Alcoólicos", 23, "Zero", 26, "Gelatos Proteicos", 29, 8), 6)) + (ROUND(O95,4) &lt; INDEX('Tabela de ingredientes'!$O$1:$V$30, SWITCH(B95, "Gelatos de Leite", 7, "Sorbets", 10, "Gelatos de Leite com Fruta", 13, "Chocolate base água", 16, "Vegano", 19, "Alcoólicos", 22, "Zero", 25, "Gelatos Proteicos", 28, 7), 7)) + (ROUND(O95,4) &gt; INDEX('Tabela de ingredientes'!$O$1:$V$30, SWITCH(B95, "Gelatos de Leite", 8, "Sorbets", 11, "Gelatos de Leite com Fruta", 14, "Chocolate base água", 17, "Vegano", 20, "Alcoólicos", 23, "Zero", 26, "Gelatos Proteicos", 29, 8), 7)) + (ROUND(P95,4) &lt; INDEX('Tabela de ingredientes'!$O$1:$V$30, SWITCH(B95, "Gelatos de Leite", 7, "Sorbets", 10, "Gelatos de Leite com Fruta", 13, "Chocolate base água", 16, "Vegano", 19, "Alcoólicos", 22, "Zero", 25, "Gelatos Proteicos", 28, 7), 8)) + (ROUND(P95,4) &gt; INDEX('Tabela de ingredientes'!$O$1:$V$30, SWITCH(B95, "Gelatos de Leite", 8, "Sorbets", 11, "Gelatos de Leite com Fruta", 14, "Chocolate base água", 17, "Vegano", 20, "Alcoólicos", 23, "Zero", 26, "Gelatos Proteicos", 29, 8), 8)) + IF(B95="Gelatos Proteicos", (ROUND(Q95,4)&lt;'Tabela de ingredientes'!$W$28)+(ROUND(Q95,4)&gt;'Tabela de ingredientes'!$W$29), 0) = 0, "Ok", "Revisar"))</f>
        <v>Ok</v>
      </c>
    </row>
    <row r="96">
      <c r="A96" s="39" t="str">
        <f>IFERROR(__xludf.DUMMYFUNCTION("""COMPUTED_VALUE"""),"Sorbet de Abacaxi e Hortelã (Addolcire)")</f>
        <v>Sorbet de Abacaxi e Hortelã (Addolcire)</v>
      </c>
      <c r="B96" s="39" t="s">
        <v>86</v>
      </c>
      <c r="C96" s="39">
        <v>7.0</v>
      </c>
      <c r="D96" s="39">
        <v>1027.0</v>
      </c>
      <c r="E96" s="39" t="s">
        <v>606</v>
      </c>
      <c r="F96" s="69">
        <v>4.031158714703019</v>
      </c>
      <c r="G96" s="69">
        <v>0.24186952288218114</v>
      </c>
      <c r="H96" s="69">
        <v>25.68804529362833</v>
      </c>
      <c r="I96" s="59">
        <v>0.2589230769230769</v>
      </c>
      <c r="J96" s="59">
        <v>0.0</v>
      </c>
      <c r="K96" s="59">
        <v>0.0</v>
      </c>
      <c r="L96" s="59">
        <v>0.025058422590068158</v>
      </c>
      <c r="M96" s="59">
        <v>0.2839814995131451</v>
      </c>
      <c r="N96" s="59">
        <v>0.7160185004868549</v>
      </c>
      <c r="O96" s="39">
        <v>257.8383641674781</v>
      </c>
      <c r="P96" s="39">
        <v>312.56085686465434</v>
      </c>
      <c r="Q96" s="59">
        <v>0.005093476144109055</v>
      </c>
      <c r="R96" s="39">
        <v>12.502434274586173</v>
      </c>
      <c r="S96" s="97" t="str">
        <f t="array" ref="S96">IF(A96="","", IF( (ROUND(I96,4) &lt; INDEX('Tabela de ingredientes'!$O$1:$V$30, SWITCH(B96, "Gelatos de Leite", 7, "Sorbets", 10, "Gelatos de Leite com Fruta", 13, "Chocolate base água", 16, "Vegano", 19, "Alcoólicos", 22, "Zero", 25, "Gelatos Proteicos", 28, 7), 1)) + (ROUND(I96,4) &gt; INDEX('Tabela de ingredientes'!$O$1:$V$30, SWITCH(B96, "Gelatos de Leite", 8, "Sorbets", 11, "Gelatos de Leite com Fruta", 14, "Chocolate base água", 17, "Vegano", 20, "Alcoólicos", 23, "Zero", 26, "Gelatos Proteicos", 29, 8), 1)) + (ROUND(J96,4) &lt; INDEX('Tabela de ingredientes'!$O$1:$V$30, SWITCH(B96, "Gelatos de Leite", 7, "Sorbets", 10, "Gelatos de Leite com Fruta", 13, "Chocolate base água", 16, "Vegano", 19, "Alcoólicos", 22, "Zero", 25, "Gelatos Proteicos", 28, 7), 2)) + (ROUND(J96,4) &gt; INDEX('Tabela de ingredientes'!$O$1:$V$30, SWITCH(B96, "Gelatos de Leite", 8, "Sorbets", 11, "Gelatos de Leite com Fruta", 14, "Chocolate base água", 17, "Vegano", 20, "Alcoólicos", 23, "Zero", 26, "Gelatos Proteicos", 29, 8), 2)) + (ROUND(K96,4) &lt; INDEX('Tabela de ingredientes'!$O$1:$V$30, SWITCH(B96, "Gelatos de Leite", 7, "Sorbets", 10, "Gelatos de Leite com Fruta", 13, "Chocolate base água", 16, "Vegano", 19, "Alcoólicos", 22, "Zero", 25, "Gelatos Proteicos", 28, 7), 3)) + (ROUND(K96,4) &gt; INDEX('Tabela de ingredientes'!$O$1:$V$30, SWITCH(B96, "Gelatos de Leite", 8, "Sorbets", 11, "Gelatos de Leite com Fruta", 14, "Chocolate base água", 17, "Vegano", 20, "Alcoólicos", 23, "Zero", 26, "Gelatos Proteicos", 29, 8), 3)) + (ROUND(L96,4) &lt; INDEX('Tabela de ingredientes'!$O$1:$V$30, SWITCH(B96, "Gelatos de Leite", 7, "Sorbets", 10, "Gelatos de Leite com Fruta", 13, "Chocolate base água", 16, "Vegano", 19, "Alcoólicos", 22, "Zero", 25, "Gelatos Proteicos", 28, 7), 4)) + (ROUND(L96,4) &gt; INDEX('Tabela de ingredientes'!$O$1:$V$30, SWITCH(B96, "Gelatos de Leite", 8, "Sorbets", 11, "Gelatos de Leite com Fruta", 14, "Chocolate base água", 17, "Vegano", 20, "Alcoólicos", 23, "Zero", 26, "Gelatos Proteicos", 29, 8), 4)) + (ROUND(M96,4) &lt; INDEX('Tabela de ingredientes'!$O$1:$V$30, SWITCH(B96, "Gelatos de Leite", 7, "Sorbets", 10, "Gelatos de Leite com Fruta", 13, "Chocolate base água", 16, "Vegano", 19, "Alcoólicos", 22, "Zero", 25, "Gelatos Proteicos", 28, 7), 5)) + (ROUND(M96,4) &gt; INDEX('Tabela de ingredientes'!$O$1:$V$30, SWITCH(B96, "Gelatos de Leite", 8, "Sorbets", 11, "Gelatos de Leite com Fruta", 14, "Chocolate base água", 17, "Vegano", 20, "Alcoólicos", 23, "Zero", 26, "Gelatos Proteicos", 29, 8), 5)) + (ROUND(N96,4) &lt; INDEX('Tabela de ingredientes'!$O$1:$V$30, SWITCH(B96, "Gelatos de Leite", 7, "Sorbets", 10, "Gelatos de Leite com Fruta", 13, "Chocolate base água", 16, "Vegano", 19, "Alcoólicos", 22, "Zero", 25, "Gelatos Proteicos", 28, 7), 6)) + (ROUND(N96,4) &gt; INDEX('Tabela de ingredientes'!$O$1:$V$30, SWITCH(B96, "Gelatos de Leite", 8, "Sorbets", 11, "Gelatos de Leite com Fruta", 14, "Chocolate base água", 17, "Vegano", 20, "Alcoólicos", 23, "Zero", 26, "Gelatos Proteicos", 29, 8), 6)) + (ROUND(O96,4) &lt; INDEX('Tabela de ingredientes'!$O$1:$V$30, SWITCH(B96, "Gelatos de Leite", 7, "Sorbets", 10, "Gelatos de Leite com Fruta", 13, "Chocolate base água", 16, "Vegano", 19, "Alcoólicos", 22, "Zero", 25, "Gelatos Proteicos", 28, 7), 7)) + (ROUND(O96,4) &gt; INDEX('Tabela de ingredientes'!$O$1:$V$30, SWITCH(B96, "Gelatos de Leite", 8, "Sorbets", 11, "Gelatos de Leite com Fruta", 14, "Chocolate base água", 17, "Vegano", 20, "Alcoólicos", 23, "Zero", 26, "Gelatos Proteicos", 29, 8), 7)) + (ROUND(P96,4) &lt; INDEX('Tabela de ingredientes'!$O$1:$V$30, SWITCH(B96, "Gelatos de Leite", 7, "Sorbets", 10, "Gelatos de Leite com Fruta", 13, "Chocolate base água", 16, "Vegano", 19, "Alcoólicos", 22, "Zero", 25, "Gelatos Proteicos", 28, 7), 8)) + (ROUND(P96,4) &gt; INDEX('Tabela de ingredientes'!$O$1:$V$30, SWITCH(B96, "Gelatos de Leite", 8, "Sorbets", 11, "Gelatos de Leite com Fruta", 14, "Chocolate base água", 17, "Vegano", 20, "Alcoólicos", 23, "Zero", 26, "Gelatos Proteicos", 29, 8), 8)) + IF(B96="Gelatos Proteicos", (ROUND(Q96,4)&lt;'Tabela de ingredientes'!$W$28)+(ROUND(Q96,4)&gt;'Tabela de ingredientes'!$W$29), 0) = 0, "Ok", "Revisar"))</f>
        <v>Revisar</v>
      </c>
    </row>
    <row r="97">
      <c r="A97" s="39" t="str">
        <f>IFERROR(__xludf.DUMMYFUNCTION("""COMPUTED_VALUE"""),"Sorbet de Atemoia / Fruta do Conde (Addolcire)")</f>
        <v>Sorbet de Atemoia / Fruta do Conde (Addolcire)</v>
      </c>
      <c r="B97" s="39" t="s">
        <v>86</v>
      </c>
      <c r="C97" s="39">
        <v>7.0</v>
      </c>
      <c r="D97" s="39">
        <v>980.0</v>
      </c>
      <c r="E97" s="39" t="s">
        <v>515</v>
      </c>
      <c r="F97" s="69">
        <v>4.153061224489797</v>
      </c>
      <c r="G97" s="69">
        <v>0.2491836734693878</v>
      </c>
      <c r="H97" s="69">
        <v>25.788957967292884</v>
      </c>
      <c r="I97" s="59">
        <v>0.2766326530612245</v>
      </c>
      <c r="J97" s="59">
        <v>0.001530612244897959</v>
      </c>
      <c r="K97" s="59">
        <v>0.0</v>
      </c>
      <c r="L97" s="59">
        <v>0.023571428571428573</v>
      </c>
      <c r="M97" s="59">
        <v>0.30173469387755103</v>
      </c>
      <c r="N97" s="59">
        <v>0.698265306122449</v>
      </c>
      <c r="O97" s="39">
        <v>250.10204081632656</v>
      </c>
      <c r="P97" s="39">
        <v>297.265306122449</v>
      </c>
      <c r="Q97" s="59">
        <v>0.009693877551020408</v>
      </c>
      <c r="R97" s="39">
        <v>11.890612244897959</v>
      </c>
      <c r="S97" s="97" t="str">
        <f t="array" ref="S97">IF(A97="","", IF( (ROUND(I97,4) &lt; INDEX('Tabela de ingredientes'!$O$1:$V$30, SWITCH(B97, "Gelatos de Leite", 7, "Sorbets", 10, "Gelatos de Leite com Fruta", 13, "Chocolate base água", 16, "Vegano", 19, "Alcoólicos", 22, "Zero", 25, "Gelatos Proteicos", 28, 7), 1)) + (ROUND(I97,4) &gt; INDEX('Tabela de ingredientes'!$O$1:$V$30, SWITCH(B97, "Gelatos de Leite", 8, "Sorbets", 11, "Gelatos de Leite com Fruta", 14, "Chocolate base água", 17, "Vegano", 20, "Alcoólicos", 23, "Zero", 26, "Gelatos Proteicos", 29, 8), 1)) + (ROUND(J97,4) &lt; INDEX('Tabela de ingredientes'!$O$1:$V$30, SWITCH(B97, "Gelatos de Leite", 7, "Sorbets", 10, "Gelatos de Leite com Fruta", 13, "Chocolate base água", 16, "Vegano", 19, "Alcoólicos", 22, "Zero", 25, "Gelatos Proteicos", 28, 7), 2)) + (ROUND(J97,4) &gt; INDEX('Tabela de ingredientes'!$O$1:$V$30, SWITCH(B97, "Gelatos de Leite", 8, "Sorbets", 11, "Gelatos de Leite com Fruta", 14, "Chocolate base água", 17, "Vegano", 20, "Alcoólicos", 23, "Zero", 26, "Gelatos Proteicos", 29, 8), 2)) + (ROUND(K97,4) &lt; INDEX('Tabela de ingredientes'!$O$1:$V$30, SWITCH(B97, "Gelatos de Leite", 7, "Sorbets", 10, "Gelatos de Leite com Fruta", 13, "Chocolate base água", 16, "Vegano", 19, "Alcoólicos", 22, "Zero", 25, "Gelatos Proteicos", 28, 7), 3)) + (ROUND(K97,4) &gt; INDEX('Tabela de ingredientes'!$O$1:$V$30, SWITCH(B97, "Gelatos de Leite", 8, "Sorbets", 11, "Gelatos de Leite com Fruta", 14, "Chocolate base água", 17, "Vegano", 20, "Alcoólicos", 23, "Zero", 26, "Gelatos Proteicos", 29, 8), 3)) + (ROUND(L97,4) &lt; INDEX('Tabela de ingredientes'!$O$1:$V$30, SWITCH(B97, "Gelatos de Leite", 7, "Sorbets", 10, "Gelatos de Leite com Fruta", 13, "Chocolate base água", 16, "Vegano", 19, "Alcoólicos", 22, "Zero", 25, "Gelatos Proteicos", 28, 7), 4)) + (ROUND(L97,4) &gt; INDEX('Tabela de ingredientes'!$O$1:$V$30, SWITCH(B97, "Gelatos de Leite", 8, "Sorbets", 11, "Gelatos de Leite com Fruta", 14, "Chocolate base água", 17, "Vegano", 20, "Alcoólicos", 23, "Zero", 26, "Gelatos Proteicos", 29, 8), 4)) + (ROUND(M97,4) &lt; INDEX('Tabela de ingredientes'!$O$1:$V$30, SWITCH(B97, "Gelatos de Leite", 7, "Sorbets", 10, "Gelatos de Leite com Fruta", 13, "Chocolate base água", 16, "Vegano", 19, "Alcoólicos", 22, "Zero", 25, "Gelatos Proteicos", 28, 7), 5)) + (ROUND(M97,4) &gt; INDEX('Tabela de ingredientes'!$O$1:$V$30, SWITCH(B97, "Gelatos de Leite", 8, "Sorbets", 11, "Gelatos de Leite com Fruta", 14, "Chocolate base água", 17, "Vegano", 20, "Alcoólicos", 23, "Zero", 26, "Gelatos Proteicos", 29, 8), 5)) + (ROUND(N97,4) &lt; INDEX('Tabela de ingredientes'!$O$1:$V$30, SWITCH(B97, "Gelatos de Leite", 7, "Sorbets", 10, "Gelatos de Leite com Fruta", 13, "Chocolate base água", 16, "Vegano", 19, "Alcoólicos", 22, "Zero", 25, "Gelatos Proteicos", 28, 7), 6)) + (ROUND(N97,4) &gt; INDEX('Tabela de ingredientes'!$O$1:$V$30, SWITCH(B97, "Gelatos de Leite", 8, "Sorbets", 11, "Gelatos de Leite com Fruta", 14, "Chocolate base água", 17, "Vegano", 20, "Alcoólicos", 23, "Zero", 26, "Gelatos Proteicos", 29, 8), 6)) + (ROUND(O97,4) &lt; INDEX('Tabela de ingredientes'!$O$1:$V$30, SWITCH(B97, "Gelatos de Leite", 7, "Sorbets", 10, "Gelatos de Leite com Fruta", 13, "Chocolate base água", 16, "Vegano", 19, "Alcoólicos", 22, "Zero", 25, "Gelatos Proteicos", 28, 7), 7)) + (ROUND(O97,4) &gt; INDEX('Tabela de ingredientes'!$O$1:$V$30, SWITCH(B97, "Gelatos de Leite", 8, "Sorbets", 11, "Gelatos de Leite com Fruta", 14, "Chocolate base água", 17, "Vegano", 20, "Alcoólicos", 23, "Zero", 26, "Gelatos Proteicos", 29, 8), 7)) + (ROUND(P97,4) &lt; INDEX('Tabela de ingredientes'!$O$1:$V$30, SWITCH(B97, "Gelatos de Leite", 7, "Sorbets", 10, "Gelatos de Leite com Fruta", 13, "Chocolate base água", 16, "Vegano", 19, "Alcoólicos", 22, "Zero", 25, "Gelatos Proteicos", 28, 7), 8)) + (ROUND(P97,4) &gt; INDEX('Tabela de ingredientes'!$O$1:$V$30, SWITCH(B97, "Gelatos de Leite", 8, "Sorbets", 11, "Gelatos de Leite com Fruta", 14, "Chocolate base água", 17, "Vegano", 20, "Alcoólicos", 23, "Zero", 26, "Gelatos Proteicos", 29, 8), 8)) + IF(B97="Gelatos Proteicos", (ROUND(Q97,4)&lt;'Tabela de ingredientes'!$W$28)+(ROUND(Q97,4)&gt;'Tabela de ingredientes'!$W$29), 0) = 0, "Ok", "Revisar"))</f>
        <v>Revisar</v>
      </c>
    </row>
    <row r="98">
      <c r="A98" s="39" t="str">
        <f>IFERROR(__xludf.DUMMYFUNCTION("""COMPUTED_VALUE"""),"Sorbet de Caqui (Addolcire)")</f>
        <v>Sorbet de Caqui (Addolcire)</v>
      </c>
      <c r="B98" s="39" t="s">
        <v>86</v>
      </c>
      <c r="C98" s="39">
        <v>6.0</v>
      </c>
      <c r="D98" s="39">
        <v>1020.0</v>
      </c>
      <c r="E98" s="39" t="s">
        <v>610</v>
      </c>
      <c r="F98" s="69">
        <v>4.058823529411765</v>
      </c>
      <c r="G98" s="69">
        <v>0.2435294117647059</v>
      </c>
      <c r="H98" s="69">
        <v>25.710946630307756</v>
      </c>
      <c r="I98" s="59">
        <v>0.2900980392156863</v>
      </c>
      <c r="J98" s="59">
        <v>0.0</v>
      </c>
      <c r="K98" s="59">
        <v>0.0</v>
      </c>
      <c r="L98" s="59">
        <v>0.014705882352941176</v>
      </c>
      <c r="M98" s="59">
        <v>0.30480392156862746</v>
      </c>
      <c r="N98" s="59">
        <v>0.6951960784313725</v>
      </c>
      <c r="O98" s="39">
        <v>274.3137254901961</v>
      </c>
      <c r="P98" s="39">
        <v>329.4117647058824</v>
      </c>
      <c r="Q98" s="59">
        <v>0.004901960784313725</v>
      </c>
      <c r="R98" s="39">
        <v>13.176470588235295</v>
      </c>
      <c r="S98" s="97" t="str">
        <f t="array" ref="S98">IF(A98="","", IF( (ROUND(I98,4) &lt; INDEX('Tabela de ingredientes'!$O$1:$V$30, SWITCH(B98, "Gelatos de Leite", 7, "Sorbets", 10, "Gelatos de Leite com Fruta", 13, "Chocolate base água", 16, "Vegano", 19, "Alcoólicos", 22, "Zero", 25, "Gelatos Proteicos", 28, 7), 1)) + (ROUND(I98,4) &gt; INDEX('Tabela de ingredientes'!$O$1:$V$30, SWITCH(B98, "Gelatos de Leite", 8, "Sorbets", 11, "Gelatos de Leite com Fruta", 14, "Chocolate base água", 17, "Vegano", 20, "Alcoólicos", 23, "Zero", 26, "Gelatos Proteicos", 29, 8), 1)) + (ROUND(J98,4) &lt; INDEX('Tabela de ingredientes'!$O$1:$V$30, SWITCH(B98, "Gelatos de Leite", 7, "Sorbets", 10, "Gelatos de Leite com Fruta", 13, "Chocolate base água", 16, "Vegano", 19, "Alcoólicos", 22, "Zero", 25, "Gelatos Proteicos", 28, 7), 2)) + (ROUND(J98,4) &gt; INDEX('Tabela de ingredientes'!$O$1:$V$30, SWITCH(B98, "Gelatos de Leite", 8, "Sorbets", 11, "Gelatos de Leite com Fruta", 14, "Chocolate base água", 17, "Vegano", 20, "Alcoólicos", 23, "Zero", 26, "Gelatos Proteicos", 29, 8), 2)) + (ROUND(K98,4) &lt; INDEX('Tabela de ingredientes'!$O$1:$V$30, SWITCH(B98, "Gelatos de Leite", 7, "Sorbets", 10, "Gelatos de Leite com Fruta", 13, "Chocolate base água", 16, "Vegano", 19, "Alcoólicos", 22, "Zero", 25, "Gelatos Proteicos", 28, 7), 3)) + (ROUND(K98,4) &gt; INDEX('Tabela de ingredientes'!$O$1:$V$30, SWITCH(B98, "Gelatos de Leite", 8, "Sorbets", 11, "Gelatos de Leite com Fruta", 14, "Chocolate base água", 17, "Vegano", 20, "Alcoólicos", 23, "Zero", 26, "Gelatos Proteicos", 29, 8), 3)) + (ROUND(L98,4) &lt; INDEX('Tabela de ingredientes'!$O$1:$V$30, SWITCH(B98, "Gelatos de Leite", 7, "Sorbets", 10, "Gelatos de Leite com Fruta", 13, "Chocolate base água", 16, "Vegano", 19, "Alcoólicos", 22, "Zero", 25, "Gelatos Proteicos", 28, 7), 4)) + (ROUND(L98,4) &gt; INDEX('Tabela de ingredientes'!$O$1:$V$30, SWITCH(B98, "Gelatos de Leite", 8, "Sorbets", 11, "Gelatos de Leite com Fruta", 14, "Chocolate base água", 17, "Vegano", 20, "Alcoólicos", 23, "Zero", 26, "Gelatos Proteicos", 29, 8), 4)) + (ROUND(M98,4) &lt; INDEX('Tabela de ingredientes'!$O$1:$V$30, SWITCH(B98, "Gelatos de Leite", 7, "Sorbets", 10, "Gelatos de Leite com Fruta", 13, "Chocolate base água", 16, "Vegano", 19, "Alcoólicos", 22, "Zero", 25, "Gelatos Proteicos", 28, 7), 5)) + (ROUND(M98,4) &gt; INDEX('Tabela de ingredientes'!$O$1:$V$30, SWITCH(B98, "Gelatos de Leite", 8, "Sorbets", 11, "Gelatos de Leite com Fruta", 14, "Chocolate base água", 17, "Vegano", 20, "Alcoólicos", 23, "Zero", 26, "Gelatos Proteicos", 29, 8), 5)) + (ROUND(N98,4) &lt; INDEX('Tabela de ingredientes'!$O$1:$V$30, SWITCH(B98, "Gelatos de Leite", 7, "Sorbets", 10, "Gelatos de Leite com Fruta", 13, "Chocolate base água", 16, "Vegano", 19, "Alcoólicos", 22, "Zero", 25, "Gelatos Proteicos", 28, 7), 6)) + (ROUND(N98,4) &gt; INDEX('Tabela de ingredientes'!$O$1:$V$30, SWITCH(B98, "Gelatos de Leite", 8, "Sorbets", 11, "Gelatos de Leite com Fruta", 14, "Chocolate base água", 17, "Vegano", 20, "Alcoólicos", 23, "Zero", 26, "Gelatos Proteicos", 29, 8), 6)) + (ROUND(O98,4) &lt; INDEX('Tabela de ingredientes'!$O$1:$V$30, SWITCH(B98, "Gelatos de Leite", 7, "Sorbets", 10, "Gelatos de Leite com Fruta", 13, "Chocolate base água", 16, "Vegano", 19, "Alcoólicos", 22, "Zero", 25, "Gelatos Proteicos", 28, 7), 7)) + (ROUND(O98,4) &gt; INDEX('Tabela de ingredientes'!$O$1:$V$30, SWITCH(B98, "Gelatos de Leite", 8, "Sorbets", 11, "Gelatos de Leite com Fruta", 14, "Chocolate base água", 17, "Vegano", 20, "Alcoólicos", 23, "Zero", 26, "Gelatos Proteicos", 29, 8), 7)) + (ROUND(P98,4) &lt; INDEX('Tabela de ingredientes'!$O$1:$V$30, SWITCH(B98, "Gelatos de Leite", 7, "Sorbets", 10, "Gelatos de Leite com Fruta", 13, "Chocolate base água", 16, "Vegano", 19, "Alcoólicos", 22, "Zero", 25, "Gelatos Proteicos", 28, 7), 8)) + (ROUND(P98,4) &gt; INDEX('Tabela de ingredientes'!$O$1:$V$30, SWITCH(B98, "Gelatos de Leite", 8, "Sorbets", 11, "Gelatos de Leite com Fruta", 14, "Chocolate base água", 17, "Vegano", 20, "Alcoólicos", 23, "Zero", 26, "Gelatos Proteicos", 29, 8), 8)) + IF(B98="Gelatos Proteicos", (ROUND(Q98,4)&lt;'Tabela de ingredientes'!$W$28)+(ROUND(Q98,4)&gt;'Tabela de ingredientes'!$W$29), 0) = 0, "Ok", "Revisar"))</f>
        <v>Revisar</v>
      </c>
    </row>
    <row r="99">
      <c r="A99" s="39" t="str">
        <f>IFERROR(__xludf.DUMMYFUNCTION("""COMPUTED_VALUE"""),"Sorbet de Figo (Addolcire)")</f>
        <v>Sorbet de Figo (Addolcire)</v>
      </c>
      <c r="B99" s="39" t="s">
        <v>86</v>
      </c>
      <c r="C99" s="39">
        <v>6.0</v>
      </c>
      <c r="D99" s="39">
        <v>970.0</v>
      </c>
      <c r="E99" s="39" t="s">
        <v>612</v>
      </c>
      <c r="F99" s="69">
        <v>4.164948453608248</v>
      </c>
      <c r="G99" s="69">
        <v>0.24989690721649485</v>
      </c>
      <c r="H99" s="69">
        <v>25.798798388748555</v>
      </c>
      <c r="I99" s="59">
        <v>0.2535051546391753</v>
      </c>
      <c r="J99" s="59">
        <v>0.0</v>
      </c>
      <c r="K99" s="59">
        <v>0.0</v>
      </c>
      <c r="L99" s="59">
        <v>0.041237113402061855</v>
      </c>
      <c r="M99" s="59">
        <v>0.29474226804123715</v>
      </c>
      <c r="N99" s="59">
        <v>0.7052577319587628</v>
      </c>
      <c r="O99" s="39">
        <v>257.5257731958763</v>
      </c>
      <c r="P99" s="39">
        <v>315.4639175257732</v>
      </c>
      <c r="Q99" s="59">
        <v>0.005154639175257732</v>
      </c>
      <c r="R99" s="39">
        <v>12.618556701030927</v>
      </c>
      <c r="S99" s="97" t="str">
        <f t="array" ref="S99">IF(A99="","", IF( (ROUND(I99,4) &lt; INDEX('Tabela de ingredientes'!$O$1:$V$30, SWITCH(B99, "Gelatos de Leite", 7, "Sorbets", 10, "Gelatos de Leite com Fruta", 13, "Chocolate base água", 16, "Vegano", 19, "Alcoólicos", 22, "Zero", 25, "Gelatos Proteicos", 28, 7), 1)) + (ROUND(I99,4) &gt; INDEX('Tabela de ingredientes'!$O$1:$V$30, SWITCH(B99, "Gelatos de Leite", 8, "Sorbets", 11, "Gelatos de Leite com Fruta", 14, "Chocolate base água", 17, "Vegano", 20, "Alcoólicos", 23, "Zero", 26, "Gelatos Proteicos", 29, 8), 1)) + (ROUND(J99,4) &lt; INDEX('Tabela de ingredientes'!$O$1:$V$30, SWITCH(B99, "Gelatos de Leite", 7, "Sorbets", 10, "Gelatos de Leite com Fruta", 13, "Chocolate base água", 16, "Vegano", 19, "Alcoólicos", 22, "Zero", 25, "Gelatos Proteicos", 28, 7), 2)) + (ROUND(J99,4) &gt; INDEX('Tabela de ingredientes'!$O$1:$V$30, SWITCH(B99, "Gelatos de Leite", 8, "Sorbets", 11, "Gelatos de Leite com Fruta", 14, "Chocolate base água", 17, "Vegano", 20, "Alcoólicos", 23, "Zero", 26, "Gelatos Proteicos", 29, 8), 2)) + (ROUND(K99,4) &lt; INDEX('Tabela de ingredientes'!$O$1:$V$30, SWITCH(B99, "Gelatos de Leite", 7, "Sorbets", 10, "Gelatos de Leite com Fruta", 13, "Chocolate base água", 16, "Vegano", 19, "Alcoólicos", 22, "Zero", 25, "Gelatos Proteicos", 28, 7), 3)) + (ROUND(K99,4) &gt; INDEX('Tabela de ingredientes'!$O$1:$V$30, SWITCH(B99, "Gelatos de Leite", 8, "Sorbets", 11, "Gelatos de Leite com Fruta", 14, "Chocolate base água", 17, "Vegano", 20, "Alcoólicos", 23, "Zero", 26, "Gelatos Proteicos", 29, 8), 3)) + (ROUND(L99,4) &lt; INDEX('Tabela de ingredientes'!$O$1:$V$30, SWITCH(B99, "Gelatos de Leite", 7, "Sorbets", 10, "Gelatos de Leite com Fruta", 13, "Chocolate base água", 16, "Vegano", 19, "Alcoólicos", 22, "Zero", 25, "Gelatos Proteicos", 28, 7), 4)) + (ROUND(L99,4) &gt; INDEX('Tabela de ingredientes'!$O$1:$V$30, SWITCH(B99, "Gelatos de Leite", 8, "Sorbets", 11, "Gelatos de Leite com Fruta", 14, "Chocolate base água", 17, "Vegano", 20, "Alcoólicos", 23, "Zero", 26, "Gelatos Proteicos", 29, 8), 4)) + (ROUND(M99,4) &lt; INDEX('Tabela de ingredientes'!$O$1:$V$30, SWITCH(B99, "Gelatos de Leite", 7, "Sorbets", 10, "Gelatos de Leite com Fruta", 13, "Chocolate base água", 16, "Vegano", 19, "Alcoólicos", 22, "Zero", 25, "Gelatos Proteicos", 28, 7), 5)) + (ROUND(M99,4) &gt; INDEX('Tabela de ingredientes'!$O$1:$V$30, SWITCH(B99, "Gelatos de Leite", 8, "Sorbets", 11, "Gelatos de Leite com Fruta", 14, "Chocolate base água", 17, "Vegano", 20, "Alcoólicos", 23, "Zero", 26, "Gelatos Proteicos", 29, 8), 5)) + (ROUND(N99,4) &lt; INDEX('Tabela de ingredientes'!$O$1:$V$30, SWITCH(B99, "Gelatos de Leite", 7, "Sorbets", 10, "Gelatos de Leite com Fruta", 13, "Chocolate base água", 16, "Vegano", 19, "Alcoólicos", 22, "Zero", 25, "Gelatos Proteicos", 28, 7), 6)) + (ROUND(N99,4) &gt; INDEX('Tabela de ingredientes'!$O$1:$V$30, SWITCH(B99, "Gelatos de Leite", 8, "Sorbets", 11, "Gelatos de Leite com Fruta", 14, "Chocolate base água", 17, "Vegano", 20, "Alcoólicos", 23, "Zero", 26, "Gelatos Proteicos", 29, 8), 6)) + (ROUND(O99,4) &lt; INDEX('Tabela de ingredientes'!$O$1:$V$30, SWITCH(B99, "Gelatos de Leite", 7, "Sorbets", 10, "Gelatos de Leite com Fruta", 13, "Chocolate base água", 16, "Vegano", 19, "Alcoólicos", 22, "Zero", 25, "Gelatos Proteicos", 28, 7), 7)) + (ROUND(O99,4) &gt; INDEX('Tabela de ingredientes'!$O$1:$V$30, SWITCH(B99, "Gelatos de Leite", 8, "Sorbets", 11, "Gelatos de Leite com Fruta", 14, "Chocolate base água", 17, "Vegano", 20, "Alcoólicos", 23, "Zero", 26, "Gelatos Proteicos", 29, 8), 7)) + (ROUND(P99,4) &lt; INDEX('Tabela de ingredientes'!$O$1:$V$30, SWITCH(B99, "Gelatos de Leite", 7, "Sorbets", 10, "Gelatos de Leite com Fruta", 13, "Chocolate base água", 16, "Vegano", 19, "Alcoólicos", 22, "Zero", 25, "Gelatos Proteicos", 28, 7), 8)) + (ROUND(P99,4) &gt; INDEX('Tabela de ingredientes'!$O$1:$V$30, SWITCH(B99, "Gelatos de Leite", 8, "Sorbets", 11, "Gelatos de Leite com Fruta", 14, "Chocolate base água", 17, "Vegano", 20, "Alcoólicos", 23, "Zero", 26, "Gelatos Proteicos", 29, 8), 8)) + IF(B99="Gelatos Proteicos", (ROUND(Q99,4)&lt;'Tabela de ingredientes'!$W$28)+(ROUND(Q99,4)&gt;'Tabela de ingredientes'!$W$29), 0) = 0, "Ok", "Revisar"))</f>
        <v>Revisar</v>
      </c>
    </row>
    <row r="100">
      <c r="A100" s="39" t="str">
        <f>IFERROR(__xludf.DUMMYFUNCTION("""COMPUTED_VALUE"""),"Sorbet de Frutas Vermelhas (Addolcire)")</f>
        <v>Sorbet de Frutas Vermelhas (Addolcire)</v>
      </c>
      <c r="B100" s="39" t="s">
        <v>86</v>
      </c>
      <c r="C100" s="39">
        <v>7.0</v>
      </c>
      <c r="D100" s="39">
        <v>1007.0</v>
      </c>
      <c r="E100" s="39" t="s">
        <v>615</v>
      </c>
      <c r="F100" s="69">
        <v>4.091360476663357</v>
      </c>
      <c r="G100" s="69">
        <v>0.24548162859980138</v>
      </c>
      <c r="H100" s="69">
        <v>25.737881189290864</v>
      </c>
      <c r="I100" s="59">
        <v>0.2649453823237338</v>
      </c>
      <c r="J100" s="59">
        <v>0.0</v>
      </c>
      <c r="K100" s="59">
        <v>0.0</v>
      </c>
      <c r="L100" s="59">
        <v>0.026017874875868915</v>
      </c>
      <c r="M100" s="59">
        <v>0.29096325719960275</v>
      </c>
      <c r="N100" s="59">
        <v>0.7090367428003972</v>
      </c>
      <c r="O100" s="39">
        <v>244.68718967229395</v>
      </c>
      <c r="P100" s="39">
        <v>287.6266137040715</v>
      </c>
      <c r="Q100" s="59">
        <v>0.004965243296921549</v>
      </c>
      <c r="R100" s="39">
        <v>11.505064548162858</v>
      </c>
      <c r="S100" s="97" t="str">
        <f t="array" ref="S100">IF(A100="","", IF( (ROUND(I100,4) &lt; INDEX('Tabela de ingredientes'!$O$1:$V$30, SWITCH(B100, "Gelatos de Leite", 7, "Sorbets", 10, "Gelatos de Leite com Fruta", 13, "Chocolate base água", 16, "Vegano", 19, "Alcoólicos", 22, "Zero", 25, "Gelatos Proteicos", 28, 7), 1)) + (ROUND(I100,4) &gt; INDEX('Tabela de ingredientes'!$O$1:$V$30, SWITCH(B100, "Gelatos de Leite", 8, "Sorbets", 11, "Gelatos de Leite com Fruta", 14, "Chocolate base água", 17, "Vegano", 20, "Alcoólicos", 23, "Zero", 26, "Gelatos Proteicos", 29, 8), 1)) + (ROUND(J100,4) &lt; INDEX('Tabela de ingredientes'!$O$1:$V$30, SWITCH(B100, "Gelatos de Leite", 7, "Sorbets", 10, "Gelatos de Leite com Fruta", 13, "Chocolate base água", 16, "Vegano", 19, "Alcoólicos", 22, "Zero", 25, "Gelatos Proteicos", 28, 7), 2)) + (ROUND(J100,4) &gt; INDEX('Tabela de ingredientes'!$O$1:$V$30, SWITCH(B100, "Gelatos de Leite", 8, "Sorbets", 11, "Gelatos de Leite com Fruta", 14, "Chocolate base água", 17, "Vegano", 20, "Alcoólicos", 23, "Zero", 26, "Gelatos Proteicos", 29, 8), 2)) + (ROUND(K100,4) &lt; INDEX('Tabela de ingredientes'!$O$1:$V$30, SWITCH(B100, "Gelatos de Leite", 7, "Sorbets", 10, "Gelatos de Leite com Fruta", 13, "Chocolate base água", 16, "Vegano", 19, "Alcoólicos", 22, "Zero", 25, "Gelatos Proteicos", 28, 7), 3)) + (ROUND(K100,4) &gt; INDEX('Tabela de ingredientes'!$O$1:$V$30, SWITCH(B100, "Gelatos de Leite", 8, "Sorbets", 11, "Gelatos de Leite com Fruta", 14, "Chocolate base água", 17, "Vegano", 20, "Alcoólicos", 23, "Zero", 26, "Gelatos Proteicos", 29, 8), 3)) + (ROUND(L100,4) &lt; INDEX('Tabela de ingredientes'!$O$1:$V$30, SWITCH(B100, "Gelatos de Leite", 7, "Sorbets", 10, "Gelatos de Leite com Fruta", 13, "Chocolate base água", 16, "Vegano", 19, "Alcoólicos", 22, "Zero", 25, "Gelatos Proteicos", 28, 7), 4)) + (ROUND(L100,4) &gt; INDEX('Tabela de ingredientes'!$O$1:$V$30, SWITCH(B100, "Gelatos de Leite", 8, "Sorbets", 11, "Gelatos de Leite com Fruta", 14, "Chocolate base água", 17, "Vegano", 20, "Alcoólicos", 23, "Zero", 26, "Gelatos Proteicos", 29, 8), 4)) + (ROUND(M100,4) &lt; INDEX('Tabela de ingredientes'!$O$1:$V$30, SWITCH(B100, "Gelatos de Leite", 7, "Sorbets", 10, "Gelatos de Leite com Fruta", 13, "Chocolate base água", 16, "Vegano", 19, "Alcoólicos", 22, "Zero", 25, "Gelatos Proteicos", 28, 7), 5)) + (ROUND(M100,4) &gt; INDEX('Tabela de ingredientes'!$O$1:$V$30, SWITCH(B100, "Gelatos de Leite", 8, "Sorbets", 11, "Gelatos de Leite com Fruta", 14, "Chocolate base água", 17, "Vegano", 20, "Alcoólicos", 23, "Zero", 26, "Gelatos Proteicos", 29, 8), 5)) + (ROUND(N100,4) &lt; INDEX('Tabela de ingredientes'!$O$1:$V$30, SWITCH(B100, "Gelatos de Leite", 7, "Sorbets", 10, "Gelatos de Leite com Fruta", 13, "Chocolate base água", 16, "Vegano", 19, "Alcoólicos", 22, "Zero", 25, "Gelatos Proteicos", 28, 7), 6)) + (ROUND(N100,4) &gt; INDEX('Tabela de ingredientes'!$O$1:$V$30, SWITCH(B100, "Gelatos de Leite", 8, "Sorbets", 11, "Gelatos de Leite com Fruta", 14, "Chocolate base água", 17, "Vegano", 20, "Alcoólicos", 23, "Zero", 26, "Gelatos Proteicos", 29, 8), 6)) + (ROUND(O100,4) &lt; INDEX('Tabela de ingredientes'!$O$1:$V$30, SWITCH(B100, "Gelatos de Leite", 7, "Sorbets", 10, "Gelatos de Leite com Fruta", 13, "Chocolate base água", 16, "Vegano", 19, "Alcoólicos", 22, "Zero", 25, "Gelatos Proteicos", 28, 7), 7)) + (ROUND(O100,4) &gt; INDEX('Tabela de ingredientes'!$O$1:$V$30, SWITCH(B100, "Gelatos de Leite", 8, "Sorbets", 11, "Gelatos de Leite com Fruta", 14, "Chocolate base água", 17, "Vegano", 20, "Alcoólicos", 23, "Zero", 26, "Gelatos Proteicos", 29, 8), 7)) + (ROUND(P100,4) &lt; INDEX('Tabela de ingredientes'!$O$1:$V$30, SWITCH(B100, "Gelatos de Leite", 7, "Sorbets", 10, "Gelatos de Leite com Fruta", 13, "Chocolate base água", 16, "Vegano", 19, "Alcoólicos", 22, "Zero", 25, "Gelatos Proteicos", 28, 7), 8)) + (ROUND(P100,4) &gt; INDEX('Tabela de ingredientes'!$O$1:$V$30, SWITCH(B100, "Gelatos de Leite", 8, "Sorbets", 11, "Gelatos de Leite com Fruta", 14, "Chocolate base água", 17, "Vegano", 20, "Alcoólicos", 23, "Zero", 26, "Gelatos Proteicos", 29, 8), 8)) + IF(B100="Gelatos Proteicos", (ROUND(Q100,4)&lt;'Tabela de ingredientes'!$W$28)+(ROUND(Q100,4)&gt;'Tabela de ingredientes'!$W$29), 0) = 0, "Ok", "Revisar"))</f>
        <v>Revisar</v>
      </c>
    </row>
    <row r="101">
      <c r="A101" s="39" t="str">
        <f>IFERROR(__xludf.DUMMYFUNCTION("""COMPUTED_VALUE"""),"Sorbet de Jabuticaba (Addolcire)")</f>
        <v>Sorbet de Jabuticaba (Addolcire)</v>
      </c>
      <c r="B101" s="39" t="s">
        <v>86</v>
      </c>
      <c r="C101" s="39">
        <v>6.0</v>
      </c>
      <c r="D101" s="39">
        <v>1000.0</v>
      </c>
      <c r="E101" s="39" t="s">
        <v>171</v>
      </c>
      <c r="F101" s="69">
        <v>3.5399999999999996</v>
      </c>
      <c r="G101" s="69">
        <v>0.21239999999999998</v>
      </c>
      <c r="H101" s="69">
        <v>25.28145695364239</v>
      </c>
      <c r="I101" s="59">
        <v>0.2872</v>
      </c>
      <c r="J101" s="59">
        <v>0.0</v>
      </c>
      <c r="K101" s="59">
        <v>0.0</v>
      </c>
      <c r="L101" s="59">
        <v>0.02</v>
      </c>
      <c r="M101" s="59">
        <v>0.30720000000000003</v>
      </c>
      <c r="N101" s="59">
        <v>0.6928</v>
      </c>
      <c r="O101" s="39">
        <v>273.4</v>
      </c>
      <c r="P101" s="39">
        <v>311.0</v>
      </c>
      <c r="Q101" s="59">
        <v>0.005</v>
      </c>
      <c r="R101" s="39">
        <v>12.44</v>
      </c>
      <c r="S101" s="97" t="str">
        <f t="array" ref="S101">IF(A101="","", IF( (ROUND(I101,4) &lt; INDEX('Tabela de ingredientes'!$O$1:$V$30, SWITCH(B101, "Gelatos de Leite", 7, "Sorbets", 10, "Gelatos de Leite com Fruta", 13, "Chocolate base água", 16, "Vegano", 19, "Alcoólicos", 22, "Zero", 25, "Gelatos Proteicos", 28, 7), 1)) + (ROUND(I101,4) &gt; INDEX('Tabela de ingredientes'!$O$1:$V$30, SWITCH(B101, "Gelatos de Leite", 8, "Sorbets", 11, "Gelatos de Leite com Fruta", 14, "Chocolate base água", 17, "Vegano", 20, "Alcoólicos", 23, "Zero", 26, "Gelatos Proteicos", 29, 8), 1)) + (ROUND(J101,4) &lt; INDEX('Tabela de ingredientes'!$O$1:$V$30, SWITCH(B101, "Gelatos de Leite", 7, "Sorbets", 10, "Gelatos de Leite com Fruta", 13, "Chocolate base água", 16, "Vegano", 19, "Alcoólicos", 22, "Zero", 25, "Gelatos Proteicos", 28, 7), 2)) + (ROUND(J101,4) &gt; INDEX('Tabela de ingredientes'!$O$1:$V$30, SWITCH(B101, "Gelatos de Leite", 8, "Sorbets", 11, "Gelatos de Leite com Fruta", 14, "Chocolate base água", 17, "Vegano", 20, "Alcoólicos", 23, "Zero", 26, "Gelatos Proteicos", 29, 8), 2)) + (ROUND(K101,4) &lt; INDEX('Tabela de ingredientes'!$O$1:$V$30, SWITCH(B101, "Gelatos de Leite", 7, "Sorbets", 10, "Gelatos de Leite com Fruta", 13, "Chocolate base água", 16, "Vegano", 19, "Alcoólicos", 22, "Zero", 25, "Gelatos Proteicos", 28, 7), 3)) + (ROUND(K101,4) &gt; INDEX('Tabela de ingredientes'!$O$1:$V$30, SWITCH(B101, "Gelatos de Leite", 8, "Sorbets", 11, "Gelatos de Leite com Fruta", 14, "Chocolate base água", 17, "Vegano", 20, "Alcoólicos", 23, "Zero", 26, "Gelatos Proteicos", 29, 8), 3)) + (ROUND(L101,4) &lt; INDEX('Tabela de ingredientes'!$O$1:$V$30, SWITCH(B101, "Gelatos de Leite", 7, "Sorbets", 10, "Gelatos de Leite com Fruta", 13, "Chocolate base água", 16, "Vegano", 19, "Alcoólicos", 22, "Zero", 25, "Gelatos Proteicos", 28, 7), 4)) + (ROUND(L101,4) &gt; INDEX('Tabela de ingredientes'!$O$1:$V$30, SWITCH(B101, "Gelatos de Leite", 8, "Sorbets", 11, "Gelatos de Leite com Fruta", 14, "Chocolate base água", 17, "Vegano", 20, "Alcoólicos", 23, "Zero", 26, "Gelatos Proteicos", 29, 8), 4)) + (ROUND(M101,4) &lt; INDEX('Tabela de ingredientes'!$O$1:$V$30, SWITCH(B101, "Gelatos de Leite", 7, "Sorbets", 10, "Gelatos de Leite com Fruta", 13, "Chocolate base água", 16, "Vegano", 19, "Alcoólicos", 22, "Zero", 25, "Gelatos Proteicos", 28, 7), 5)) + (ROUND(M101,4) &gt; INDEX('Tabela de ingredientes'!$O$1:$V$30, SWITCH(B101, "Gelatos de Leite", 8, "Sorbets", 11, "Gelatos de Leite com Fruta", 14, "Chocolate base água", 17, "Vegano", 20, "Alcoólicos", 23, "Zero", 26, "Gelatos Proteicos", 29, 8), 5)) + (ROUND(N101,4) &lt; INDEX('Tabela de ingredientes'!$O$1:$V$30, SWITCH(B101, "Gelatos de Leite", 7, "Sorbets", 10, "Gelatos de Leite com Fruta", 13, "Chocolate base água", 16, "Vegano", 19, "Alcoólicos", 22, "Zero", 25, "Gelatos Proteicos", 28, 7), 6)) + (ROUND(N101,4) &gt; INDEX('Tabela de ingredientes'!$O$1:$V$30, SWITCH(B101, "Gelatos de Leite", 8, "Sorbets", 11, "Gelatos de Leite com Fruta", 14, "Chocolate base água", 17, "Vegano", 20, "Alcoólicos", 23, "Zero", 26, "Gelatos Proteicos", 29, 8), 6)) + (ROUND(O101,4) &lt; INDEX('Tabela de ingredientes'!$O$1:$V$30, SWITCH(B101, "Gelatos de Leite", 7, "Sorbets", 10, "Gelatos de Leite com Fruta", 13, "Chocolate base água", 16, "Vegano", 19, "Alcoólicos", 22, "Zero", 25, "Gelatos Proteicos", 28, 7), 7)) + (ROUND(O101,4) &gt; INDEX('Tabela de ingredientes'!$O$1:$V$30, SWITCH(B101, "Gelatos de Leite", 8, "Sorbets", 11, "Gelatos de Leite com Fruta", 14, "Chocolate base água", 17, "Vegano", 20, "Alcoólicos", 23, "Zero", 26, "Gelatos Proteicos", 29, 8), 7)) + (ROUND(P101,4) &lt; INDEX('Tabela de ingredientes'!$O$1:$V$30, SWITCH(B101, "Gelatos de Leite", 7, "Sorbets", 10, "Gelatos de Leite com Fruta", 13, "Chocolate base água", 16, "Vegano", 19, "Alcoólicos", 22, "Zero", 25, "Gelatos Proteicos", 28, 7), 8)) + (ROUND(P101,4) &gt; INDEX('Tabela de ingredientes'!$O$1:$V$30, SWITCH(B101, "Gelatos de Leite", 8, "Sorbets", 11, "Gelatos de Leite com Fruta", 14, "Chocolate base água", 17, "Vegano", 20, "Alcoólicos", 23, "Zero", 26, "Gelatos Proteicos", 29, 8), 8)) + IF(B101="Gelatos Proteicos", (ROUND(Q101,4)&lt;'Tabela de ingredientes'!$W$28)+(ROUND(Q101,4)&gt;'Tabela de ingredientes'!$W$29), 0) = 0, "Ok", "Revisar"))</f>
        <v>Revisar</v>
      </c>
    </row>
    <row r="102">
      <c r="A102" s="39" t="str">
        <f>IFERROR(__xludf.DUMMYFUNCTION("""COMPUTED_VALUE"""),"Sorbet de Laranja e Gengibre (Addolcire)")</f>
        <v>Sorbet de Laranja e Gengibre (Addolcire)</v>
      </c>
      <c r="B102" s="39" t="s">
        <v>86</v>
      </c>
      <c r="C102" s="39">
        <v>7.0</v>
      </c>
      <c r="D102" s="39">
        <v>1050.0</v>
      </c>
      <c r="E102" s="39" t="s">
        <v>619</v>
      </c>
      <c r="F102" s="69">
        <v>6.628571428571428</v>
      </c>
      <c r="G102" s="69">
        <v>0.3977142857142857</v>
      </c>
      <c r="H102" s="69">
        <v>27.838221381267743</v>
      </c>
      <c r="I102" s="59">
        <v>0.26171428571428573</v>
      </c>
      <c r="J102" s="59">
        <v>0.0</v>
      </c>
      <c r="K102" s="59">
        <v>0.0</v>
      </c>
      <c r="L102" s="59">
        <v>0.04285714285714286</v>
      </c>
      <c r="M102" s="59">
        <v>0.3045714285714286</v>
      </c>
      <c r="N102" s="59">
        <v>0.6954285714285714</v>
      </c>
      <c r="O102" s="39">
        <v>250.0952380952381</v>
      </c>
      <c r="P102" s="39">
        <v>324.76190476190476</v>
      </c>
      <c r="Q102" s="59">
        <v>0.006666666666666667</v>
      </c>
      <c r="R102" s="39">
        <v>12.99047619047619</v>
      </c>
      <c r="S102" s="97" t="str">
        <f t="array" ref="S102">IF(A102="","", IF( (ROUND(I102,4) &lt; INDEX('Tabela de ingredientes'!$O$1:$V$30, SWITCH(B102, "Gelatos de Leite", 7, "Sorbets", 10, "Gelatos de Leite com Fruta", 13, "Chocolate base água", 16, "Vegano", 19, "Alcoólicos", 22, "Zero", 25, "Gelatos Proteicos", 28, 7), 1)) + (ROUND(I102,4) &gt; INDEX('Tabela de ingredientes'!$O$1:$V$30, SWITCH(B102, "Gelatos de Leite", 8, "Sorbets", 11, "Gelatos de Leite com Fruta", 14, "Chocolate base água", 17, "Vegano", 20, "Alcoólicos", 23, "Zero", 26, "Gelatos Proteicos", 29, 8), 1)) + (ROUND(J102,4) &lt; INDEX('Tabela de ingredientes'!$O$1:$V$30, SWITCH(B102, "Gelatos de Leite", 7, "Sorbets", 10, "Gelatos de Leite com Fruta", 13, "Chocolate base água", 16, "Vegano", 19, "Alcoólicos", 22, "Zero", 25, "Gelatos Proteicos", 28, 7), 2)) + (ROUND(J102,4) &gt; INDEX('Tabela de ingredientes'!$O$1:$V$30, SWITCH(B102, "Gelatos de Leite", 8, "Sorbets", 11, "Gelatos de Leite com Fruta", 14, "Chocolate base água", 17, "Vegano", 20, "Alcoólicos", 23, "Zero", 26, "Gelatos Proteicos", 29, 8), 2)) + (ROUND(K102,4) &lt; INDEX('Tabela de ingredientes'!$O$1:$V$30, SWITCH(B102, "Gelatos de Leite", 7, "Sorbets", 10, "Gelatos de Leite com Fruta", 13, "Chocolate base água", 16, "Vegano", 19, "Alcoólicos", 22, "Zero", 25, "Gelatos Proteicos", 28, 7), 3)) + (ROUND(K102,4) &gt; INDEX('Tabela de ingredientes'!$O$1:$V$30, SWITCH(B102, "Gelatos de Leite", 8, "Sorbets", 11, "Gelatos de Leite com Fruta", 14, "Chocolate base água", 17, "Vegano", 20, "Alcoólicos", 23, "Zero", 26, "Gelatos Proteicos", 29, 8), 3)) + (ROUND(L102,4) &lt; INDEX('Tabela de ingredientes'!$O$1:$V$30, SWITCH(B102, "Gelatos de Leite", 7, "Sorbets", 10, "Gelatos de Leite com Fruta", 13, "Chocolate base água", 16, "Vegano", 19, "Alcoólicos", 22, "Zero", 25, "Gelatos Proteicos", 28, 7), 4)) + (ROUND(L102,4) &gt; INDEX('Tabela de ingredientes'!$O$1:$V$30, SWITCH(B102, "Gelatos de Leite", 8, "Sorbets", 11, "Gelatos de Leite com Fruta", 14, "Chocolate base água", 17, "Vegano", 20, "Alcoólicos", 23, "Zero", 26, "Gelatos Proteicos", 29, 8), 4)) + (ROUND(M102,4) &lt; INDEX('Tabela de ingredientes'!$O$1:$V$30, SWITCH(B102, "Gelatos de Leite", 7, "Sorbets", 10, "Gelatos de Leite com Fruta", 13, "Chocolate base água", 16, "Vegano", 19, "Alcoólicos", 22, "Zero", 25, "Gelatos Proteicos", 28, 7), 5)) + (ROUND(M102,4) &gt; INDEX('Tabela de ingredientes'!$O$1:$V$30, SWITCH(B102, "Gelatos de Leite", 8, "Sorbets", 11, "Gelatos de Leite com Fruta", 14, "Chocolate base água", 17, "Vegano", 20, "Alcoólicos", 23, "Zero", 26, "Gelatos Proteicos", 29, 8), 5)) + (ROUND(N102,4) &lt; INDEX('Tabela de ingredientes'!$O$1:$V$30, SWITCH(B102, "Gelatos de Leite", 7, "Sorbets", 10, "Gelatos de Leite com Fruta", 13, "Chocolate base água", 16, "Vegano", 19, "Alcoólicos", 22, "Zero", 25, "Gelatos Proteicos", 28, 7), 6)) + (ROUND(N102,4) &gt; INDEX('Tabela de ingredientes'!$O$1:$V$30, SWITCH(B102, "Gelatos de Leite", 8, "Sorbets", 11, "Gelatos de Leite com Fruta", 14, "Chocolate base água", 17, "Vegano", 20, "Alcoólicos", 23, "Zero", 26, "Gelatos Proteicos", 29, 8), 6)) + (ROUND(O102,4) &lt; INDEX('Tabela de ingredientes'!$O$1:$V$30, SWITCH(B102, "Gelatos de Leite", 7, "Sorbets", 10, "Gelatos de Leite com Fruta", 13, "Chocolate base água", 16, "Vegano", 19, "Alcoólicos", 22, "Zero", 25, "Gelatos Proteicos", 28, 7), 7)) + (ROUND(O102,4) &gt; INDEX('Tabela de ingredientes'!$O$1:$V$30, SWITCH(B102, "Gelatos de Leite", 8, "Sorbets", 11, "Gelatos de Leite com Fruta", 14, "Chocolate base água", 17, "Vegano", 20, "Alcoólicos", 23, "Zero", 26, "Gelatos Proteicos", 29, 8), 7)) + (ROUND(P102,4) &lt; INDEX('Tabela de ingredientes'!$O$1:$V$30, SWITCH(B102, "Gelatos de Leite", 7, "Sorbets", 10, "Gelatos de Leite com Fruta", 13, "Chocolate base água", 16, "Vegano", 19, "Alcoólicos", 22, "Zero", 25, "Gelatos Proteicos", 28, 7), 8)) + (ROUND(P102,4) &gt; INDEX('Tabela de ingredientes'!$O$1:$V$30, SWITCH(B102, "Gelatos de Leite", 8, "Sorbets", 11, "Gelatos de Leite com Fruta", 14, "Chocolate base água", 17, "Vegano", 20, "Alcoólicos", 23, "Zero", 26, "Gelatos Proteicos", 29, 8), 8)) + IF(B102="Gelatos Proteicos", (ROUND(Q102,4)&lt;'Tabela de ingredientes'!$W$28)+(ROUND(Q102,4)&gt;'Tabela de ingredientes'!$W$29), 0) = 0, "Ok", "Revisar"))</f>
        <v>Revisar</v>
      </c>
    </row>
    <row r="103">
      <c r="A103" s="39" t="str">
        <f>IFERROR(__xludf.DUMMYFUNCTION("""COMPUTED_VALUE"""),"Sorbet de Mamão (Addolcire)")</f>
        <v>Sorbet de Mamão (Addolcire)</v>
      </c>
      <c r="B103" s="39" t="s">
        <v>86</v>
      </c>
      <c r="C103" s="39">
        <v>6.0</v>
      </c>
      <c r="D103" s="39">
        <v>917.0</v>
      </c>
      <c r="E103" s="39" t="s">
        <v>620</v>
      </c>
      <c r="F103" s="69">
        <v>4.021810250817884</v>
      </c>
      <c r="G103" s="69">
        <v>0.24130861504907303</v>
      </c>
      <c r="H103" s="69">
        <v>25.680306499021434</v>
      </c>
      <c r="I103" s="59">
        <v>0.24362050163576882</v>
      </c>
      <c r="J103" s="59">
        <v>0.0</v>
      </c>
      <c r="K103" s="59">
        <v>0.0</v>
      </c>
      <c r="L103" s="59">
        <v>0.021810250817884406</v>
      </c>
      <c r="M103" s="59">
        <v>0.2654307524536532</v>
      </c>
      <c r="N103" s="59">
        <v>0.7345692475463468</v>
      </c>
      <c r="O103" s="39">
        <v>229.3347873500545</v>
      </c>
      <c r="P103" s="39">
        <v>276.4449291166848</v>
      </c>
      <c r="Q103" s="59">
        <v>0.0</v>
      </c>
      <c r="R103" s="39">
        <v>11.057797164667393</v>
      </c>
      <c r="S103" s="97" t="str">
        <f t="array" ref="S103">IF(A103="","", IF( (ROUND(I103,4) &lt; INDEX('Tabela de ingredientes'!$O$1:$V$30, SWITCH(B103, "Gelatos de Leite", 7, "Sorbets", 10, "Gelatos de Leite com Fruta", 13, "Chocolate base água", 16, "Vegano", 19, "Alcoólicos", 22, "Zero", 25, "Gelatos Proteicos", 28, 7), 1)) + (ROUND(I103,4) &gt; INDEX('Tabela de ingredientes'!$O$1:$V$30, SWITCH(B103, "Gelatos de Leite", 8, "Sorbets", 11, "Gelatos de Leite com Fruta", 14, "Chocolate base água", 17, "Vegano", 20, "Alcoólicos", 23, "Zero", 26, "Gelatos Proteicos", 29, 8), 1)) + (ROUND(J103,4) &lt; INDEX('Tabela de ingredientes'!$O$1:$V$30, SWITCH(B103, "Gelatos de Leite", 7, "Sorbets", 10, "Gelatos de Leite com Fruta", 13, "Chocolate base água", 16, "Vegano", 19, "Alcoólicos", 22, "Zero", 25, "Gelatos Proteicos", 28, 7), 2)) + (ROUND(J103,4) &gt; INDEX('Tabela de ingredientes'!$O$1:$V$30, SWITCH(B103, "Gelatos de Leite", 8, "Sorbets", 11, "Gelatos de Leite com Fruta", 14, "Chocolate base água", 17, "Vegano", 20, "Alcoólicos", 23, "Zero", 26, "Gelatos Proteicos", 29, 8), 2)) + (ROUND(K103,4) &lt; INDEX('Tabela de ingredientes'!$O$1:$V$30, SWITCH(B103, "Gelatos de Leite", 7, "Sorbets", 10, "Gelatos de Leite com Fruta", 13, "Chocolate base água", 16, "Vegano", 19, "Alcoólicos", 22, "Zero", 25, "Gelatos Proteicos", 28, 7), 3)) + (ROUND(K103,4) &gt; INDEX('Tabela de ingredientes'!$O$1:$V$30, SWITCH(B103, "Gelatos de Leite", 8, "Sorbets", 11, "Gelatos de Leite com Fruta", 14, "Chocolate base água", 17, "Vegano", 20, "Alcoólicos", 23, "Zero", 26, "Gelatos Proteicos", 29, 8), 3)) + (ROUND(L103,4) &lt; INDEX('Tabela de ingredientes'!$O$1:$V$30, SWITCH(B103, "Gelatos de Leite", 7, "Sorbets", 10, "Gelatos de Leite com Fruta", 13, "Chocolate base água", 16, "Vegano", 19, "Alcoólicos", 22, "Zero", 25, "Gelatos Proteicos", 28, 7), 4)) + (ROUND(L103,4) &gt; INDEX('Tabela de ingredientes'!$O$1:$V$30, SWITCH(B103, "Gelatos de Leite", 8, "Sorbets", 11, "Gelatos de Leite com Fruta", 14, "Chocolate base água", 17, "Vegano", 20, "Alcoólicos", 23, "Zero", 26, "Gelatos Proteicos", 29, 8), 4)) + (ROUND(M103,4) &lt; INDEX('Tabela de ingredientes'!$O$1:$V$30, SWITCH(B103, "Gelatos de Leite", 7, "Sorbets", 10, "Gelatos de Leite com Fruta", 13, "Chocolate base água", 16, "Vegano", 19, "Alcoólicos", 22, "Zero", 25, "Gelatos Proteicos", 28, 7), 5)) + (ROUND(M103,4) &gt; INDEX('Tabela de ingredientes'!$O$1:$V$30, SWITCH(B103, "Gelatos de Leite", 8, "Sorbets", 11, "Gelatos de Leite com Fruta", 14, "Chocolate base água", 17, "Vegano", 20, "Alcoólicos", 23, "Zero", 26, "Gelatos Proteicos", 29, 8), 5)) + (ROUND(N103,4) &lt; INDEX('Tabela de ingredientes'!$O$1:$V$30, SWITCH(B103, "Gelatos de Leite", 7, "Sorbets", 10, "Gelatos de Leite com Fruta", 13, "Chocolate base água", 16, "Vegano", 19, "Alcoólicos", 22, "Zero", 25, "Gelatos Proteicos", 28, 7), 6)) + (ROUND(N103,4) &gt; INDEX('Tabela de ingredientes'!$O$1:$V$30, SWITCH(B103, "Gelatos de Leite", 8, "Sorbets", 11, "Gelatos de Leite com Fruta", 14, "Chocolate base água", 17, "Vegano", 20, "Alcoólicos", 23, "Zero", 26, "Gelatos Proteicos", 29, 8), 6)) + (ROUND(O103,4) &lt; INDEX('Tabela de ingredientes'!$O$1:$V$30, SWITCH(B103, "Gelatos de Leite", 7, "Sorbets", 10, "Gelatos de Leite com Fruta", 13, "Chocolate base água", 16, "Vegano", 19, "Alcoólicos", 22, "Zero", 25, "Gelatos Proteicos", 28, 7), 7)) + (ROUND(O103,4) &gt; INDEX('Tabela de ingredientes'!$O$1:$V$30, SWITCH(B103, "Gelatos de Leite", 8, "Sorbets", 11, "Gelatos de Leite com Fruta", 14, "Chocolate base água", 17, "Vegano", 20, "Alcoólicos", 23, "Zero", 26, "Gelatos Proteicos", 29, 8), 7)) + (ROUND(P103,4) &lt; INDEX('Tabela de ingredientes'!$O$1:$V$30, SWITCH(B103, "Gelatos de Leite", 7, "Sorbets", 10, "Gelatos de Leite com Fruta", 13, "Chocolate base água", 16, "Vegano", 19, "Alcoólicos", 22, "Zero", 25, "Gelatos Proteicos", 28, 7), 8)) + (ROUND(P103,4) &gt; INDEX('Tabela de ingredientes'!$O$1:$V$30, SWITCH(B103, "Gelatos de Leite", 8, "Sorbets", 11, "Gelatos de Leite com Fruta", 14, "Chocolate base água", 17, "Vegano", 20, "Alcoólicos", 23, "Zero", 26, "Gelatos Proteicos", 29, 8), 8)) + IF(B103="Gelatos Proteicos", (ROUND(Q103,4)&lt;'Tabela de ingredientes'!$W$28)+(ROUND(Q103,4)&gt;'Tabela de ingredientes'!$W$29), 0) = 0, "Ok", "Revisar"))</f>
        <v>Revisar</v>
      </c>
    </row>
    <row r="104">
      <c r="A104" s="39" t="str">
        <f>IFERROR(__xludf.DUMMYFUNCTION("""COMPUTED_VALUE"""),"Sorbet de Mamão e Laranja (Addolcire)")</f>
        <v>Sorbet de Mamão e Laranja (Addolcire)</v>
      </c>
      <c r="B104" s="39" t="s">
        <v>86</v>
      </c>
      <c r="C104" s="39">
        <v>7.0</v>
      </c>
      <c r="D104" s="39">
        <v>957.0</v>
      </c>
      <c r="E104" s="39" t="s">
        <v>621</v>
      </c>
      <c r="F104" s="69">
        <v>3.4775339602925817</v>
      </c>
      <c r="G104" s="69">
        <v>0.20865203761755488</v>
      </c>
      <c r="H104" s="69">
        <v>25.22974665587135</v>
      </c>
      <c r="I104" s="59">
        <v>0.2555903866248694</v>
      </c>
      <c r="J104" s="59">
        <v>0.0</v>
      </c>
      <c r="K104" s="59">
        <v>0.0</v>
      </c>
      <c r="L104" s="59">
        <v>0.024033437826541274</v>
      </c>
      <c r="M104" s="59">
        <v>0.27962382445141065</v>
      </c>
      <c r="N104" s="59">
        <v>0.7203761755485893</v>
      </c>
      <c r="O104" s="39">
        <v>260.39707419017765</v>
      </c>
      <c r="P104" s="39">
        <v>312.43469174503656</v>
      </c>
      <c r="Q104" s="59">
        <v>0.0041797283176593526</v>
      </c>
      <c r="R104" s="39">
        <v>12.497387669801462</v>
      </c>
      <c r="S104" s="97" t="str">
        <f t="array" ref="S104">IF(A104="","", IF( (ROUND(I104,4) &lt; INDEX('Tabela de ingredientes'!$O$1:$V$30, SWITCH(B104, "Gelatos de Leite", 7, "Sorbets", 10, "Gelatos de Leite com Fruta", 13, "Chocolate base água", 16, "Vegano", 19, "Alcoólicos", 22, "Zero", 25, "Gelatos Proteicos", 28, 7), 1)) + (ROUND(I104,4) &gt; INDEX('Tabela de ingredientes'!$O$1:$V$30, SWITCH(B104, "Gelatos de Leite", 8, "Sorbets", 11, "Gelatos de Leite com Fruta", 14, "Chocolate base água", 17, "Vegano", 20, "Alcoólicos", 23, "Zero", 26, "Gelatos Proteicos", 29, 8), 1)) + (ROUND(J104,4) &lt; INDEX('Tabela de ingredientes'!$O$1:$V$30, SWITCH(B104, "Gelatos de Leite", 7, "Sorbets", 10, "Gelatos de Leite com Fruta", 13, "Chocolate base água", 16, "Vegano", 19, "Alcoólicos", 22, "Zero", 25, "Gelatos Proteicos", 28, 7), 2)) + (ROUND(J104,4) &gt; INDEX('Tabela de ingredientes'!$O$1:$V$30, SWITCH(B104, "Gelatos de Leite", 8, "Sorbets", 11, "Gelatos de Leite com Fruta", 14, "Chocolate base água", 17, "Vegano", 20, "Alcoólicos", 23, "Zero", 26, "Gelatos Proteicos", 29, 8), 2)) + (ROUND(K104,4) &lt; INDEX('Tabela de ingredientes'!$O$1:$V$30, SWITCH(B104, "Gelatos de Leite", 7, "Sorbets", 10, "Gelatos de Leite com Fruta", 13, "Chocolate base água", 16, "Vegano", 19, "Alcoólicos", 22, "Zero", 25, "Gelatos Proteicos", 28, 7), 3)) + (ROUND(K104,4) &gt; INDEX('Tabela de ingredientes'!$O$1:$V$30, SWITCH(B104, "Gelatos de Leite", 8, "Sorbets", 11, "Gelatos de Leite com Fruta", 14, "Chocolate base água", 17, "Vegano", 20, "Alcoólicos", 23, "Zero", 26, "Gelatos Proteicos", 29, 8), 3)) + (ROUND(L104,4) &lt; INDEX('Tabela de ingredientes'!$O$1:$V$30, SWITCH(B104, "Gelatos de Leite", 7, "Sorbets", 10, "Gelatos de Leite com Fruta", 13, "Chocolate base água", 16, "Vegano", 19, "Alcoólicos", 22, "Zero", 25, "Gelatos Proteicos", 28, 7), 4)) + (ROUND(L104,4) &gt; INDEX('Tabela de ingredientes'!$O$1:$V$30, SWITCH(B104, "Gelatos de Leite", 8, "Sorbets", 11, "Gelatos de Leite com Fruta", 14, "Chocolate base água", 17, "Vegano", 20, "Alcoólicos", 23, "Zero", 26, "Gelatos Proteicos", 29, 8), 4)) + (ROUND(M104,4) &lt; INDEX('Tabela de ingredientes'!$O$1:$V$30, SWITCH(B104, "Gelatos de Leite", 7, "Sorbets", 10, "Gelatos de Leite com Fruta", 13, "Chocolate base água", 16, "Vegano", 19, "Alcoólicos", 22, "Zero", 25, "Gelatos Proteicos", 28, 7), 5)) + (ROUND(M104,4) &gt; INDEX('Tabela de ingredientes'!$O$1:$V$30, SWITCH(B104, "Gelatos de Leite", 8, "Sorbets", 11, "Gelatos de Leite com Fruta", 14, "Chocolate base água", 17, "Vegano", 20, "Alcoólicos", 23, "Zero", 26, "Gelatos Proteicos", 29, 8), 5)) + (ROUND(N104,4) &lt; INDEX('Tabela de ingredientes'!$O$1:$V$30, SWITCH(B104, "Gelatos de Leite", 7, "Sorbets", 10, "Gelatos de Leite com Fruta", 13, "Chocolate base água", 16, "Vegano", 19, "Alcoólicos", 22, "Zero", 25, "Gelatos Proteicos", 28, 7), 6)) + (ROUND(N104,4) &gt; INDEX('Tabela de ingredientes'!$O$1:$V$30, SWITCH(B104, "Gelatos de Leite", 8, "Sorbets", 11, "Gelatos de Leite com Fruta", 14, "Chocolate base água", 17, "Vegano", 20, "Alcoólicos", 23, "Zero", 26, "Gelatos Proteicos", 29, 8), 6)) + (ROUND(O104,4) &lt; INDEX('Tabela de ingredientes'!$O$1:$V$30, SWITCH(B104, "Gelatos de Leite", 7, "Sorbets", 10, "Gelatos de Leite com Fruta", 13, "Chocolate base água", 16, "Vegano", 19, "Alcoólicos", 22, "Zero", 25, "Gelatos Proteicos", 28, 7), 7)) + (ROUND(O104,4) &gt; INDEX('Tabela de ingredientes'!$O$1:$V$30, SWITCH(B104, "Gelatos de Leite", 8, "Sorbets", 11, "Gelatos de Leite com Fruta", 14, "Chocolate base água", 17, "Vegano", 20, "Alcoólicos", 23, "Zero", 26, "Gelatos Proteicos", 29, 8), 7)) + (ROUND(P104,4) &lt; INDEX('Tabela de ingredientes'!$O$1:$V$30, SWITCH(B104, "Gelatos de Leite", 7, "Sorbets", 10, "Gelatos de Leite com Fruta", 13, "Chocolate base água", 16, "Vegano", 19, "Alcoólicos", 22, "Zero", 25, "Gelatos Proteicos", 28, 7), 8)) + (ROUND(P104,4) &gt; INDEX('Tabela de ingredientes'!$O$1:$V$30, SWITCH(B104, "Gelatos de Leite", 8, "Sorbets", 11, "Gelatos de Leite com Fruta", 14, "Chocolate base água", 17, "Vegano", 20, "Alcoólicos", 23, "Zero", 26, "Gelatos Proteicos", 29, 8), 8)) + IF(B104="Gelatos Proteicos", (ROUND(Q104,4)&lt;'Tabela de ingredientes'!$W$28)+(ROUND(Q104,4)&gt;'Tabela de ingredientes'!$W$29), 0) = 0, "Ok", "Revisar"))</f>
        <v>Revisar</v>
      </c>
    </row>
    <row r="105">
      <c r="A105" s="39" t="str">
        <f>IFERROR(__xludf.DUMMYFUNCTION("""COMPUTED_VALUE"""),"Sorbet de Manga (Addolcire)")</f>
        <v>Sorbet de Manga (Addolcire)</v>
      </c>
      <c r="B105" s="39" t="s">
        <v>86</v>
      </c>
      <c r="C105" s="39">
        <v>7.0</v>
      </c>
      <c r="D105" s="39">
        <v>955.0</v>
      </c>
      <c r="E105" s="39" t="s">
        <v>507</v>
      </c>
      <c r="F105" s="69">
        <v>4.670157068062827</v>
      </c>
      <c r="G105" s="69">
        <v>0.2802094240837696</v>
      </c>
      <c r="H105" s="69">
        <v>26.217017440449368</v>
      </c>
      <c r="I105" s="59">
        <v>0.25151832460732987</v>
      </c>
      <c r="J105" s="59">
        <v>0.0</v>
      </c>
      <c r="K105" s="59">
        <v>0.0</v>
      </c>
      <c r="L105" s="59">
        <v>0.027434554973821988</v>
      </c>
      <c r="M105" s="59">
        <v>0.27895287958115184</v>
      </c>
      <c r="N105" s="59">
        <v>0.7210471204188482</v>
      </c>
      <c r="O105" s="39">
        <v>231.62303664921467</v>
      </c>
      <c r="P105" s="39">
        <v>304.3350785340314</v>
      </c>
      <c r="Q105" s="59">
        <v>0.005235602094240838</v>
      </c>
      <c r="R105" s="39">
        <v>12.173403141361257</v>
      </c>
      <c r="S105" s="97" t="str">
        <f t="array" ref="S105">IF(A105="","", IF( (ROUND(I105,4) &lt; INDEX('Tabela de ingredientes'!$O$1:$V$30, SWITCH(B105, "Gelatos de Leite", 7, "Sorbets", 10, "Gelatos de Leite com Fruta", 13, "Chocolate base água", 16, "Vegano", 19, "Alcoólicos", 22, "Zero", 25, "Gelatos Proteicos", 28, 7), 1)) + (ROUND(I105,4) &gt; INDEX('Tabela de ingredientes'!$O$1:$V$30, SWITCH(B105, "Gelatos de Leite", 8, "Sorbets", 11, "Gelatos de Leite com Fruta", 14, "Chocolate base água", 17, "Vegano", 20, "Alcoólicos", 23, "Zero", 26, "Gelatos Proteicos", 29, 8), 1)) + (ROUND(J105,4) &lt; INDEX('Tabela de ingredientes'!$O$1:$V$30, SWITCH(B105, "Gelatos de Leite", 7, "Sorbets", 10, "Gelatos de Leite com Fruta", 13, "Chocolate base água", 16, "Vegano", 19, "Alcoólicos", 22, "Zero", 25, "Gelatos Proteicos", 28, 7), 2)) + (ROUND(J105,4) &gt; INDEX('Tabela de ingredientes'!$O$1:$V$30, SWITCH(B105, "Gelatos de Leite", 8, "Sorbets", 11, "Gelatos de Leite com Fruta", 14, "Chocolate base água", 17, "Vegano", 20, "Alcoólicos", 23, "Zero", 26, "Gelatos Proteicos", 29, 8), 2)) + (ROUND(K105,4) &lt; INDEX('Tabela de ingredientes'!$O$1:$V$30, SWITCH(B105, "Gelatos de Leite", 7, "Sorbets", 10, "Gelatos de Leite com Fruta", 13, "Chocolate base água", 16, "Vegano", 19, "Alcoólicos", 22, "Zero", 25, "Gelatos Proteicos", 28, 7), 3)) + (ROUND(K105,4) &gt; INDEX('Tabela de ingredientes'!$O$1:$V$30, SWITCH(B105, "Gelatos de Leite", 8, "Sorbets", 11, "Gelatos de Leite com Fruta", 14, "Chocolate base água", 17, "Vegano", 20, "Alcoólicos", 23, "Zero", 26, "Gelatos Proteicos", 29, 8), 3)) + (ROUND(L105,4) &lt; INDEX('Tabela de ingredientes'!$O$1:$V$30, SWITCH(B105, "Gelatos de Leite", 7, "Sorbets", 10, "Gelatos de Leite com Fruta", 13, "Chocolate base água", 16, "Vegano", 19, "Alcoólicos", 22, "Zero", 25, "Gelatos Proteicos", 28, 7), 4)) + (ROUND(L105,4) &gt; INDEX('Tabela de ingredientes'!$O$1:$V$30, SWITCH(B105, "Gelatos de Leite", 8, "Sorbets", 11, "Gelatos de Leite com Fruta", 14, "Chocolate base água", 17, "Vegano", 20, "Alcoólicos", 23, "Zero", 26, "Gelatos Proteicos", 29, 8), 4)) + (ROUND(M105,4) &lt; INDEX('Tabela de ingredientes'!$O$1:$V$30, SWITCH(B105, "Gelatos de Leite", 7, "Sorbets", 10, "Gelatos de Leite com Fruta", 13, "Chocolate base água", 16, "Vegano", 19, "Alcoólicos", 22, "Zero", 25, "Gelatos Proteicos", 28, 7), 5)) + (ROUND(M105,4) &gt; INDEX('Tabela de ingredientes'!$O$1:$V$30, SWITCH(B105, "Gelatos de Leite", 8, "Sorbets", 11, "Gelatos de Leite com Fruta", 14, "Chocolate base água", 17, "Vegano", 20, "Alcoólicos", 23, "Zero", 26, "Gelatos Proteicos", 29, 8), 5)) + (ROUND(N105,4) &lt; INDEX('Tabela de ingredientes'!$O$1:$V$30, SWITCH(B105, "Gelatos de Leite", 7, "Sorbets", 10, "Gelatos de Leite com Fruta", 13, "Chocolate base água", 16, "Vegano", 19, "Alcoólicos", 22, "Zero", 25, "Gelatos Proteicos", 28, 7), 6)) + (ROUND(N105,4) &gt; INDEX('Tabela de ingredientes'!$O$1:$V$30, SWITCH(B105, "Gelatos de Leite", 8, "Sorbets", 11, "Gelatos de Leite com Fruta", 14, "Chocolate base água", 17, "Vegano", 20, "Alcoólicos", 23, "Zero", 26, "Gelatos Proteicos", 29, 8), 6)) + (ROUND(O105,4) &lt; INDEX('Tabela de ingredientes'!$O$1:$V$30, SWITCH(B105, "Gelatos de Leite", 7, "Sorbets", 10, "Gelatos de Leite com Fruta", 13, "Chocolate base água", 16, "Vegano", 19, "Alcoólicos", 22, "Zero", 25, "Gelatos Proteicos", 28, 7), 7)) + (ROUND(O105,4) &gt; INDEX('Tabela de ingredientes'!$O$1:$V$30, SWITCH(B105, "Gelatos de Leite", 8, "Sorbets", 11, "Gelatos de Leite com Fruta", 14, "Chocolate base água", 17, "Vegano", 20, "Alcoólicos", 23, "Zero", 26, "Gelatos Proteicos", 29, 8), 7)) + (ROUND(P105,4) &lt; INDEX('Tabela de ingredientes'!$O$1:$V$30, SWITCH(B105, "Gelatos de Leite", 7, "Sorbets", 10, "Gelatos de Leite com Fruta", 13, "Chocolate base água", 16, "Vegano", 19, "Alcoólicos", 22, "Zero", 25, "Gelatos Proteicos", 28, 7), 8)) + (ROUND(P105,4) &gt; INDEX('Tabela de ingredientes'!$O$1:$V$30, SWITCH(B105, "Gelatos de Leite", 8, "Sorbets", 11, "Gelatos de Leite com Fruta", 14, "Chocolate base água", 17, "Vegano", 20, "Alcoólicos", 23, "Zero", 26, "Gelatos Proteicos", 29, 8), 8)) + IF(B105="Gelatos Proteicos", (ROUND(Q105,4)&lt;'Tabela de ingredientes'!$W$28)+(ROUND(Q105,4)&gt;'Tabela de ingredientes'!$W$29), 0) = 0, "Ok", "Revisar"))</f>
        <v>Ok</v>
      </c>
    </row>
    <row r="106">
      <c r="A106" s="39" t="str">
        <f>IFERROR(__xludf.DUMMYFUNCTION("""COMPUTED_VALUE"""),"Sorbet de Maracujá (Addolcire)")</f>
        <v>Sorbet de Maracujá (Addolcire)</v>
      </c>
      <c r="B106" s="39" t="s">
        <v>86</v>
      </c>
      <c r="C106" s="39">
        <v>6.0</v>
      </c>
      <c r="D106" s="39">
        <v>995.0</v>
      </c>
      <c r="E106" s="39" t="s">
        <v>533</v>
      </c>
      <c r="F106" s="69">
        <v>3.9798994974874375</v>
      </c>
      <c r="G106" s="69">
        <v>0.23879396984924625</v>
      </c>
      <c r="H106" s="69">
        <v>25.64561216679424</v>
      </c>
      <c r="I106" s="59">
        <v>0.2858291457286432</v>
      </c>
      <c r="J106" s="59">
        <v>0.0</v>
      </c>
      <c r="K106" s="59">
        <v>0.0</v>
      </c>
      <c r="L106" s="59">
        <v>0.021105527638190954</v>
      </c>
      <c r="M106" s="59">
        <v>0.30693467336683417</v>
      </c>
      <c r="N106" s="59">
        <v>0.6930653266331659</v>
      </c>
      <c r="O106" s="39">
        <v>260.1005025125628</v>
      </c>
      <c r="P106" s="39">
        <v>329.64824120603015</v>
      </c>
      <c r="Q106" s="59">
        <v>0.0012060301507537687</v>
      </c>
      <c r="R106" s="39">
        <v>13.185929648241206</v>
      </c>
      <c r="S106" s="97" t="str">
        <f t="array" ref="S106">IF(A106="","", IF( (ROUND(I106,4) &lt; INDEX('Tabela de ingredientes'!$O$1:$V$30, SWITCH(B106, "Gelatos de Leite", 7, "Sorbets", 10, "Gelatos de Leite com Fruta", 13, "Chocolate base água", 16, "Vegano", 19, "Alcoólicos", 22, "Zero", 25, "Gelatos Proteicos", 28, 7), 1)) + (ROUND(I106,4) &gt; INDEX('Tabela de ingredientes'!$O$1:$V$30, SWITCH(B106, "Gelatos de Leite", 8, "Sorbets", 11, "Gelatos de Leite com Fruta", 14, "Chocolate base água", 17, "Vegano", 20, "Alcoólicos", 23, "Zero", 26, "Gelatos Proteicos", 29, 8), 1)) + (ROUND(J106,4) &lt; INDEX('Tabela de ingredientes'!$O$1:$V$30, SWITCH(B106, "Gelatos de Leite", 7, "Sorbets", 10, "Gelatos de Leite com Fruta", 13, "Chocolate base água", 16, "Vegano", 19, "Alcoólicos", 22, "Zero", 25, "Gelatos Proteicos", 28, 7), 2)) + (ROUND(J106,4) &gt; INDEX('Tabela de ingredientes'!$O$1:$V$30, SWITCH(B106, "Gelatos de Leite", 8, "Sorbets", 11, "Gelatos de Leite com Fruta", 14, "Chocolate base água", 17, "Vegano", 20, "Alcoólicos", 23, "Zero", 26, "Gelatos Proteicos", 29, 8), 2)) + (ROUND(K106,4) &lt; INDEX('Tabela de ingredientes'!$O$1:$V$30, SWITCH(B106, "Gelatos de Leite", 7, "Sorbets", 10, "Gelatos de Leite com Fruta", 13, "Chocolate base água", 16, "Vegano", 19, "Alcoólicos", 22, "Zero", 25, "Gelatos Proteicos", 28, 7), 3)) + (ROUND(K106,4) &gt; INDEX('Tabela de ingredientes'!$O$1:$V$30, SWITCH(B106, "Gelatos de Leite", 8, "Sorbets", 11, "Gelatos de Leite com Fruta", 14, "Chocolate base água", 17, "Vegano", 20, "Alcoólicos", 23, "Zero", 26, "Gelatos Proteicos", 29, 8), 3)) + (ROUND(L106,4) &lt; INDEX('Tabela de ingredientes'!$O$1:$V$30, SWITCH(B106, "Gelatos de Leite", 7, "Sorbets", 10, "Gelatos de Leite com Fruta", 13, "Chocolate base água", 16, "Vegano", 19, "Alcoólicos", 22, "Zero", 25, "Gelatos Proteicos", 28, 7), 4)) + (ROUND(L106,4) &gt; INDEX('Tabela de ingredientes'!$O$1:$V$30, SWITCH(B106, "Gelatos de Leite", 8, "Sorbets", 11, "Gelatos de Leite com Fruta", 14, "Chocolate base água", 17, "Vegano", 20, "Alcoólicos", 23, "Zero", 26, "Gelatos Proteicos", 29, 8), 4)) + (ROUND(M106,4) &lt; INDEX('Tabela de ingredientes'!$O$1:$V$30, SWITCH(B106, "Gelatos de Leite", 7, "Sorbets", 10, "Gelatos de Leite com Fruta", 13, "Chocolate base água", 16, "Vegano", 19, "Alcoólicos", 22, "Zero", 25, "Gelatos Proteicos", 28, 7), 5)) + (ROUND(M106,4) &gt; INDEX('Tabela de ingredientes'!$O$1:$V$30, SWITCH(B106, "Gelatos de Leite", 8, "Sorbets", 11, "Gelatos de Leite com Fruta", 14, "Chocolate base água", 17, "Vegano", 20, "Alcoólicos", 23, "Zero", 26, "Gelatos Proteicos", 29, 8), 5)) + (ROUND(N106,4) &lt; INDEX('Tabela de ingredientes'!$O$1:$V$30, SWITCH(B106, "Gelatos de Leite", 7, "Sorbets", 10, "Gelatos de Leite com Fruta", 13, "Chocolate base água", 16, "Vegano", 19, "Alcoólicos", 22, "Zero", 25, "Gelatos Proteicos", 28, 7), 6)) + (ROUND(N106,4) &gt; INDEX('Tabela de ingredientes'!$O$1:$V$30, SWITCH(B106, "Gelatos de Leite", 8, "Sorbets", 11, "Gelatos de Leite com Fruta", 14, "Chocolate base água", 17, "Vegano", 20, "Alcoólicos", 23, "Zero", 26, "Gelatos Proteicos", 29, 8), 6)) + (ROUND(O106,4) &lt; INDEX('Tabela de ingredientes'!$O$1:$V$30, SWITCH(B106, "Gelatos de Leite", 7, "Sorbets", 10, "Gelatos de Leite com Fruta", 13, "Chocolate base água", 16, "Vegano", 19, "Alcoólicos", 22, "Zero", 25, "Gelatos Proteicos", 28, 7), 7)) + (ROUND(O106,4) &gt; INDEX('Tabela de ingredientes'!$O$1:$V$30, SWITCH(B106, "Gelatos de Leite", 8, "Sorbets", 11, "Gelatos de Leite com Fruta", 14, "Chocolate base água", 17, "Vegano", 20, "Alcoólicos", 23, "Zero", 26, "Gelatos Proteicos", 29, 8), 7)) + (ROUND(P106,4) &lt; INDEX('Tabela de ingredientes'!$O$1:$V$30, SWITCH(B106, "Gelatos de Leite", 7, "Sorbets", 10, "Gelatos de Leite com Fruta", 13, "Chocolate base água", 16, "Vegano", 19, "Alcoólicos", 22, "Zero", 25, "Gelatos Proteicos", 28, 7), 8)) + (ROUND(P106,4) &gt; INDEX('Tabela de ingredientes'!$O$1:$V$30, SWITCH(B106, "Gelatos de Leite", 8, "Sorbets", 11, "Gelatos de Leite com Fruta", 14, "Chocolate base água", 17, "Vegano", 20, "Alcoólicos", 23, "Zero", 26, "Gelatos Proteicos", 29, 8), 8)) + IF(B106="Gelatos Proteicos", (ROUND(Q106,4)&lt;'Tabela de ingredientes'!$W$28)+(ROUND(Q106,4)&gt;'Tabela de ingredientes'!$W$29), 0) = 0, "Ok", "Revisar"))</f>
        <v>Revisar</v>
      </c>
    </row>
    <row r="107">
      <c r="A107" s="39" t="str">
        <f>IFERROR(__xludf.DUMMYFUNCTION("""COMPUTED_VALUE"""),"Sorbet de Melancia e Hortelã (Addolcire)")</f>
        <v>Sorbet de Melancia e Hortelã (Addolcire)</v>
      </c>
      <c r="B107" s="39" t="s">
        <v>86</v>
      </c>
      <c r="C107" s="39">
        <v>8.0</v>
      </c>
      <c r="D107" s="39">
        <v>1081.0</v>
      </c>
      <c r="E107" s="39" t="s">
        <v>445</v>
      </c>
      <c r="F107" s="69">
        <v>6.530989824236818</v>
      </c>
      <c r="G107" s="69">
        <v>0.39185938945420906</v>
      </c>
      <c r="H107" s="69">
        <v>27.757441907480818</v>
      </c>
      <c r="I107" s="59">
        <v>0.2546827012025902</v>
      </c>
      <c r="J107" s="59">
        <v>0.0</v>
      </c>
      <c r="K107" s="59">
        <v>0.0</v>
      </c>
      <c r="L107" s="59">
        <v>0.0389731729879741</v>
      </c>
      <c r="M107" s="59">
        <v>0.29365587419056427</v>
      </c>
      <c r="N107" s="59">
        <v>0.7063441258094357</v>
      </c>
      <c r="O107" s="39">
        <v>223.31174838112855</v>
      </c>
      <c r="P107" s="39">
        <v>290.009250693802</v>
      </c>
      <c r="Q107" s="59">
        <v>1.8316373728029603E-4</v>
      </c>
      <c r="R107" s="39">
        <v>11.600370027752081</v>
      </c>
      <c r="S107" s="97" t="str">
        <f t="array" ref="S107">IF(A107="","", IF( (ROUND(I107,4) &lt; INDEX('Tabela de ingredientes'!$O$1:$V$30, SWITCH(B107, "Gelatos de Leite", 7, "Sorbets", 10, "Gelatos de Leite com Fruta", 13, "Chocolate base água", 16, "Vegano", 19, "Alcoólicos", 22, "Zero", 25, "Gelatos Proteicos", 28, 7), 1)) + (ROUND(I107,4) &gt; INDEX('Tabela de ingredientes'!$O$1:$V$30, SWITCH(B107, "Gelatos de Leite", 8, "Sorbets", 11, "Gelatos de Leite com Fruta", 14, "Chocolate base água", 17, "Vegano", 20, "Alcoólicos", 23, "Zero", 26, "Gelatos Proteicos", 29, 8), 1)) + (ROUND(J107,4) &lt; INDEX('Tabela de ingredientes'!$O$1:$V$30, SWITCH(B107, "Gelatos de Leite", 7, "Sorbets", 10, "Gelatos de Leite com Fruta", 13, "Chocolate base água", 16, "Vegano", 19, "Alcoólicos", 22, "Zero", 25, "Gelatos Proteicos", 28, 7), 2)) + (ROUND(J107,4) &gt; INDEX('Tabela de ingredientes'!$O$1:$V$30, SWITCH(B107, "Gelatos de Leite", 8, "Sorbets", 11, "Gelatos de Leite com Fruta", 14, "Chocolate base água", 17, "Vegano", 20, "Alcoólicos", 23, "Zero", 26, "Gelatos Proteicos", 29, 8), 2)) + (ROUND(K107,4) &lt; INDEX('Tabela de ingredientes'!$O$1:$V$30, SWITCH(B107, "Gelatos de Leite", 7, "Sorbets", 10, "Gelatos de Leite com Fruta", 13, "Chocolate base água", 16, "Vegano", 19, "Alcoólicos", 22, "Zero", 25, "Gelatos Proteicos", 28, 7), 3)) + (ROUND(K107,4) &gt; INDEX('Tabela de ingredientes'!$O$1:$V$30, SWITCH(B107, "Gelatos de Leite", 8, "Sorbets", 11, "Gelatos de Leite com Fruta", 14, "Chocolate base água", 17, "Vegano", 20, "Alcoólicos", 23, "Zero", 26, "Gelatos Proteicos", 29, 8), 3)) + (ROUND(L107,4) &lt; INDEX('Tabela de ingredientes'!$O$1:$V$30, SWITCH(B107, "Gelatos de Leite", 7, "Sorbets", 10, "Gelatos de Leite com Fruta", 13, "Chocolate base água", 16, "Vegano", 19, "Alcoólicos", 22, "Zero", 25, "Gelatos Proteicos", 28, 7), 4)) + (ROUND(L107,4) &gt; INDEX('Tabela de ingredientes'!$O$1:$V$30, SWITCH(B107, "Gelatos de Leite", 8, "Sorbets", 11, "Gelatos de Leite com Fruta", 14, "Chocolate base água", 17, "Vegano", 20, "Alcoólicos", 23, "Zero", 26, "Gelatos Proteicos", 29, 8), 4)) + (ROUND(M107,4) &lt; INDEX('Tabela de ingredientes'!$O$1:$V$30, SWITCH(B107, "Gelatos de Leite", 7, "Sorbets", 10, "Gelatos de Leite com Fruta", 13, "Chocolate base água", 16, "Vegano", 19, "Alcoólicos", 22, "Zero", 25, "Gelatos Proteicos", 28, 7), 5)) + (ROUND(M107,4) &gt; INDEX('Tabela de ingredientes'!$O$1:$V$30, SWITCH(B107, "Gelatos de Leite", 8, "Sorbets", 11, "Gelatos de Leite com Fruta", 14, "Chocolate base água", 17, "Vegano", 20, "Alcoólicos", 23, "Zero", 26, "Gelatos Proteicos", 29, 8), 5)) + (ROUND(N107,4) &lt; INDEX('Tabela de ingredientes'!$O$1:$V$30, SWITCH(B107, "Gelatos de Leite", 7, "Sorbets", 10, "Gelatos de Leite com Fruta", 13, "Chocolate base água", 16, "Vegano", 19, "Alcoólicos", 22, "Zero", 25, "Gelatos Proteicos", 28, 7), 6)) + (ROUND(N107,4) &gt; INDEX('Tabela de ingredientes'!$O$1:$V$30, SWITCH(B107, "Gelatos de Leite", 8, "Sorbets", 11, "Gelatos de Leite com Fruta", 14, "Chocolate base água", 17, "Vegano", 20, "Alcoólicos", 23, "Zero", 26, "Gelatos Proteicos", 29, 8), 6)) + (ROUND(O107,4) &lt; INDEX('Tabela de ingredientes'!$O$1:$V$30, SWITCH(B107, "Gelatos de Leite", 7, "Sorbets", 10, "Gelatos de Leite com Fruta", 13, "Chocolate base água", 16, "Vegano", 19, "Alcoólicos", 22, "Zero", 25, "Gelatos Proteicos", 28, 7), 7)) + (ROUND(O107,4) &gt; INDEX('Tabela de ingredientes'!$O$1:$V$30, SWITCH(B107, "Gelatos de Leite", 8, "Sorbets", 11, "Gelatos de Leite com Fruta", 14, "Chocolate base água", 17, "Vegano", 20, "Alcoólicos", 23, "Zero", 26, "Gelatos Proteicos", 29, 8), 7)) + (ROUND(P107,4) &lt; INDEX('Tabela de ingredientes'!$O$1:$V$30, SWITCH(B107, "Gelatos de Leite", 7, "Sorbets", 10, "Gelatos de Leite com Fruta", 13, "Chocolate base água", 16, "Vegano", 19, "Alcoólicos", 22, "Zero", 25, "Gelatos Proteicos", 28, 7), 8)) + (ROUND(P107,4) &gt; INDEX('Tabela de ingredientes'!$O$1:$V$30, SWITCH(B107, "Gelatos de Leite", 8, "Sorbets", 11, "Gelatos de Leite com Fruta", 14, "Chocolate base água", 17, "Vegano", 20, "Alcoólicos", 23, "Zero", 26, "Gelatos Proteicos", 29, 8), 8)) + IF(B107="Gelatos Proteicos", (ROUND(Q107,4)&lt;'Tabela de ingredientes'!$W$28)+(ROUND(Q107,4)&gt;'Tabela de ingredientes'!$W$29), 0) = 0, "Ok", "Revisar"))</f>
        <v>Ok</v>
      </c>
    </row>
    <row r="108">
      <c r="A108" s="39" t="str">
        <f>IFERROR(__xludf.DUMMYFUNCTION("""COMPUTED_VALUE"""),"Sorbet de Mexerica (Addolcire)")</f>
        <v>Sorbet de Mexerica (Addolcire)</v>
      </c>
      <c r="B108" s="39" t="s">
        <v>86</v>
      </c>
      <c r="C108" s="39">
        <v>8.0</v>
      </c>
      <c r="D108" s="39">
        <v>1060.0</v>
      </c>
      <c r="E108" s="39" t="s">
        <v>622</v>
      </c>
      <c r="F108" s="69">
        <v>6.688679245283018</v>
      </c>
      <c r="G108" s="69">
        <v>0.4013207547169811</v>
      </c>
      <c r="H108" s="69">
        <v>27.887979507684623</v>
      </c>
      <c r="I108" s="59">
        <v>0.2660377358490566</v>
      </c>
      <c r="J108" s="59">
        <v>0.0</v>
      </c>
      <c r="K108" s="59">
        <v>0.0</v>
      </c>
      <c r="L108" s="59">
        <v>0.04962264150943396</v>
      </c>
      <c r="M108" s="59">
        <v>0.31566037735849056</v>
      </c>
      <c r="N108" s="59">
        <v>0.6843396226415095</v>
      </c>
      <c r="O108" s="39">
        <v>241.41509433962264</v>
      </c>
      <c r="P108" s="39">
        <v>315.39622641509436</v>
      </c>
      <c r="Q108" s="59">
        <v>0.006603773584905661</v>
      </c>
      <c r="R108" s="39">
        <v>12.615849056603775</v>
      </c>
      <c r="S108" s="97" t="str">
        <f t="array" ref="S108">IF(A108="","", IF( (ROUND(I108,4) &lt; INDEX('Tabela de ingredientes'!$O$1:$V$30, SWITCH(B108, "Gelatos de Leite", 7, "Sorbets", 10, "Gelatos de Leite com Fruta", 13, "Chocolate base água", 16, "Vegano", 19, "Alcoólicos", 22, "Zero", 25, "Gelatos Proteicos", 28, 7), 1)) + (ROUND(I108,4) &gt; INDEX('Tabela de ingredientes'!$O$1:$V$30, SWITCH(B108, "Gelatos de Leite", 8, "Sorbets", 11, "Gelatos de Leite com Fruta", 14, "Chocolate base água", 17, "Vegano", 20, "Alcoólicos", 23, "Zero", 26, "Gelatos Proteicos", 29, 8), 1)) + (ROUND(J108,4) &lt; INDEX('Tabela de ingredientes'!$O$1:$V$30, SWITCH(B108, "Gelatos de Leite", 7, "Sorbets", 10, "Gelatos de Leite com Fruta", 13, "Chocolate base água", 16, "Vegano", 19, "Alcoólicos", 22, "Zero", 25, "Gelatos Proteicos", 28, 7), 2)) + (ROUND(J108,4) &gt; INDEX('Tabela de ingredientes'!$O$1:$V$30, SWITCH(B108, "Gelatos de Leite", 8, "Sorbets", 11, "Gelatos de Leite com Fruta", 14, "Chocolate base água", 17, "Vegano", 20, "Alcoólicos", 23, "Zero", 26, "Gelatos Proteicos", 29, 8), 2)) + (ROUND(K108,4) &lt; INDEX('Tabela de ingredientes'!$O$1:$V$30, SWITCH(B108, "Gelatos de Leite", 7, "Sorbets", 10, "Gelatos de Leite com Fruta", 13, "Chocolate base água", 16, "Vegano", 19, "Alcoólicos", 22, "Zero", 25, "Gelatos Proteicos", 28, 7), 3)) + (ROUND(K108,4) &gt; INDEX('Tabela de ingredientes'!$O$1:$V$30, SWITCH(B108, "Gelatos de Leite", 8, "Sorbets", 11, "Gelatos de Leite com Fruta", 14, "Chocolate base água", 17, "Vegano", 20, "Alcoólicos", 23, "Zero", 26, "Gelatos Proteicos", 29, 8), 3)) + (ROUND(L108,4) &lt; INDEX('Tabela de ingredientes'!$O$1:$V$30, SWITCH(B108, "Gelatos de Leite", 7, "Sorbets", 10, "Gelatos de Leite com Fruta", 13, "Chocolate base água", 16, "Vegano", 19, "Alcoólicos", 22, "Zero", 25, "Gelatos Proteicos", 28, 7), 4)) + (ROUND(L108,4) &gt; INDEX('Tabela de ingredientes'!$O$1:$V$30, SWITCH(B108, "Gelatos de Leite", 8, "Sorbets", 11, "Gelatos de Leite com Fruta", 14, "Chocolate base água", 17, "Vegano", 20, "Alcoólicos", 23, "Zero", 26, "Gelatos Proteicos", 29, 8), 4)) + (ROUND(M108,4) &lt; INDEX('Tabela de ingredientes'!$O$1:$V$30, SWITCH(B108, "Gelatos de Leite", 7, "Sorbets", 10, "Gelatos de Leite com Fruta", 13, "Chocolate base água", 16, "Vegano", 19, "Alcoólicos", 22, "Zero", 25, "Gelatos Proteicos", 28, 7), 5)) + (ROUND(M108,4) &gt; INDEX('Tabela de ingredientes'!$O$1:$V$30, SWITCH(B108, "Gelatos de Leite", 8, "Sorbets", 11, "Gelatos de Leite com Fruta", 14, "Chocolate base água", 17, "Vegano", 20, "Alcoólicos", 23, "Zero", 26, "Gelatos Proteicos", 29, 8), 5)) + (ROUND(N108,4) &lt; INDEX('Tabela de ingredientes'!$O$1:$V$30, SWITCH(B108, "Gelatos de Leite", 7, "Sorbets", 10, "Gelatos de Leite com Fruta", 13, "Chocolate base água", 16, "Vegano", 19, "Alcoólicos", 22, "Zero", 25, "Gelatos Proteicos", 28, 7), 6)) + (ROUND(N108,4) &gt; INDEX('Tabela de ingredientes'!$O$1:$V$30, SWITCH(B108, "Gelatos de Leite", 8, "Sorbets", 11, "Gelatos de Leite com Fruta", 14, "Chocolate base água", 17, "Vegano", 20, "Alcoólicos", 23, "Zero", 26, "Gelatos Proteicos", 29, 8), 6)) + (ROUND(O108,4) &lt; INDEX('Tabela de ingredientes'!$O$1:$V$30, SWITCH(B108, "Gelatos de Leite", 7, "Sorbets", 10, "Gelatos de Leite com Fruta", 13, "Chocolate base água", 16, "Vegano", 19, "Alcoólicos", 22, "Zero", 25, "Gelatos Proteicos", 28, 7), 7)) + (ROUND(O108,4) &gt; INDEX('Tabela de ingredientes'!$O$1:$V$30, SWITCH(B108, "Gelatos de Leite", 8, "Sorbets", 11, "Gelatos de Leite com Fruta", 14, "Chocolate base água", 17, "Vegano", 20, "Alcoólicos", 23, "Zero", 26, "Gelatos Proteicos", 29, 8), 7)) + (ROUND(P108,4) &lt; INDEX('Tabela de ingredientes'!$O$1:$V$30, SWITCH(B108, "Gelatos de Leite", 7, "Sorbets", 10, "Gelatos de Leite com Fruta", 13, "Chocolate base água", 16, "Vegano", 19, "Alcoólicos", 22, "Zero", 25, "Gelatos Proteicos", 28, 7), 8)) + (ROUND(P108,4) &gt; INDEX('Tabela de ingredientes'!$O$1:$V$30, SWITCH(B108, "Gelatos de Leite", 8, "Sorbets", 11, "Gelatos de Leite com Fruta", 14, "Chocolate base água", 17, "Vegano", 20, "Alcoólicos", 23, "Zero", 26, "Gelatos Proteicos", 29, 8), 8)) + IF(B108="Gelatos Proteicos", (ROUND(Q108,4)&lt;'Tabela de ingredientes'!$W$28)+(ROUND(Q108,4)&gt;'Tabela de ingredientes'!$W$29), 0) = 0, "Ok", "Revisar"))</f>
        <v>Revisar</v>
      </c>
    </row>
    <row r="109">
      <c r="A109" s="39" t="str">
        <f>IFERROR(__xludf.DUMMYFUNCTION("""COMPUTED_VALUE"""),"Sorbet de Pêssego e Lavanda (Addolcire)")</f>
        <v>Sorbet de Pêssego e Lavanda (Addolcire)</v>
      </c>
      <c r="B109" s="39" t="s">
        <v>86</v>
      </c>
      <c r="C109" s="39">
        <v>7.0</v>
      </c>
      <c r="D109" s="39">
        <v>995.0</v>
      </c>
      <c r="E109" s="39" t="s">
        <v>533</v>
      </c>
      <c r="F109" s="69">
        <v>4.582914572864322</v>
      </c>
      <c r="G109" s="69">
        <v>0.2749748743718593</v>
      </c>
      <c r="H109" s="69">
        <v>26.144796831841333</v>
      </c>
      <c r="I109" s="59">
        <v>0.24613065326633166</v>
      </c>
      <c r="J109" s="59">
        <v>0.0</v>
      </c>
      <c r="K109" s="59">
        <v>0.0</v>
      </c>
      <c r="L109" s="59">
        <v>0.021306532663316582</v>
      </c>
      <c r="M109" s="59">
        <v>0.2674371859296482</v>
      </c>
      <c r="N109" s="59">
        <v>0.7325628140703517</v>
      </c>
      <c r="O109" s="39">
        <v>255.87939698492463</v>
      </c>
      <c r="P109" s="39">
        <v>333.3065326633166</v>
      </c>
      <c r="Q109" s="59">
        <v>0.005025125628140704</v>
      </c>
      <c r="R109" s="39">
        <v>13.332261306532665</v>
      </c>
      <c r="S109" s="97" t="str">
        <f t="array" ref="S109">IF(A109="","", IF( (ROUND(I109,4) &lt; INDEX('Tabela de ingredientes'!$O$1:$V$30, SWITCH(B109, "Gelatos de Leite", 7, "Sorbets", 10, "Gelatos de Leite com Fruta", 13, "Chocolate base água", 16, "Vegano", 19, "Alcoólicos", 22, "Zero", 25, "Gelatos Proteicos", 28, 7), 1)) + (ROUND(I109,4) &gt; INDEX('Tabela de ingredientes'!$O$1:$V$30, SWITCH(B109, "Gelatos de Leite", 8, "Sorbets", 11, "Gelatos de Leite com Fruta", 14, "Chocolate base água", 17, "Vegano", 20, "Alcoólicos", 23, "Zero", 26, "Gelatos Proteicos", 29, 8), 1)) + (ROUND(J109,4) &lt; INDEX('Tabela de ingredientes'!$O$1:$V$30, SWITCH(B109, "Gelatos de Leite", 7, "Sorbets", 10, "Gelatos de Leite com Fruta", 13, "Chocolate base água", 16, "Vegano", 19, "Alcoólicos", 22, "Zero", 25, "Gelatos Proteicos", 28, 7), 2)) + (ROUND(J109,4) &gt; INDEX('Tabela de ingredientes'!$O$1:$V$30, SWITCH(B109, "Gelatos de Leite", 8, "Sorbets", 11, "Gelatos de Leite com Fruta", 14, "Chocolate base água", 17, "Vegano", 20, "Alcoólicos", 23, "Zero", 26, "Gelatos Proteicos", 29, 8), 2)) + (ROUND(K109,4) &lt; INDEX('Tabela de ingredientes'!$O$1:$V$30, SWITCH(B109, "Gelatos de Leite", 7, "Sorbets", 10, "Gelatos de Leite com Fruta", 13, "Chocolate base água", 16, "Vegano", 19, "Alcoólicos", 22, "Zero", 25, "Gelatos Proteicos", 28, 7), 3)) + (ROUND(K109,4) &gt; INDEX('Tabela de ingredientes'!$O$1:$V$30, SWITCH(B109, "Gelatos de Leite", 8, "Sorbets", 11, "Gelatos de Leite com Fruta", 14, "Chocolate base água", 17, "Vegano", 20, "Alcoólicos", 23, "Zero", 26, "Gelatos Proteicos", 29, 8), 3)) + (ROUND(L109,4) &lt; INDEX('Tabela de ingredientes'!$O$1:$V$30, SWITCH(B109, "Gelatos de Leite", 7, "Sorbets", 10, "Gelatos de Leite com Fruta", 13, "Chocolate base água", 16, "Vegano", 19, "Alcoólicos", 22, "Zero", 25, "Gelatos Proteicos", 28, 7), 4)) + (ROUND(L109,4) &gt; INDEX('Tabela de ingredientes'!$O$1:$V$30, SWITCH(B109, "Gelatos de Leite", 8, "Sorbets", 11, "Gelatos de Leite com Fruta", 14, "Chocolate base água", 17, "Vegano", 20, "Alcoólicos", 23, "Zero", 26, "Gelatos Proteicos", 29, 8), 4)) + (ROUND(M109,4) &lt; INDEX('Tabela de ingredientes'!$O$1:$V$30, SWITCH(B109, "Gelatos de Leite", 7, "Sorbets", 10, "Gelatos de Leite com Fruta", 13, "Chocolate base água", 16, "Vegano", 19, "Alcoólicos", 22, "Zero", 25, "Gelatos Proteicos", 28, 7), 5)) + (ROUND(M109,4) &gt; INDEX('Tabela de ingredientes'!$O$1:$V$30, SWITCH(B109, "Gelatos de Leite", 8, "Sorbets", 11, "Gelatos de Leite com Fruta", 14, "Chocolate base água", 17, "Vegano", 20, "Alcoólicos", 23, "Zero", 26, "Gelatos Proteicos", 29, 8), 5)) + (ROUND(N109,4) &lt; INDEX('Tabela de ingredientes'!$O$1:$V$30, SWITCH(B109, "Gelatos de Leite", 7, "Sorbets", 10, "Gelatos de Leite com Fruta", 13, "Chocolate base água", 16, "Vegano", 19, "Alcoólicos", 22, "Zero", 25, "Gelatos Proteicos", 28, 7), 6)) + (ROUND(N109,4) &gt; INDEX('Tabela de ingredientes'!$O$1:$V$30, SWITCH(B109, "Gelatos de Leite", 8, "Sorbets", 11, "Gelatos de Leite com Fruta", 14, "Chocolate base água", 17, "Vegano", 20, "Alcoólicos", 23, "Zero", 26, "Gelatos Proteicos", 29, 8), 6)) + (ROUND(O109,4) &lt; INDEX('Tabela de ingredientes'!$O$1:$V$30, SWITCH(B109, "Gelatos de Leite", 7, "Sorbets", 10, "Gelatos de Leite com Fruta", 13, "Chocolate base água", 16, "Vegano", 19, "Alcoólicos", 22, "Zero", 25, "Gelatos Proteicos", 28, 7), 7)) + (ROUND(O109,4) &gt; INDEX('Tabela de ingredientes'!$O$1:$V$30, SWITCH(B109, "Gelatos de Leite", 8, "Sorbets", 11, "Gelatos de Leite com Fruta", 14, "Chocolate base água", 17, "Vegano", 20, "Alcoólicos", 23, "Zero", 26, "Gelatos Proteicos", 29, 8), 7)) + (ROUND(P109,4) &lt; INDEX('Tabela de ingredientes'!$O$1:$V$30, SWITCH(B109, "Gelatos de Leite", 7, "Sorbets", 10, "Gelatos de Leite com Fruta", 13, "Chocolate base água", 16, "Vegano", 19, "Alcoólicos", 22, "Zero", 25, "Gelatos Proteicos", 28, 7), 8)) + (ROUND(P109,4) &gt; INDEX('Tabela de ingredientes'!$O$1:$V$30, SWITCH(B109, "Gelatos de Leite", 8, "Sorbets", 11, "Gelatos de Leite com Fruta", 14, "Chocolate base água", 17, "Vegano", 20, "Alcoólicos", 23, "Zero", 26, "Gelatos Proteicos", 29, 8), 8)) + IF(B109="Gelatos Proteicos", (ROUND(Q109,4)&lt;'Tabela de ingredientes'!$W$28)+(ROUND(Q109,4)&gt;'Tabela de ingredientes'!$W$29), 0) = 0, "Ok", "Revisar"))</f>
        <v>Revisar</v>
      </c>
    </row>
    <row r="110">
      <c r="A110" s="39" t="str">
        <f>IFERROR(__xludf.DUMMYFUNCTION("""COMPUTED_VALUE"""),"Sorbet de Chocolate 70% (Addolcire)")</f>
        <v>Sorbet de Chocolate 70% (Addolcire)</v>
      </c>
      <c r="B110" s="39" t="s">
        <v>89</v>
      </c>
      <c r="C110" s="39">
        <v>6.0</v>
      </c>
      <c r="D110" s="39">
        <v>990.0</v>
      </c>
      <c r="E110" s="39" t="s">
        <v>623</v>
      </c>
      <c r="F110" s="69">
        <v>38.935353535353535</v>
      </c>
      <c r="G110" s="69">
        <v>2.336121212121212</v>
      </c>
      <c r="H110" s="69">
        <v>54.582246304100615</v>
      </c>
      <c r="I110" s="59">
        <v>0.29156565656565653</v>
      </c>
      <c r="J110" s="59">
        <v>0.07676767676767676</v>
      </c>
      <c r="K110" s="59">
        <v>0.0</v>
      </c>
      <c r="L110" s="59">
        <v>0.0696969696969697</v>
      </c>
      <c r="M110" s="59">
        <v>0.438030303030303</v>
      </c>
      <c r="N110" s="59">
        <v>0.561969696969697</v>
      </c>
      <c r="O110" s="39">
        <v>328.5858585858586</v>
      </c>
      <c r="P110" s="39">
        <v>246.36363636363637</v>
      </c>
      <c r="Q110" s="59">
        <v>0.010101010101010102</v>
      </c>
      <c r="R110" s="39">
        <v>12.318181818181818</v>
      </c>
      <c r="S110" s="97" t="str">
        <f t="array" ref="S110">IF(A110="","", IF( (ROUND(I110,4) &lt; INDEX('Tabela de ingredientes'!$O$1:$V$30, SWITCH(B110, "Gelatos de Leite", 7, "Sorbets", 10, "Gelatos de Leite com Fruta", 13, "Chocolate base água", 16, "Vegano", 19, "Alcoólicos", 22, "Zero", 25, "Gelatos Proteicos", 28, 7), 1)) + (ROUND(I110,4) &gt; INDEX('Tabela de ingredientes'!$O$1:$V$30, SWITCH(B110, "Gelatos de Leite", 8, "Sorbets", 11, "Gelatos de Leite com Fruta", 14, "Chocolate base água", 17, "Vegano", 20, "Alcoólicos", 23, "Zero", 26, "Gelatos Proteicos", 29, 8), 1)) + (ROUND(J110,4) &lt; INDEX('Tabela de ingredientes'!$O$1:$V$30, SWITCH(B110, "Gelatos de Leite", 7, "Sorbets", 10, "Gelatos de Leite com Fruta", 13, "Chocolate base água", 16, "Vegano", 19, "Alcoólicos", 22, "Zero", 25, "Gelatos Proteicos", 28, 7), 2)) + (ROUND(J110,4) &gt; INDEX('Tabela de ingredientes'!$O$1:$V$30, SWITCH(B110, "Gelatos de Leite", 8, "Sorbets", 11, "Gelatos de Leite com Fruta", 14, "Chocolate base água", 17, "Vegano", 20, "Alcoólicos", 23, "Zero", 26, "Gelatos Proteicos", 29, 8), 2)) + (ROUND(K110,4) &lt; INDEX('Tabela de ingredientes'!$O$1:$V$30, SWITCH(B110, "Gelatos de Leite", 7, "Sorbets", 10, "Gelatos de Leite com Fruta", 13, "Chocolate base água", 16, "Vegano", 19, "Alcoólicos", 22, "Zero", 25, "Gelatos Proteicos", 28, 7), 3)) + (ROUND(K110,4) &gt; INDEX('Tabela de ingredientes'!$O$1:$V$30, SWITCH(B110, "Gelatos de Leite", 8, "Sorbets", 11, "Gelatos de Leite com Fruta", 14, "Chocolate base água", 17, "Vegano", 20, "Alcoólicos", 23, "Zero", 26, "Gelatos Proteicos", 29, 8), 3)) + (ROUND(L110,4) &lt; INDEX('Tabela de ingredientes'!$O$1:$V$30, SWITCH(B110, "Gelatos de Leite", 7, "Sorbets", 10, "Gelatos de Leite com Fruta", 13, "Chocolate base água", 16, "Vegano", 19, "Alcoólicos", 22, "Zero", 25, "Gelatos Proteicos", 28, 7), 4)) + (ROUND(L110,4) &gt; INDEX('Tabela de ingredientes'!$O$1:$V$30, SWITCH(B110, "Gelatos de Leite", 8, "Sorbets", 11, "Gelatos de Leite com Fruta", 14, "Chocolate base água", 17, "Vegano", 20, "Alcoólicos", 23, "Zero", 26, "Gelatos Proteicos", 29, 8), 4)) + (ROUND(M110,4) &lt; INDEX('Tabela de ingredientes'!$O$1:$V$30, SWITCH(B110, "Gelatos de Leite", 7, "Sorbets", 10, "Gelatos de Leite com Fruta", 13, "Chocolate base água", 16, "Vegano", 19, "Alcoólicos", 22, "Zero", 25, "Gelatos Proteicos", 28, 7), 5)) + (ROUND(M110,4) &gt; INDEX('Tabela de ingredientes'!$O$1:$V$30, SWITCH(B110, "Gelatos de Leite", 8, "Sorbets", 11, "Gelatos de Leite com Fruta", 14, "Chocolate base água", 17, "Vegano", 20, "Alcoólicos", 23, "Zero", 26, "Gelatos Proteicos", 29, 8), 5)) + (ROUND(N110,4) &lt; INDEX('Tabela de ingredientes'!$O$1:$V$30, SWITCH(B110, "Gelatos de Leite", 7, "Sorbets", 10, "Gelatos de Leite com Fruta", 13, "Chocolate base água", 16, "Vegano", 19, "Alcoólicos", 22, "Zero", 25, "Gelatos Proteicos", 28, 7), 6)) + (ROUND(N110,4) &gt; INDEX('Tabela de ingredientes'!$O$1:$V$30, SWITCH(B110, "Gelatos de Leite", 8, "Sorbets", 11, "Gelatos de Leite com Fruta", 14, "Chocolate base água", 17, "Vegano", 20, "Alcoólicos", 23, "Zero", 26, "Gelatos Proteicos", 29, 8), 6)) + (ROUND(O110,4) &lt; INDEX('Tabela de ingredientes'!$O$1:$V$30, SWITCH(B110, "Gelatos de Leite", 7, "Sorbets", 10, "Gelatos de Leite com Fruta", 13, "Chocolate base água", 16, "Vegano", 19, "Alcoólicos", 22, "Zero", 25, "Gelatos Proteicos", 28, 7), 7)) + (ROUND(O110,4) &gt; INDEX('Tabela de ingredientes'!$O$1:$V$30, SWITCH(B110, "Gelatos de Leite", 8, "Sorbets", 11, "Gelatos de Leite com Fruta", 14, "Chocolate base água", 17, "Vegano", 20, "Alcoólicos", 23, "Zero", 26, "Gelatos Proteicos", 29, 8), 7)) + (ROUND(P110,4) &lt; INDEX('Tabela de ingredientes'!$O$1:$V$30, SWITCH(B110, "Gelatos de Leite", 7, "Sorbets", 10, "Gelatos de Leite com Fruta", 13, "Chocolate base água", 16, "Vegano", 19, "Alcoólicos", 22, "Zero", 25, "Gelatos Proteicos", 28, 7), 8)) + (ROUND(P110,4) &gt; INDEX('Tabela de ingredientes'!$O$1:$V$30, SWITCH(B110, "Gelatos de Leite", 8, "Sorbets", 11, "Gelatos de Leite com Fruta", 14, "Chocolate base água", 17, "Vegano", 20, "Alcoólicos", 23, "Zero", 26, "Gelatos Proteicos", 29, 8), 8)) + IF(B110="Gelatos Proteicos", (ROUND(Q110,4)&lt;'Tabela de ingredientes'!$W$28)+(ROUND(Q110,4)&gt;'Tabela de ingredientes'!$W$29), 0) = 0, "Ok", "Revisar"))</f>
        <v>Revisar</v>
      </c>
    </row>
    <row r="111">
      <c r="A111" s="39" t="str">
        <f>IFERROR(__xludf.DUMMYFUNCTION("""COMPUTED_VALUE"""),"Sorbet de Chocolate 40% (Addolcire)")</f>
        <v>Sorbet de Chocolate 40% (Addolcire)</v>
      </c>
      <c r="B111" s="39" t="s">
        <v>89</v>
      </c>
      <c r="C111" s="39">
        <v>6.0</v>
      </c>
      <c r="D111" s="39">
        <v>990.0</v>
      </c>
      <c r="E111" s="39" t="s">
        <v>623</v>
      </c>
      <c r="F111" s="69">
        <v>2.975757575757575</v>
      </c>
      <c r="G111" s="69">
        <v>0.1785454545454545</v>
      </c>
      <c r="H111" s="69">
        <v>24.81436885410396</v>
      </c>
      <c r="I111" s="59">
        <v>0.22085858585858587</v>
      </c>
      <c r="J111" s="59">
        <v>0.12373737373737373</v>
      </c>
      <c r="K111" s="59">
        <v>0.06363636363636363</v>
      </c>
      <c r="L111" s="59">
        <v>0.029797979797979803</v>
      </c>
      <c r="M111" s="59">
        <v>0.438030303030303</v>
      </c>
      <c r="N111" s="59">
        <v>0.561969696969697</v>
      </c>
      <c r="O111" s="39">
        <v>206.91313131313132</v>
      </c>
      <c r="P111" s="39">
        <v>271.26262626262627</v>
      </c>
      <c r="Q111" s="59">
        <v>0.020999999999999998</v>
      </c>
      <c r="R111" s="39">
        <v>13.563131313131313</v>
      </c>
      <c r="S111" s="97" t="str">
        <f t="array" ref="S111">IF(A111="","", IF( (ROUND(I111,4) &lt; INDEX('Tabela de ingredientes'!$O$1:$V$30, SWITCH(B111, "Gelatos de Leite", 7, "Sorbets", 10, "Gelatos de Leite com Fruta", 13, "Chocolate base água", 16, "Vegano", 19, "Alcoólicos", 22, "Zero", 25, "Gelatos Proteicos", 28, 7), 1)) + (ROUND(I111,4) &gt; INDEX('Tabela de ingredientes'!$O$1:$V$30, SWITCH(B111, "Gelatos de Leite", 8, "Sorbets", 11, "Gelatos de Leite com Fruta", 14, "Chocolate base água", 17, "Vegano", 20, "Alcoólicos", 23, "Zero", 26, "Gelatos Proteicos", 29, 8), 1)) + (ROUND(J111,4) &lt; INDEX('Tabela de ingredientes'!$O$1:$V$30, SWITCH(B111, "Gelatos de Leite", 7, "Sorbets", 10, "Gelatos de Leite com Fruta", 13, "Chocolate base água", 16, "Vegano", 19, "Alcoólicos", 22, "Zero", 25, "Gelatos Proteicos", 28, 7), 2)) + (ROUND(J111,4) &gt; INDEX('Tabela de ingredientes'!$O$1:$V$30, SWITCH(B111, "Gelatos de Leite", 8, "Sorbets", 11, "Gelatos de Leite com Fruta", 14, "Chocolate base água", 17, "Vegano", 20, "Alcoólicos", 23, "Zero", 26, "Gelatos Proteicos", 29, 8), 2)) + (ROUND(K111,4) &lt; INDEX('Tabela de ingredientes'!$O$1:$V$30, SWITCH(B111, "Gelatos de Leite", 7, "Sorbets", 10, "Gelatos de Leite com Fruta", 13, "Chocolate base água", 16, "Vegano", 19, "Alcoólicos", 22, "Zero", 25, "Gelatos Proteicos", 28, 7), 3)) + (ROUND(K111,4) &gt; INDEX('Tabela de ingredientes'!$O$1:$V$30, SWITCH(B111, "Gelatos de Leite", 8, "Sorbets", 11, "Gelatos de Leite com Fruta", 14, "Chocolate base água", 17, "Vegano", 20, "Alcoólicos", 23, "Zero", 26, "Gelatos Proteicos", 29, 8), 3)) + (ROUND(L111,4) &lt; INDEX('Tabela de ingredientes'!$O$1:$V$30, SWITCH(B111, "Gelatos de Leite", 7, "Sorbets", 10, "Gelatos de Leite com Fruta", 13, "Chocolate base água", 16, "Vegano", 19, "Alcoólicos", 22, "Zero", 25, "Gelatos Proteicos", 28, 7), 4)) + (ROUND(L111,4) &gt; INDEX('Tabela de ingredientes'!$O$1:$V$30, SWITCH(B111, "Gelatos de Leite", 8, "Sorbets", 11, "Gelatos de Leite com Fruta", 14, "Chocolate base água", 17, "Vegano", 20, "Alcoólicos", 23, "Zero", 26, "Gelatos Proteicos", 29, 8), 4)) + (ROUND(M111,4) &lt; INDEX('Tabela de ingredientes'!$O$1:$V$30, SWITCH(B111, "Gelatos de Leite", 7, "Sorbets", 10, "Gelatos de Leite com Fruta", 13, "Chocolate base água", 16, "Vegano", 19, "Alcoólicos", 22, "Zero", 25, "Gelatos Proteicos", 28, 7), 5)) + (ROUND(M111,4) &gt; INDEX('Tabela de ingredientes'!$O$1:$V$30, SWITCH(B111, "Gelatos de Leite", 8, "Sorbets", 11, "Gelatos de Leite com Fruta", 14, "Chocolate base água", 17, "Vegano", 20, "Alcoólicos", 23, "Zero", 26, "Gelatos Proteicos", 29, 8), 5)) + (ROUND(N111,4) &lt; INDEX('Tabela de ingredientes'!$O$1:$V$30, SWITCH(B111, "Gelatos de Leite", 7, "Sorbets", 10, "Gelatos de Leite com Fruta", 13, "Chocolate base água", 16, "Vegano", 19, "Alcoólicos", 22, "Zero", 25, "Gelatos Proteicos", 28, 7), 6)) + (ROUND(N111,4) &gt; INDEX('Tabela de ingredientes'!$O$1:$V$30, SWITCH(B111, "Gelatos de Leite", 8, "Sorbets", 11, "Gelatos de Leite com Fruta", 14, "Chocolate base água", 17, "Vegano", 20, "Alcoólicos", 23, "Zero", 26, "Gelatos Proteicos", 29, 8), 6)) + (ROUND(O111,4) &lt; INDEX('Tabela de ingredientes'!$O$1:$V$30, SWITCH(B111, "Gelatos de Leite", 7, "Sorbets", 10, "Gelatos de Leite com Fruta", 13, "Chocolate base água", 16, "Vegano", 19, "Alcoólicos", 22, "Zero", 25, "Gelatos Proteicos", 28, 7), 7)) + (ROUND(O111,4) &gt; INDEX('Tabela de ingredientes'!$O$1:$V$30, SWITCH(B111, "Gelatos de Leite", 8, "Sorbets", 11, "Gelatos de Leite com Fruta", 14, "Chocolate base água", 17, "Vegano", 20, "Alcoólicos", 23, "Zero", 26, "Gelatos Proteicos", 29, 8), 7)) + (ROUND(P111,4) &lt; INDEX('Tabela de ingredientes'!$O$1:$V$30, SWITCH(B111, "Gelatos de Leite", 7, "Sorbets", 10, "Gelatos de Leite com Fruta", 13, "Chocolate base água", 16, "Vegano", 19, "Alcoólicos", 22, "Zero", 25, "Gelatos Proteicos", 28, 7), 8)) + (ROUND(P111,4) &gt; INDEX('Tabela de ingredientes'!$O$1:$V$30, SWITCH(B111, "Gelatos de Leite", 8, "Sorbets", 11, "Gelatos de Leite com Fruta", 14, "Chocolate base água", 17, "Vegano", 20, "Alcoólicos", 23, "Zero", 26, "Gelatos Proteicos", 29, 8), 8)) + IF(B111="Gelatos Proteicos", (ROUND(Q111,4)&lt;'Tabela de ingredientes'!$W$28)+(ROUND(Q111,4)&gt;'Tabela de ingredientes'!$W$29), 0) = 0, "Ok", "Revisar"))</f>
        <v>Revisar</v>
      </c>
    </row>
    <row r="112">
      <c r="A112" s="39" t="str">
        <f>IFERROR(__xludf.DUMMYFUNCTION("""COMPUTED_VALUE"""),"Gelato de Cacau Base Água (Direto ao Ponto)")</f>
        <v>Gelato de Cacau Base Água (Direto ao Ponto)</v>
      </c>
      <c r="B112" s="39" t="s">
        <v>89</v>
      </c>
      <c r="C112" s="39">
        <v>9.0</v>
      </c>
      <c r="D112" s="39">
        <v>1001.0</v>
      </c>
      <c r="E112" s="39" t="s">
        <v>161</v>
      </c>
      <c r="F112" s="69">
        <v>20.917582417582416</v>
      </c>
      <c r="G112" s="69">
        <v>1.2550549450549449</v>
      </c>
      <c r="H112" s="69">
        <v>39.666872862237106</v>
      </c>
      <c r="I112" s="59">
        <v>0.18831168831168832</v>
      </c>
      <c r="J112" s="59">
        <v>0.06833166833166834</v>
      </c>
      <c r="K112" s="59">
        <v>0.0</v>
      </c>
      <c r="L112" s="59">
        <v>0.11498501498501498</v>
      </c>
      <c r="M112" s="59">
        <v>0.3716283716283717</v>
      </c>
      <c r="N112" s="59">
        <v>0.6283716283716283</v>
      </c>
      <c r="O112" s="39">
        <v>200.2997002997003</v>
      </c>
      <c r="P112" s="39">
        <v>214.78521478521478</v>
      </c>
      <c r="Q112" s="59">
        <v>0.01993006993006993</v>
      </c>
      <c r="R112" s="39">
        <v>10.73926073926074</v>
      </c>
      <c r="S112" s="97" t="str">
        <f t="array" ref="S112">IF(A112="","", IF( (ROUND(I112,4) &lt; INDEX('Tabela de ingredientes'!$O$1:$V$30, SWITCH(B112, "Gelatos de Leite", 7, "Sorbets", 10, "Gelatos de Leite com Fruta", 13, "Chocolate base água", 16, "Vegano", 19, "Alcoólicos", 22, "Zero", 25, "Gelatos Proteicos", 28, 7), 1)) + (ROUND(I112,4) &gt; INDEX('Tabela de ingredientes'!$O$1:$V$30, SWITCH(B112, "Gelatos de Leite", 8, "Sorbets", 11, "Gelatos de Leite com Fruta", 14, "Chocolate base água", 17, "Vegano", 20, "Alcoólicos", 23, "Zero", 26, "Gelatos Proteicos", 29, 8), 1)) + (ROUND(J112,4) &lt; INDEX('Tabela de ingredientes'!$O$1:$V$30, SWITCH(B112, "Gelatos de Leite", 7, "Sorbets", 10, "Gelatos de Leite com Fruta", 13, "Chocolate base água", 16, "Vegano", 19, "Alcoólicos", 22, "Zero", 25, "Gelatos Proteicos", 28, 7), 2)) + (ROUND(J112,4) &gt; INDEX('Tabela de ingredientes'!$O$1:$V$30, SWITCH(B112, "Gelatos de Leite", 8, "Sorbets", 11, "Gelatos de Leite com Fruta", 14, "Chocolate base água", 17, "Vegano", 20, "Alcoólicos", 23, "Zero", 26, "Gelatos Proteicos", 29, 8), 2)) + (ROUND(K112,4) &lt; INDEX('Tabela de ingredientes'!$O$1:$V$30, SWITCH(B112, "Gelatos de Leite", 7, "Sorbets", 10, "Gelatos de Leite com Fruta", 13, "Chocolate base água", 16, "Vegano", 19, "Alcoólicos", 22, "Zero", 25, "Gelatos Proteicos", 28, 7), 3)) + (ROUND(K112,4) &gt; INDEX('Tabela de ingredientes'!$O$1:$V$30, SWITCH(B112, "Gelatos de Leite", 8, "Sorbets", 11, "Gelatos de Leite com Fruta", 14, "Chocolate base água", 17, "Vegano", 20, "Alcoólicos", 23, "Zero", 26, "Gelatos Proteicos", 29, 8), 3)) + (ROUND(L112,4) &lt; INDEX('Tabela de ingredientes'!$O$1:$V$30, SWITCH(B112, "Gelatos de Leite", 7, "Sorbets", 10, "Gelatos de Leite com Fruta", 13, "Chocolate base água", 16, "Vegano", 19, "Alcoólicos", 22, "Zero", 25, "Gelatos Proteicos", 28, 7), 4)) + (ROUND(L112,4) &gt; INDEX('Tabela de ingredientes'!$O$1:$V$30, SWITCH(B112, "Gelatos de Leite", 8, "Sorbets", 11, "Gelatos de Leite com Fruta", 14, "Chocolate base água", 17, "Vegano", 20, "Alcoólicos", 23, "Zero", 26, "Gelatos Proteicos", 29, 8), 4)) + (ROUND(M112,4) &lt; INDEX('Tabela de ingredientes'!$O$1:$V$30, SWITCH(B112, "Gelatos de Leite", 7, "Sorbets", 10, "Gelatos de Leite com Fruta", 13, "Chocolate base água", 16, "Vegano", 19, "Alcoólicos", 22, "Zero", 25, "Gelatos Proteicos", 28, 7), 5)) + (ROUND(M112,4) &gt; INDEX('Tabela de ingredientes'!$O$1:$V$30, SWITCH(B112, "Gelatos de Leite", 8, "Sorbets", 11, "Gelatos de Leite com Fruta", 14, "Chocolate base água", 17, "Vegano", 20, "Alcoólicos", 23, "Zero", 26, "Gelatos Proteicos", 29, 8), 5)) + (ROUND(N112,4) &lt; INDEX('Tabela de ingredientes'!$O$1:$V$30, SWITCH(B112, "Gelatos de Leite", 7, "Sorbets", 10, "Gelatos de Leite com Fruta", 13, "Chocolate base água", 16, "Vegano", 19, "Alcoólicos", 22, "Zero", 25, "Gelatos Proteicos", 28, 7), 6)) + (ROUND(N112,4) &gt; INDEX('Tabela de ingredientes'!$O$1:$V$30, SWITCH(B112, "Gelatos de Leite", 8, "Sorbets", 11, "Gelatos de Leite com Fruta", 14, "Chocolate base água", 17, "Vegano", 20, "Alcoólicos", 23, "Zero", 26, "Gelatos Proteicos", 29, 8), 6)) + (ROUND(O112,4) &lt; INDEX('Tabela de ingredientes'!$O$1:$V$30, SWITCH(B112, "Gelatos de Leite", 7, "Sorbets", 10, "Gelatos de Leite com Fruta", 13, "Chocolate base água", 16, "Vegano", 19, "Alcoólicos", 22, "Zero", 25, "Gelatos Proteicos", 28, 7), 7)) + (ROUND(O112,4) &gt; INDEX('Tabela de ingredientes'!$O$1:$V$30, SWITCH(B112, "Gelatos de Leite", 8, "Sorbets", 11, "Gelatos de Leite com Fruta", 14, "Chocolate base água", 17, "Vegano", 20, "Alcoólicos", 23, "Zero", 26, "Gelatos Proteicos", 29, 8), 7)) + (ROUND(P112,4) &lt; INDEX('Tabela de ingredientes'!$O$1:$V$30, SWITCH(B112, "Gelatos de Leite", 7, "Sorbets", 10, "Gelatos de Leite com Fruta", 13, "Chocolate base água", 16, "Vegano", 19, "Alcoólicos", 22, "Zero", 25, "Gelatos Proteicos", 28, 7), 8)) + (ROUND(P112,4) &gt; INDEX('Tabela de ingredientes'!$O$1:$V$30, SWITCH(B112, "Gelatos de Leite", 8, "Sorbets", 11, "Gelatos de Leite com Fruta", 14, "Chocolate base água", 17, "Vegano", 20, "Alcoólicos", 23, "Zero", 26, "Gelatos Proteicos", 29, 8), 8)) + IF(B112="Gelatos Proteicos", (ROUND(Q112,4)&lt;'Tabela de ingredientes'!$W$28)+(ROUND(Q112,4)&gt;'Tabela de ingredientes'!$W$29), 0) = 0, "Ok", "Revisar"))</f>
        <v>Revisar</v>
      </c>
    </row>
    <row r="113">
      <c r="A113" s="39" t="str">
        <f>IFERROR(__xludf.DUMMYFUNCTION("""COMPUTED_VALUE"""),"Gelato de Pistache Vegano (Direto ao Ponto)")</f>
        <v>Gelato de Pistache Vegano (Direto ao Ponto)</v>
      </c>
      <c r="B113" s="39" t="s">
        <v>95</v>
      </c>
      <c r="C113" s="39">
        <v>8.0</v>
      </c>
      <c r="D113" s="39">
        <v>1002.0</v>
      </c>
      <c r="E113" s="39" t="s">
        <v>191</v>
      </c>
      <c r="F113" s="69">
        <v>43.030938123752485</v>
      </c>
      <c r="G113" s="69">
        <v>2.581856287425149</v>
      </c>
      <c r="H113" s="69">
        <v>57.97263089714612</v>
      </c>
      <c r="I113" s="59">
        <v>0.1848303393213573</v>
      </c>
      <c r="J113" s="59">
        <v>0.10698602794411179</v>
      </c>
      <c r="K113" s="59">
        <v>0.0</v>
      </c>
      <c r="L113" s="59">
        <v>0.10169660678642715</v>
      </c>
      <c r="M113" s="59">
        <v>0.3935129740518963</v>
      </c>
      <c r="N113" s="59">
        <v>0.6064870259481037</v>
      </c>
      <c r="O113" s="39">
        <v>167.76447105788424</v>
      </c>
      <c r="P113" s="39">
        <v>252.49500998003992</v>
      </c>
      <c r="Q113" s="59">
        <v>0.015568862275449104</v>
      </c>
      <c r="R113" s="39">
        <v>12.624750499001996</v>
      </c>
      <c r="S113" s="97" t="str">
        <f t="array" ref="S113">IF(A113="","", IF( (ROUND(I113,4) &lt; INDEX('Tabela de ingredientes'!$O$1:$V$30, SWITCH(B113, "Gelatos de Leite", 7, "Sorbets", 10, "Gelatos de Leite com Fruta", 13, "Chocolate base água", 16, "Vegano", 19, "Alcoólicos", 22, "Zero", 25, "Gelatos Proteicos", 28, 7), 1)) + (ROUND(I113,4) &gt; INDEX('Tabela de ingredientes'!$O$1:$V$30, SWITCH(B113, "Gelatos de Leite", 8, "Sorbets", 11, "Gelatos de Leite com Fruta", 14, "Chocolate base água", 17, "Vegano", 20, "Alcoólicos", 23, "Zero", 26, "Gelatos Proteicos", 29, 8), 1)) + (ROUND(J113,4) &lt; INDEX('Tabela de ingredientes'!$O$1:$V$30, SWITCH(B113, "Gelatos de Leite", 7, "Sorbets", 10, "Gelatos de Leite com Fruta", 13, "Chocolate base água", 16, "Vegano", 19, "Alcoólicos", 22, "Zero", 25, "Gelatos Proteicos", 28, 7), 2)) + (ROUND(J113,4) &gt; INDEX('Tabela de ingredientes'!$O$1:$V$30, SWITCH(B113, "Gelatos de Leite", 8, "Sorbets", 11, "Gelatos de Leite com Fruta", 14, "Chocolate base água", 17, "Vegano", 20, "Alcoólicos", 23, "Zero", 26, "Gelatos Proteicos", 29, 8), 2)) + (ROUND(K113,4) &lt; INDEX('Tabela de ingredientes'!$O$1:$V$30, SWITCH(B113, "Gelatos de Leite", 7, "Sorbets", 10, "Gelatos de Leite com Fruta", 13, "Chocolate base água", 16, "Vegano", 19, "Alcoólicos", 22, "Zero", 25, "Gelatos Proteicos", 28, 7), 3)) + (ROUND(K113,4) &gt; INDEX('Tabela de ingredientes'!$O$1:$V$30, SWITCH(B113, "Gelatos de Leite", 8, "Sorbets", 11, "Gelatos de Leite com Fruta", 14, "Chocolate base água", 17, "Vegano", 20, "Alcoólicos", 23, "Zero", 26, "Gelatos Proteicos", 29, 8), 3)) + (ROUND(L113,4) &lt; INDEX('Tabela de ingredientes'!$O$1:$V$30, SWITCH(B113, "Gelatos de Leite", 7, "Sorbets", 10, "Gelatos de Leite com Fruta", 13, "Chocolate base água", 16, "Vegano", 19, "Alcoólicos", 22, "Zero", 25, "Gelatos Proteicos", 28, 7), 4)) + (ROUND(L113,4) &gt; INDEX('Tabela de ingredientes'!$O$1:$V$30, SWITCH(B113, "Gelatos de Leite", 8, "Sorbets", 11, "Gelatos de Leite com Fruta", 14, "Chocolate base água", 17, "Vegano", 20, "Alcoólicos", 23, "Zero", 26, "Gelatos Proteicos", 29, 8), 4)) + (ROUND(M113,4) &lt; INDEX('Tabela de ingredientes'!$O$1:$V$30, SWITCH(B113, "Gelatos de Leite", 7, "Sorbets", 10, "Gelatos de Leite com Fruta", 13, "Chocolate base água", 16, "Vegano", 19, "Alcoólicos", 22, "Zero", 25, "Gelatos Proteicos", 28, 7), 5)) + (ROUND(M113,4) &gt; INDEX('Tabela de ingredientes'!$O$1:$V$30, SWITCH(B113, "Gelatos de Leite", 8, "Sorbets", 11, "Gelatos de Leite com Fruta", 14, "Chocolate base água", 17, "Vegano", 20, "Alcoólicos", 23, "Zero", 26, "Gelatos Proteicos", 29, 8), 5)) + (ROUND(N113,4) &lt; INDEX('Tabela de ingredientes'!$O$1:$V$30, SWITCH(B113, "Gelatos de Leite", 7, "Sorbets", 10, "Gelatos de Leite com Fruta", 13, "Chocolate base água", 16, "Vegano", 19, "Alcoólicos", 22, "Zero", 25, "Gelatos Proteicos", 28, 7), 6)) + (ROUND(N113,4) &gt; INDEX('Tabela de ingredientes'!$O$1:$V$30, SWITCH(B113, "Gelatos de Leite", 8, "Sorbets", 11, "Gelatos de Leite com Fruta", 14, "Chocolate base água", 17, "Vegano", 20, "Alcoólicos", 23, "Zero", 26, "Gelatos Proteicos", 29, 8), 6)) + (ROUND(O113,4) &lt; INDEX('Tabela de ingredientes'!$O$1:$V$30, SWITCH(B113, "Gelatos de Leite", 7, "Sorbets", 10, "Gelatos de Leite com Fruta", 13, "Chocolate base água", 16, "Vegano", 19, "Alcoólicos", 22, "Zero", 25, "Gelatos Proteicos", 28, 7), 7)) + (ROUND(O113,4) &gt; INDEX('Tabela de ingredientes'!$O$1:$V$30, SWITCH(B113, "Gelatos de Leite", 8, "Sorbets", 11, "Gelatos de Leite com Fruta", 14, "Chocolate base água", 17, "Vegano", 20, "Alcoólicos", 23, "Zero", 26, "Gelatos Proteicos", 29, 8), 7)) + (ROUND(P113,4) &lt; INDEX('Tabela de ingredientes'!$O$1:$V$30, SWITCH(B113, "Gelatos de Leite", 7, "Sorbets", 10, "Gelatos de Leite com Fruta", 13, "Chocolate base água", 16, "Vegano", 19, "Alcoólicos", 22, "Zero", 25, "Gelatos Proteicos", 28, 7), 8)) + (ROUND(P113,4) &gt; INDEX('Tabela de ingredientes'!$O$1:$V$30, SWITCH(B113, "Gelatos de Leite", 8, "Sorbets", 11, "Gelatos de Leite com Fruta", 14, "Chocolate base água", 17, "Vegano", 20, "Alcoólicos", 23, "Zero", 26, "Gelatos Proteicos", 29, 8), 8)) + IF(B113="Gelatos Proteicos", (ROUND(Q113,4)&lt;'Tabela de ingredientes'!$W$28)+(ROUND(Q113,4)&gt;'Tabela de ingredientes'!$W$29), 0) = 0, "Ok", "Revisar"))</f>
        <v>Ok</v>
      </c>
    </row>
    <row r="114">
      <c r="A114" s="39" t="str">
        <f>IFERROR(__xludf.DUMMYFUNCTION("""COMPUTED_VALUE"""),"Gelato de Avelã Vegano (Direto ao Ponto)")</f>
        <v>Gelato de Avelã Vegano (Direto ao Ponto)</v>
      </c>
      <c r="B114" s="39" t="s">
        <v>95</v>
      </c>
      <c r="C114" s="39">
        <v>8.0</v>
      </c>
      <c r="D114" s="39">
        <v>997.0</v>
      </c>
      <c r="E114" s="39" t="s">
        <v>224</v>
      </c>
      <c r="F114" s="69">
        <v>29.806419257773324</v>
      </c>
      <c r="G114" s="69">
        <v>1.7883851554663994</v>
      </c>
      <c r="H114" s="69">
        <v>47.025181504779255</v>
      </c>
      <c r="I114" s="59">
        <v>0.18174523570712137</v>
      </c>
      <c r="J114" s="59">
        <v>0.12487462387161484</v>
      </c>
      <c r="K114" s="59">
        <v>0.0</v>
      </c>
      <c r="L114" s="59">
        <v>0.0950852557673019</v>
      </c>
      <c r="M114" s="59">
        <v>0.40170511534603814</v>
      </c>
      <c r="N114" s="59">
        <v>0.5982948846539619</v>
      </c>
      <c r="O114" s="39">
        <v>167.5025075225677</v>
      </c>
      <c r="P114" s="39">
        <v>236.71013039117352</v>
      </c>
      <c r="Q114" s="59">
        <v>0.018254764292878638</v>
      </c>
      <c r="R114" s="39">
        <v>11.835506519558676</v>
      </c>
      <c r="S114" s="97" t="str">
        <f t="array" ref="S114">IF(A114="","", IF( (ROUND(I114,4) &lt; INDEX('Tabela de ingredientes'!$O$1:$V$30, SWITCH(B114, "Gelatos de Leite", 7, "Sorbets", 10, "Gelatos de Leite com Fruta", 13, "Chocolate base água", 16, "Vegano", 19, "Alcoólicos", 22, "Zero", 25, "Gelatos Proteicos", 28, 7), 1)) + (ROUND(I114,4) &gt; INDEX('Tabela de ingredientes'!$O$1:$V$30, SWITCH(B114, "Gelatos de Leite", 8, "Sorbets", 11, "Gelatos de Leite com Fruta", 14, "Chocolate base água", 17, "Vegano", 20, "Alcoólicos", 23, "Zero", 26, "Gelatos Proteicos", 29, 8), 1)) + (ROUND(J114,4) &lt; INDEX('Tabela de ingredientes'!$O$1:$V$30, SWITCH(B114, "Gelatos de Leite", 7, "Sorbets", 10, "Gelatos de Leite com Fruta", 13, "Chocolate base água", 16, "Vegano", 19, "Alcoólicos", 22, "Zero", 25, "Gelatos Proteicos", 28, 7), 2)) + (ROUND(J114,4) &gt; INDEX('Tabela de ingredientes'!$O$1:$V$30, SWITCH(B114, "Gelatos de Leite", 8, "Sorbets", 11, "Gelatos de Leite com Fruta", 14, "Chocolate base água", 17, "Vegano", 20, "Alcoólicos", 23, "Zero", 26, "Gelatos Proteicos", 29, 8), 2)) + (ROUND(K114,4) &lt; INDEX('Tabela de ingredientes'!$O$1:$V$30, SWITCH(B114, "Gelatos de Leite", 7, "Sorbets", 10, "Gelatos de Leite com Fruta", 13, "Chocolate base água", 16, "Vegano", 19, "Alcoólicos", 22, "Zero", 25, "Gelatos Proteicos", 28, 7), 3)) + (ROUND(K114,4) &gt; INDEX('Tabela de ingredientes'!$O$1:$V$30, SWITCH(B114, "Gelatos de Leite", 8, "Sorbets", 11, "Gelatos de Leite com Fruta", 14, "Chocolate base água", 17, "Vegano", 20, "Alcoólicos", 23, "Zero", 26, "Gelatos Proteicos", 29, 8), 3)) + (ROUND(L114,4) &lt; INDEX('Tabela de ingredientes'!$O$1:$V$30, SWITCH(B114, "Gelatos de Leite", 7, "Sorbets", 10, "Gelatos de Leite com Fruta", 13, "Chocolate base água", 16, "Vegano", 19, "Alcoólicos", 22, "Zero", 25, "Gelatos Proteicos", 28, 7), 4)) + (ROUND(L114,4) &gt; INDEX('Tabela de ingredientes'!$O$1:$V$30, SWITCH(B114, "Gelatos de Leite", 8, "Sorbets", 11, "Gelatos de Leite com Fruta", 14, "Chocolate base água", 17, "Vegano", 20, "Alcoólicos", 23, "Zero", 26, "Gelatos Proteicos", 29, 8), 4)) + (ROUND(M114,4) &lt; INDEX('Tabela de ingredientes'!$O$1:$V$30, SWITCH(B114, "Gelatos de Leite", 7, "Sorbets", 10, "Gelatos de Leite com Fruta", 13, "Chocolate base água", 16, "Vegano", 19, "Alcoólicos", 22, "Zero", 25, "Gelatos Proteicos", 28, 7), 5)) + (ROUND(M114,4) &gt; INDEX('Tabela de ingredientes'!$O$1:$V$30, SWITCH(B114, "Gelatos de Leite", 8, "Sorbets", 11, "Gelatos de Leite com Fruta", 14, "Chocolate base água", 17, "Vegano", 20, "Alcoólicos", 23, "Zero", 26, "Gelatos Proteicos", 29, 8), 5)) + (ROUND(N114,4) &lt; INDEX('Tabela de ingredientes'!$O$1:$V$30, SWITCH(B114, "Gelatos de Leite", 7, "Sorbets", 10, "Gelatos de Leite com Fruta", 13, "Chocolate base água", 16, "Vegano", 19, "Alcoólicos", 22, "Zero", 25, "Gelatos Proteicos", 28, 7), 6)) + (ROUND(N114,4) &gt; INDEX('Tabela de ingredientes'!$O$1:$V$30, SWITCH(B114, "Gelatos de Leite", 8, "Sorbets", 11, "Gelatos de Leite com Fruta", 14, "Chocolate base água", 17, "Vegano", 20, "Alcoólicos", 23, "Zero", 26, "Gelatos Proteicos", 29, 8), 6)) + (ROUND(O114,4) &lt; INDEX('Tabela de ingredientes'!$O$1:$V$30, SWITCH(B114, "Gelatos de Leite", 7, "Sorbets", 10, "Gelatos de Leite com Fruta", 13, "Chocolate base água", 16, "Vegano", 19, "Alcoólicos", 22, "Zero", 25, "Gelatos Proteicos", 28, 7), 7)) + (ROUND(O114,4) &gt; INDEX('Tabela de ingredientes'!$O$1:$V$30, SWITCH(B114, "Gelatos de Leite", 8, "Sorbets", 11, "Gelatos de Leite com Fruta", 14, "Chocolate base água", 17, "Vegano", 20, "Alcoólicos", 23, "Zero", 26, "Gelatos Proteicos", 29, 8), 7)) + (ROUND(P114,4) &lt; INDEX('Tabela de ingredientes'!$O$1:$V$30, SWITCH(B114, "Gelatos de Leite", 7, "Sorbets", 10, "Gelatos de Leite com Fruta", 13, "Chocolate base água", 16, "Vegano", 19, "Alcoólicos", 22, "Zero", 25, "Gelatos Proteicos", 28, 7), 8)) + (ROUND(P114,4) &gt; INDEX('Tabela de ingredientes'!$O$1:$V$30, SWITCH(B114, "Gelatos de Leite", 8, "Sorbets", 11, "Gelatos de Leite com Fruta", 14, "Chocolate base água", 17, "Vegano", 20, "Alcoólicos", 23, "Zero", 26, "Gelatos Proteicos", 29, 8), 8)) + IF(B114="Gelatos Proteicos", (ROUND(Q114,4)&lt;'Tabela de ingredientes'!$W$28)+(ROUND(Q114,4)&gt;'Tabela de ingredientes'!$W$29), 0) = 0, "Ok", "Revisar"))</f>
        <v>Ok</v>
      </c>
    </row>
    <row r="115">
      <c r="A115" s="39" t="str">
        <f>IFERROR(__xludf.DUMMYFUNCTION("""COMPUTED_VALUE"""),"Gelato de Avelã com Chocolate Vegano (Direto ao Ponto)")</f>
        <v>Gelato de Avelã com Chocolate Vegano (Direto ao Ponto)</v>
      </c>
      <c r="B115" s="39" t="s">
        <v>95</v>
      </c>
      <c r="C115" s="39">
        <v>9.0</v>
      </c>
      <c r="D115" s="39">
        <v>992.0</v>
      </c>
      <c r="E115" s="39" t="s">
        <v>504</v>
      </c>
      <c r="F115" s="69">
        <v>33.70665322580645</v>
      </c>
      <c r="G115" s="69">
        <v>2.0223991935483867</v>
      </c>
      <c r="H115" s="69">
        <v>50.25385200811793</v>
      </c>
      <c r="I115" s="59">
        <v>0.18407258064516127</v>
      </c>
      <c r="J115" s="59">
        <v>0.10211693548387096</v>
      </c>
      <c r="K115" s="59">
        <v>0.0</v>
      </c>
      <c r="L115" s="59">
        <v>0.10241935483870968</v>
      </c>
      <c r="M115" s="59">
        <v>0.3886088709677419</v>
      </c>
      <c r="N115" s="59">
        <v>0.6113911290322581</v>
      </c>
      <c r="O115" s="39">
        <v>188.30645161290323</v>
      </c>
      <c r="P115" s="39">
        <v>222.78225806451613</v>
      </c>
      <c r="Q115" s="59">
        <v>0.015725806451612905</v>
      </c>
      <c r="R115" s="39">
        <v>11.139112903225806</v>
      </c>
      <c r="S115" s="97" t="str">
        <f t="array" ref="S115">IF(A115="","", IF( (ROUND(I115,4) &lt; INDEX('Tabela de ingredientes'!$O$1:$V$30, SWITCH(B115, "Gelatos de Leite", 7, "Sorbets", 10, "Gelatos de Leite com Fruta", 13, "Chocolate base água", 16, "Vegano", 19, "Alcoólicos", 22, "Zero", 25, "Gelatos Proteicos", 28, 7), 1)) + (ROUND(I115,4) &gt; INDEX('Tabela de ingredientes'!$O$1:$V$30, SWITCH(B115, "Gelatos de Leite", 8, "Sorbets", 11, "Gelatos de Leite com Fruta", 14, "Chocolate base água", 17, "Vegano", 20, "Alcoólicos", 23, "Zero", 26, "Gelatos Proteicos", 29, 8), 1)) + (ROUND(J115,4) &lt; INDEX('Tabela de ingredientes'!$O$1:$V$30, SWITCH(B115, "Gelatos de Leite", 7, "Sorbets", 10, "Gelatos de Leite com Fruta", 13, "Chocolate base água", 16, "Vegano", 19, "Alcoólicos", 22, "Zero", 25, "Gelatos Proteicos", 28, 7), 2)) + (ROUND(J115,4) &gt; INDEX('Tabela de ingredientes'!$O$1:$V$30, SWITCH(B115, "Gelatos de Leite", 8, "Sorbets", 11, "Gelatos de Leite com Fruta", 14, "Chocolate base água", 17, "Vegano", 20, "Alcoólicos", 23, "Zero", 26, "Gelatos Proteicos", 29, 8), 2)) + (ROUND(K115,4) &lt; INDEX('Tabela de ingredientes'!$O$1:$V$30, SWITCH(B115, "Gelatos de Leite", 7, "Sorbets", 10, "Gelatos de Leite com Fruta", 13, "Chocolate base água", 16, "Vegano", 19, "Alcoólicos", 22, "Zero", 25, "Gelatos Proteicos", 28, 7), 3)) + (ROUND(K115,4) &gt; INDEX('Tabela de ingredientes'!$O$1:$V$30, SWITCH(B115, "Gelatos de Leite", 8, "Sorbets", 11, "Gelatos de Leite com Fruta", 14, "Chocolate base água", 17, "Vegano", 20, "Alcoólicos", 23, "Zero", 26, "Gelatos Proteicos", 29, 8), 3)) + (ROUND(L115,4) &lt; INDEX('Tabela de ingredientes'!$O$1:$V$30, SWITCH(B115, "Gelatos de Leite", 7, "Sorbets", 10, "Gelatos de Leite com Fruta", 13, "Chocolate base água", 16, "Vegano", 19, "Alcoólicos", 22, "Zero", 25, "Gelatos Proteicos", 28, 7), 4)) + (ROUND(L115,4) &gt; INDEX('Tabela de ingredientes'!$O$1:$V$30, SWITCH(B115, "Gelatos de Leite", 8, "Sorbets", 11, "Gelatos de Leite com Fruta", 14, "Chocolate base água", 17, "Vegano", 20, "Alcoólicos", 23, "Zero", 26, "Gelatos Proteicos", 29, 8), 4)) + (ROUND(M115,4) &lt; INDEX('Tabela de ingredientes'!$O$1:$V$30, SWITCH(B115, "Gelatos de Leite", 7, "Sorbets", 10, "Gelatos de Leite com Fruta", 13, "Chocolate base água", 16, "Vegano", 19, "Alcoólicos", 22, "Zero", 25, "Gelatos Proteicos", 28, 7), 5)) + (ROUND(M115,4) &gt; INDEX('Tabela de ingredientes'!$O$1:$V$30, SWITCH(B115, "Gelatos de Leite", 8, "Sorbets", 11, "Gelatos de Leite com Fruta", 14, "Chocolate base água", 17, "Vegano", 20, "Alcoólicos", 23, "Zero", 26, "Gelatos Proteicos", 29, 8), 5)) + (ROUND(N115,4) &lt; INDEX('Tabela de ingredientes'!$O$1:$V$30, SWITCH(B115, "Gelatos de Leite", 7, "Sorbets", 10, "Gelatos de Leite com Fruta", 13, "Chocolate base água", 16, "Vegano", 19, "Alcoólicos", 22, "Zero", 25, "Gelatos Proteicos", 28, 7), 6)) + (ROUND(N115,4) &gt; INDEX('Tabela de ingredientes'!$O$1:$V$30, SWITCH(B115, "Gelatos de Leite", 8, "Sorbets", 11, "Gelatos de Leite com Fruta", 14, "Chocolate base água", 17, "Vegano", 20, "Alcoólicos", 23, "Zero", 26, "Gelatos Proteicos", 29, 8), 6)) + (ROUND(O115,4) &lt; INDEX('Tabela de ingredientes'!$O$1:$V$30, SWITCH(B115, "Gelatos de Leite", 7, "Sorbets", 10, "Gelatos de Leite com Fruta", 13, "Chocolate base água", 16, "Vegano", 19, "Alcoólicos", 22, "Zero", 25, "Gelatos Proteicos", 28, 7), 7)) + (ROUND(O115,4) &gt; INDEX('Tabela de ingredientes'!$O$1:$V$30, SWITCH(B115, "Gelatos de Leite", 8, "Sorbets", 11, "Gelatos de Leite com Fruta", 14, "Chocolate base água", 17, "Vegano", 20, "Alcoólicos", 23, "Zero", 26, "Gelatos Proteicos", 29, 8), 7)) + (ROUND(P115,4) &lt; INDEX('Tabela de ingredientes'!$O$1:$V$30, SWITCH(B115, "Gelatos de Leite", 7, "Sorbets", 10, "Gelatos de Leite com Fruta", 13, "Chocolate base água", 16, "Vegano", 19, "Alcoólicos", 22, "Zero", 25, "Gelatos Proteicos", 28, 7), 8)) + (ROUND(P115,4) &gt; INDEX('Tabela de ingredientes'!$O$1:$V$30, SWITCH(B115, "Gelatos de Leite", 8, "Sorbets", 11, "Gelatos de Leite com Fruta", 14, "Chocolate base água", 17, "Vegano", 20, "Alcoólicos", 23, "Zero", 26, "Gelatos Proteicos", 29, 8), 8)) + IF(B115="Gelatos Proteicos", (ROUND(Q115,4)&lt;'Tabela de ingredientes'!$W$28)+(ROUND(Q115,4)&gt;'Tabela de ingredientes'!$W$29), 0) = 0, "Ok", "Revisar"))</f>
        <v>Ok</v>
      </c>
    </row>
    <row r="116">
      <c r="A116" s="39" t="str">
        <f>IFERROR(__xludf.DUMMYFUNCTION("""COMPUTED_VALUE"""),"Gelato de Amendoim Vegano (Direto ao Ponto)")</f>
        <v>Gelato de Amendoim Vegano (Direto ao Ponto)</v>
      </c>
      <c r="B116" s="39" t="s">
        <v>95</v>
      </c>
      <c r="C116" s="39">
        <v>8.0</v>
      </c>
      <c r="D116" s="39">
        <v>1002.0</v>
      </c>
      <c r="E116" s="39" t="s">
        <v>191</v>
      </c>
      <c r="F116" s="69">
        <v>7.86127744510978</v>
      </c>
      <c r="G116" s="69">
        <v>0.4716766467065868</v>
      </c>
      <c r="H116" s="69">
        <v>28.8586733817134</v>
      </c>
      <c r="I116" s="59">
        <v>0.18948103792415172</v>
      </c>
      <c r="J116" s="59">
        <v>0.10114271457085829</v>
      </c>
      <c r="K116" s="59">
        <v>0.0</v>
      </c>
      <c r="L116" s="59">
        <v>0.11993013972055888</v>
      </c>
      <c r="M116" s="59">
        <v>0.41055389221556887</v>
      </c>
      <c r="N116" s="59">
        <v>0.5894461077844311</v>
      </c>
      <c r="O116" s="39">
        <v>166.66666666666666</v>
      </c>
      <c r="P116" s="39">
        <v>235.52894211576847</v>
      </c>
      <c r="Q116" s="59">
        <v>0.04067365269461078</v>
      </c>
      <c r="R116" s="39">
        <v>11.776447105788424</v>
      </c>
      <c r="S116" s="97" t="str">
        <f t="array" ref="S116">IF(A116="","", IF( (ROUND(I116,4) &lt; INDEX('Tabela de ingredientes'!$O$1:$V$30, SWITCH(B116, "Gelatos de Leite", 7, "Sorbets", 10, "Gelatos de Leite com Fruta", 13, "Chocolate base água", 16, "Vegano", 19, "Alcoólicos", 22, "Zero", 25, "Gelatos Proteicos", 28, 7), 1)) + (ROUND(I116,4) &gt; INDEX('Tabela de ingredientes'!$O$1:$V$30, SWITCH(B116, "Gelatos de Leite", 8, "Sorbets", 11, "Gelatos de Leite com Fruta", 14, "Chocolate base água", 17, "Vegano", 20, "Alcoólicos", 23, "Zero", 26, "Gelatos Proteicos", 29, 8), 1)) + (ROUND(J116,4) &lt; INDEX('Tabela de ingredientes'!$O$1:$V$30, SWITCH(B116, "Gelatos de Leite", 7, "Sorbets", 10, "Gelatos de Leite com Fruta", 13, "Chocolate base água", 16, "Vegano", 19, "Alcoólicos", 22, "Zero", 25, "Gelatos Proteicos", 28, 7), 2)) + (ROUND(J116,4) &gt; INDEX('Tabela de ingredientes'!$O$1:$V$30, SWITCH(B116, "Gelatos de Leite", 8, "Sorbets", 11, "Gelatos de Leite com Fruta", 14, "Chocolate base água", 17, "Vegano", 20, "Alcoólicos", 23, "Zero", 26, "Gelatos Proteicos", 29, 8), 2)) + (ROUND(K116,4) &lt; INDEX('Tabela de ingredientes'!$O$1:$V$30, SWITCH(B116, "Gelatos de Leite", 7, "Sorbets", 10, "Gelatos de Leite com Fruta", 13, "Chocolate base água", 16, "Vegano", 19, "Alcoólicos", 22, "Zero", 25, "Gelatos Proteicos", 28, 7), 3)) + (ROUND(K116,4) &gt; INDEX('Tabela de ingredientes'!$O$1:$V$30, SWITCH(B116, "Gelatos de Leite", 8, "Sorbets", 11, "Gelatos de Leite com Fruta", 14, "Chocolate base água", 17, "Vegano", 20, "Alcoólicos", 23, "Zero", 26, "Gelatos Proteicos", 29, 8), 3)) + (ROUND(L116,4) &lt; INDEX('Tabela de ingredientes'!$O$1:$V$30, SWITCH(B116, "Gelatos de Leite", 7, "Sorbets", 10, "Gelatos de Leite com Fruta", 13, "Chocolate base água", 16, "Vegano", 19, "Alcoólicos", 22, "Zero", 25, "Gelatos Proteicos", 28, 7), 4)) + (ROUND(L116,4) &gt; INDEX('Tabela de ingredientes'!$O$1:$V$30, SWITCH(B116, "Gelatos de Leite", 8, "Sorbets", 11, "Gelatos de Leite com Fruta", 14, "Chocolate base água", 17, "Vegano", 20, "Alcoólicos", 23, "Zero", 26, "Gelatos Proteicos", 29, 8), 4)) + (ROUND(M116,4) &lt; INDEX('Tabela de ingredientes'!$O$1:$V$30, SWITCH(B116, "Gelatos de Leite", 7, "Sorbets", 10, "Gelatos de Leite com Fruta", 13, "Chocolate base água", 16, "Vegano", 19, "Alcoólicos", 22, "Zero", 25, "Gelatos Proteicos", 28, 7), 5)) + (ROUND(M116,4) &gt; INDEX('Tabela de ingredientes'!$O$1:$V$30, SWITCH(B116, "Gelatos de Leite", 8, "Sorbets", 11, "Gelatos de Leite com Fruta", 14, "Chocolate base água", 17, "Vegano", 20, "Alcoólicos", 23, "Zero", 26, "Gelatos Proteicos", 29, 8), 5)) + (ROUND(N116,4) &lt; INDEX('Tabela de ingredientes'!$O$1:$V$30, SWITCH(B116, "Gelatos de Leite", 7, "Sorbets", 10, "Gelatos de Leite com Fruta", 13, "Chocolate base água", 16, "Vegano", 19, "Alcoólicos", 22, "Zero", 25, "Gelatos Proteicos", 28, 7), 6)) + (ROUND(N116,4) &gt; INDEX('Tabela de ingredientes'!$O$1:$V$30, SWITCH(B116, "Gelatos de Leite", 8, "Sorbets", 11, "Gelatos de Leite com Fruta", 14, "Chocolate base água", 17, "Vegano", 20, "Alcoólicos", 23, "Zero", 26, "Gelatos Proteicos", 29, 8), 6)) + (ROUND(O116,4) &lt; INDEX('Tabela de ingredientes'!$O$1:$V$30, SWITCH(B116, "Gelatos de Leite", 7, "Sorbets", 10, "Gelatos de Leite com Fruta", 13, "Chocolate base água", 16, "Vegano", 19, "Alcoólicos", 22, "Zero", 25, "Gelatos Proteicos", 28, 7), 7)) + (ROUND(O116,4) &gt; INDEX('Tabela de ingredientes'!$O$1:$V$30, SWITCH(B116, "Gelatos de Leite", 8, "Sorbets", 11, "Gelatos de Leite com Fruta", 14, "Chocolate base água", 17, "Vegano", 20, "Alcoólicos", 23, "Zero", 26, "Gelatos Proteicos", 29, 8), 7)) + (ROUND(P116,4) &lt; INDEX('Tabela de ingredientes'!$O$1:$V$30, SWITCH(B116, "Gelatos de Leite", 7, "Sorbets", 10, "Gelatos de Leite com Fruta", 13, "Chocolate base água", 16, "Vegano", 19, "Alcoólicos", 22, "Zero", 25, "Gelatos Proteicos", 28, 7), 8)) + (ROUND(P116,4) &gt; INDEX('Tabela de ingredientes'!$O$1:$V$30, SWITCH(B116, "Gelatos de Leite", 8, "Sorbets", 11, "Gelatos de Leite com Fruta", 14, "Chocolate base água", 17, "Vegano", 20, "Alcoólicos", 23, "Zero", 26, "Gelatos Proteicos", 29, 8), 8)) + IF(B116="Gelatos Proteicos", (ROUND(Q116,4)&lt;'Tabela de ingredientes'!$W$28)+(ROUND(Q116,4)&gt;'Tabela de ingredientes'!$W$29), 0) = 0, "Ok", "Revisar"))</f>
        <v>Ok</v>
      </c>
    </row>
    <row r="117">
      <c r="A117" s="39" t="str">
        <f>IFERROR(__xludf.DUMMYFUNCTION("""COMPUTED_VALUE"""),"Gelato de Coco Vegano (Direto ao Ponto)")</f>
        <v>Gelato de Coco Vegano (Direto ao Ponto)</v>
      </c>
      <c r="B117" s="39" t="s">
        <v>95</v>
      </c>
      <c r="C117" s="39">
        <v>9.0</v>
      </c>
      <c r="D117" s="39">
        <v>1006.0</v>
      </c>
      <c r="E117" s="39" t="s">
        <v>322</v>
      </c>
      <c r="F117" s="69">
        <v>17.896123260437374</v>
      </c>
      <c r="G117" s="69">
        <v>1.0737673956262423</v>
      </c>
      <c r="H117" s="69">
        <v>37.1656649506932</v>
      </c>
      <c r="I117" s="59">
        <v>0.21928429423459245</v>
      </c>
      <c r="J117" s="59">
        <v>0.11212723658051689</v>
      </c>
      <c r="K117" s="59">
        <v>0.0</v>
      </c>
      <c r="L117" s="59">
        <v>0.0724155069582505</v>
      </c>
      <c r="M117" s="59">
        <v>0.4038270377733598</v>
      </c>
      <c r="N117" s="59">
        <v>0.5961729622266402</v>
      </c>
      <c r="O117" s="39">
        <v>185.88469184890656</v>
      </c>
      <c r="P117" s="39">
        <v>260.1988071570577</v>
      </c>
      <c r="Q117" s="59">
        <v>0.0015904572564612327</v>
      </c>
      <c r="R117" s="39">
        <v>13.009940357852884</v>
      </c>
      <c r="S117" s="97" t="str">
        <f t="array" ref="S117">IF(A117="","", IF( (ROUND(I117,4) &lt; INDEX('Tabela de ingredientes'!$O$1:$V$30, SWITCH(B117, "Gelatos de Leite", 7, "Sorbets", 10, "Gelatos de Leite com Fruta", 13, "Chocolate base água", 16, "Vegano", 19, "Alcoólicos", 22, "Zero", 25, "Gelatos Proteicos", 28, 7), 1)) + (ROUND(I117,4) &gt; INDEX('Tabela de ingredientes'!$O$1:$V$30, SWITCH(B117, "Gelatos de Leite", 8, "Sorbets", 11, "Gelatos de Leite com Fruta", 14, "Chocolate base água", 17, "Vegano", 20, "Alcoólicos", 23, "Zero", 26, "Gelatos Proteicos", 29, 8), 1)) + (ROUND(J117,4) &lt; INDEX('Tabela de ingredientes'!$O$1:$V$30, SWITCH(B117, "Gelatos de Leite", 7, "Sorbets", 10, "Gelatos de Leite com Fruta", 13, "Chocolate base água", 16, "Vegano", 19, "Alcoólicos", 22, "Zero", 25, "Gelatos Proteicos", 28, 7), 2)) + (ROUND(J117,4) &gt; INDEX('Tabela de ingredientes'!$O$1:$V$30, SWITCH(B117, "Gelatos de Leite", 8, "Sorbets", 11, "Gelatos de Leite com Fruta", 14, "Chocolate base água", 17, "Vegano", 20, "Alcoólicos", 23, "Zero", 26, "Gelatos Proteicos", 29, 8), 2)) + (ROUND(K117,4) &lt; INDEX('Tabela de ingredientes'!$O$1:$V$30, SWITCH(B117, "Gelatos de Leite", 7, "Sorbets", 10, "Gelatos de Leite com Fruta", 13, "Chocolate base água", 16, "Vegano", 19, "Alcoólicos", 22, "Zero", 25, "Gelatos Proteicos", 28, 7), 3)) + (ROUND(K117,4) &gt; INDEX('Tabela de ingredientes'!$O$1:$V$30, SWITCH(B117, "Gelatos de Leite", 8, "Sorbets", 11, "Gelatos de Leite com Fruta", 14, "Chocolate base água", 17, "Vegano", 20, "Alcoólicos", 23, "Zero", 26, "Gelatos Proteicos", 29, 8), 3)) + (ROUND(L117,4) &lt; INDEX('Tabela de ingredientes'!$O$1:$V$30, SWITCH(B117, "Gelatos de Leite", 7, "Sorbets", 10, "Gelatos de Leite com Fruta", 13, "Chocolate base água", 16, "Vegano", 19, "Alcoólicos", 22, "Zero", 25, "Gelatos Proteicos", 28, 7), 4)) + (ROUND(L117,4) &gt; INDEX('Tabela de ingredientes'!$O$1:$V$30, SWITCH(B117, "Gelatos de Leite", 8, "Sorbets", 11, "Gelatos de Leite com Fruta", 14, "Chocolate base água", 17, "Vegano", 20, "Alcoólicos", 23, "Zero", 26, "Gelatos Proteicos", 29, 8), 4)) + (ROUND(M117,4) &lt; INDEX('Tabela de ingredientes'!$O$1:$V$30, SWITCH(B117, "Gelatos de Leite", 7, "Sorbets", 10, "Gelatos de Leite com Fruta", 13, "Chocolate base água", 16, "Vegano", 19, "Alcoólicos", 22, "Zero", 25, "Gelatos Proteicos", 28, 7), 5)) + (ROUND(M117,4) &gt; INDEX('Tabela de ingredientes'!$O$1:$V$30, SWITCH(B117, "Gelatos de Leite", 8, "Sorbets", 11, "Gelatos de Leite com Fruta", 14, "Chocolate base água", 17, "Vegano", 20, "Alcoólicos", 23, "Zero", 26, "Gelatos Proteicos", 29, 8), 5)) + (ROUND(N117,4) &lt; INDEX('Tabela de ingredientes'!$O$1:$V$30, SWITCH(B117, "Gelatos de Leite", 7, "Sorbets", 10, "Gelatos de Leite com Fruta", 13, "Chocolate base água", 16, "Vegano", 19, "Alcoólicos", 22, "Zero", 25, "Gelatos Proteicos", 28, 7), 6)) + (ROUND(N117,4) &gt; INDEX('Tabela de ingredientes'!$O$1:$V$30, SWITCH(B117, "Gelatos de Leite", 8, "Sorbets", 11, "Gelatos de Leite com Fruta", 14, "Chocolate base água", 17, "Vegano", 20, "Alcoólicos", 23, "Zero", 26, "Gelatos Proteicos", 29, 8), 6)) + (ROUND(O117,4) &lt; INDEX('Tabela de ingredientes'!$O$1:$V$30, SWITCH(B117, "Gelatos de Leite", 7, "Sorbets", 10, "Gelatos de Leite com Fruta", 13, "Chocolate base água", 16, "Vegano", 19, "Alcoólicos", 22, "Zero", 25, "Gelatos Proteicos", 28, 7), 7)) + (ROUND(O117,4) &gt; INDEX('Tabela de ingredientes'!$O$1:$V$30, SWITCH(B117, "Gelatos de Leite", 8, "Sorbets", 11, "Gelatos de Leite com Fruta", 14, "Chocolate base água", 17, "Vegano", 20, "Alcoólicos", 23, "Zero", 26, "Gelatos Proteicos", 29, 8), 7)) + (ROUND(P117,4) &lt; INDEX('Tabela de ingredientes'!$O$1:$V$30, SWITCH(B117, "Gelatos de Leite", 7, "Sorbets", 10, "Gelatos de Leite com Fruta", 13, "Chocolate base água", 16, "Vegano", 19, "Alcoólicos", 22, "Zero", 25, "Gelatos Proteicos", 28, 7), 8)) + (ROUND(P117,4) &gt; INDEX('Tabela de ingredientes'!$O$1:$V$30, SWITCH(B117, "Gelatos de Leite", 8, "Sorbets", 11, "Gelatos de Leite com Fruta", 14, "Chocolate base água", 17, "Vegano", 20, "Alcoólicos", 23, "Zero", 26, "Gelatos Proteicos", 29, 8), 8)) + IF(B117="Gelatos Proteicos", (ROUND(Q117,4)&lt;'Tabela de ingredientes'!$W$28)+(ROUND(Q117,4)&gt;'Tabela de ingredientes'!$W$29), 0) = 0, "Ok", "Revisar"))</f>
        <v>Ok</v>
      </c>
    </row>
    <row r="118">
      <c r="A118" s="39" t="str">
        <f>IFERROR(__xludf.DUMMYFUNCTION("""COMPUTED_VALUE"""),"Gelato de Coco com Cacau Vegano (Direto ao Ponto)")</f>
        <v>Gelato de Coco com Cacau Vegano (Direto ao Ponto)</v>
      </c>
      <c r="B118" s="39" t="s">
        <v>95</v>
      </c>
      <c r="C118" s="39">
        <v>10.0</v>
      </c>
      <c r="D118" s="39">
        <v>996.0</v>
      </c>
      <c r="E118" s="39" t="s">
        <v>232</v>
      </c>
      <c r="F118" s="69">
        <v>17.34287148594378</v>
      </c>
      <c r="G118" s="69">
        <v>1.0405722891566267</v>
      </c>
      <c r="H118" s="69">
        <v>36.707675071145516</v>
      </c>
      <c r="I118" s="59">
        <v>0.20602409638554214</v>
      </c>
      <c r="J118" s="59">
        <v>0.09578313253012047</v>
      </c>
      <c r="K118" s="59">
        <v>0.0</v>
      </c>
      <c r="L118" s="59">
        <v>0.09377510040160643</v>
      </c>
      <c r="M118" s="59">
        <v>0.395582329317269</v>
      </c>
      <c r="N118" s="59">
        <v>0.604417670682731</v>
      </c>
      <c r="O118" s="39">
        <v>177.710843373494</v>
      </c>
      <c r="P118" s="39">
        <v>251.32530120481928</v>
      </c>
      <c r="Q118" s="59">
        <v>0.006626506024096385</v>
      </c>
      <c r="R118" s="39">
        <v>12.566265060240964</v>
      </c>
      <c r="S118" s="97" t="str">
        <f t="array" ref="S118">IF(A118="","", IF( (ROUND(I118,4) &lt; INDEX('Tabela de ingredientes'!$O$1:$V$30, SWITCH(B118, "Gelatos de Leite", 7, "Sorbets", 10, "Gelatos de Leite com Fruta", 13, "Chocolate base água", 16, "Vegano", 19, "Alcoólicos", 22, "Zero", 25, "Gelatos Proteicos", 28, 7), 1)) + (ROUND(I118,4) &gt; INDEX('Tabela de ingredientes'!$O$1:$V$30, SWITCH(B118, "Gelatos de Leite", 8, "Sorbets", 11, "Gelatos de Leite com Fruta", 14, "Chocolate base água", 17, "Vegano", 20, "Alcoólicos", 23, "Zero", 26, "Gelatos Proteicos", 29, 8), 1)) + (ROUND(J118,4) &lt; INDEX('Tabela de ingredientes'!$O$1:$V$30, SWITCH(B118, "Gelatos de Leite", 7, "Sorbets", 10, "Gelatos de Leite com Fruta", 13, "Chocolate base água", 16, "Vegano", 19, "Alcoólicos", 22, "Zero", 25, "Gelatos Proteicos", 28, 7), 2)) + (ROUND(J118,4) &gt; INDEX('Tabela de ingredientes'!$O$1:$V$30, SWITCH(B118, "Gelatos de Leite", 8, "Sorbets", 11, "Gelatos de Leite com Fruta", 14, "Chocolate base água", 17, "Vegano", 20, "Alcoólicos", 23, "Zero", 26, "Gelatos Proteicos", 29, 8), 2)) + (ROUND(K118,4) &lt; INDEX('Tabela de ingredientes'!$O$1:$V$30, SWITCH(B118, "Gelatos de Leite", 7, "Sorbets", 10, "Gelatos de Leite com Fruta", 13, "Chocolate base água", 16, "Vegano", 19, "Alcoólicos", 22, "Zero", 25, "Gelatos Proteicos", 28, 7), 3)) + (ROUND(K118,4) &gt; INDEX('Tabela de ingredientes'!$O$1:$V$30, SWITCH(B118, "Gelatos de Leite", 8, "Sorbets", 11, "Gelatos de Leite com Fruta", 14, "Chocolate base água", 17, "Vegano", 20, "Alcoólicos", 23, "Zero", 26, "Gelatos Proteicos", 29, 8), 3)) + (ROUND(L118,4) &lt; INDEX('Tabela de ingredientes'!$O$1:$V$30, SWITCH(B118, "Gelatos de Leite", 7, "Sorbets", 10, "Gelatos de Leite com Fruta", 13, "Chocolate base água", 16, "Vegano", 19, "Alcoólicos", 22, "Zero", 25, "Gelatos Proteicos", 28, 7), 4)) + (ROUND(L118,4) &gt; INDEX('Tabela de ingredientes'!$O$1:$V$30, SWITCH(B118, "Gelatos de Leite", 8, "Sorbets", 11, "Gelatos de Leite com Fruta", 14, "Chocolate base água", 17, "Vegano", 20, "Alcoólicos", 23, "Zero", 26, "Gelatos Proteicos", 29, 8), 4)) + (ROUND(M118,4) &lt; INDEX('Tabela de ingredientes'!$O$1:$V$30, SWITCH(B118, "Gelatos de Leite", 7, "Sorbets", 10, "Gelatos de Leite com Fruta", 13, "Chocolate base água", 16, "Vegano", 19, "Alcoólicos", 22, "Zero", 25, "Gelatos Proteicos", 28, 7), 5)) + (ROUND(M118,4) &gt; INDEX('Tabela de ingredientes'!$O$1:$V$30, SWITCH(B118, "Gelatos de Leite", 8, "Sorbets", 11, "Gelatos de Leite com Fruta", 14, "Chocolate base água", 17, "Vegano", 20, "Alcoólicos", 23, "Zero", 26, "Gelatos Proteicos", 29, 8), 5)) + (ROUND(N118,4) &lt; INDEX('Tabela de ingredientes'!$O$1:$V$30, SWITCH(B118, "Gelatos de Leite", 7, "Sorbets", 10, "Gelatos de Leite com Fruta", 13, "Chocolate base água", 16, "Vegano", 19, "Alcoólicos", 22, "Zero", 25, "Gelatos Proteicos", 28, 7), 6)) + (ROUND(N118,4) &gt; INDEX('Tabela de ingredientes'!$O$1:$V$30, SWITCH(B118, "Gelatos de Leite", 8, "Sorbets", 11, "Gelatos de Leite com Fruta", 14, "Chocolate base água", 17, "Vegano", 20, "Alcoólicos", 23, "Zero", 26, "Gelatos Proteicos", 29, 8), 6)) + (ROUND(O118,4) &lt; INDEX('Tabela de ingredientes'!$O$1:$V$30, SWITCH(B118, "Gelatos de Leite", 7, "Sorbets", 10, "Gelatos de Leite com Fruta", 13, "Chocolate base água", 16, "Vegano", 19, "Alcoólicos", 22, "Zero", 25, "Gelatos Proteicos", 28, 7), 7)) + (ROUND(O118,4) &gt; INDEX('Tabela de ingredientes'!$O$1:$V$30, SWITCH(B118, "Gelatos de Leite", 8, "Sorbets", 11, "Gelatos de Leite com Fruta", 14, "Chocolate base água", 17, "Vegano", 20, "Alcoólicos", 23, "Zero", 26, "Gelatos Proteicos", 29, 8), 7)) + (ROUND(P118,4) &lt; INDEX('Tabela de ingredientes'!$O$1:$V$30, SWITCH(B118, "Gelatos de Leite", 7, "Sorbets", 10, "Gelatos de Leite com Fruta", 13, "Chocolate base água", 16, "Vegano", 19, "Alcoólicos", 22, "Zero", 25, "Gelatos Proteicos", 28, 7), 8)) + (ROUND(P118,4) &gt; INDEX('Tabela de ingredientes'!$O$1:$V$30, SWITCH(B118, "Gelatos de Leite", 8, "Sorbets", 11, "Gelatos de Leite com Fruta", 14, "Chocolate base água", 17, "Vegano", 20, "Alcoólicos", 23, "Zero", 26, "Gelatos Proteicos", 29, 8), 8)) + IF(B118="Gelatos Proteicos", (ROUND(Q118,4)&lt;'Tabela de ingredientes'!$W$28)+(ROUND(Q118,4)&gt;'Tabela de ingredientes'!$W$29), 0) = 0, "Ok", "Revisar"))</f>
        <v>Ok</v>
      </c>
    </row>
    <row r="119">
      <c r="A119" s="39" t="str">
        <f>IFERROR(__xludf.DUMMYFUNCTION("""COMPUTED_VALUE"""),"Calda Base Vegana de Aveia (Addolcire)")</f>
        <v>Calda Base Vegana de Aveia (Addolcire)</v>
      </c>
      <c r="B119" s="39" t="s">
        <v>95</v>
      </c>
      <c r="C119" s="39">
        <v>7.0</v>
      </c>
      <c r="D119" s="39">
        <v>999.0</v>
      </c>
      <c r="E119" s="39" t="s">
        <v>525</v>
      </c>
      <c r="F119" s="69">
        <v>14.476476476476476</v>
      </c>
      <c r="G119" s="69">
        <v>0.8685885885885886</v>
      </c>
      <c r="H119" s="69">
        <v>34.33483152026199</v>
      </c>
      <c r="I119" s="59">
        <v>0.18840840840840842</v>
      </c>
      <c r="J119" s="59">
        <v>0.052552552552552555</v>
      </c>
      <c r="K119" s="59">
        <v>0.0</v>
      </c>
      <c r="L119" s="59">
        <v>0.07947947947947949</v>
      </c>
      <c r="M119" s="59">
        <v>0.32044044044044045</v>
      </c>
      <c r="N119" s="59">
        <v>0.6795595595595596</v>
      </c>
      <c r="O119" s="39">
        <v>161.5015015015015</v>
      </c>
      <c r="P119" s="39">
        <v>199.39939939939944</v>
      </c>
      <c r="Q119" s="59">
        <v>0.015015015015015015</v>
      </c>
      <c r="R119" s="39">
        <v>9.969969969969972</v>
      </c>
      <c r="S119" s="97" t="str">
        <f t="array" ref="S119">IF(A119="","", IF( (ROUND(I119,4) &lt; INDEX('Tabela de ingredientes'!$O$1:$V$30, SWITCH(B119, "Gelatos de Leite", 7, "Sorbets", 10, "Gelatos de Leite com Fruta", 13, "Chocolate base água", 16, "Vegano", 19, "Alcoólicos", 22, "Zero", 25, "Gelatos Proteicos", 28, 7), 1)) + (ROUND(I119,4) &gt; INDEX('Tabela de ingredientes'!$O$1:$V$30, SWITCH(B119, "Gelatos de Leite", 8, "Sorbets", 11, "Gelatos de Leite com Fruta", 14, "Chocolate base água", 17, "Vegano", 20, "Alcoólicos", 23, "Zero", 26, "Gelatos Proteicos", 29, 8), 1)) + (ROUND(J119,4) &lt; INDEX('Tabela de ingredientes'!$O$1:$V$30, SWITCH(B119, "Gelatos de Leite", 7, "Sorbets", 10, "Gelatos de Leite com Fruta", 13, "Chocolate base água", 16, "Vegano", 19, "Alcoólicos", 22, "Zero", 25, "Gelatos Proteicos", 28, 7), 2)) + (ROUND(J119,4) &gt; INDEX('Tabela de ingredientes'!$O$1:$V$30, SWITCH(B119, "Gelatos de Leite", 8, "Sorbets", 11, "Gelatos de Leite com Fruta", 14, "Chocolate base água", 17, "Vegano", 20, "Alcoólicos", 23, "Zero", 26, "Gelatos Proteicos", 29, 8), 2)) + (ROUND(K119,4) &lt; INDEX('Tabela de ingredientes'!$O$1:$V$30, SWITCH(B119, "Gelatos de Leite", 7, "Sorbets", 10, "Gelatos de Leite com Fruta", 13, "Chocolate base água", 16, "Vegano", 19, "Alcoólicos", 22, "Zero", 25, "Gelatos Proteicos", 28, 7), 3)) + (ROUND(K119,4) &gt; INDEX('Tabela de ingredientes'!$O$1:$V$30, SWITCH(B119, "Gelatos de Leite", 8, "Sorbets", 11, "Gelatos de Leite com Fruta", 14, "Chocolate base água", 17, "Vegano", 20, "Alcoólicos", 23, "Zero", 26, "Gelatos Proteicos", 29, 8), 3)) + (ROUND(L119,4) &lt; INDEX('Tabela de ingredientes'!$O$1:$V$30, SWITCH(B119, "Gelatos de Leite", 7, "Sorbets", 10, "Gelatos de Leite com Fruta", 13, "Chocolate base água", 16, "Vegano", 19, "Alcoólicos", 22, "Zero", 25, "Gelatos Proteicos", 28, 7), 4)) + (ROUND(L119,4) &gt; INDEX('Tabela de ingredientes'!$O$1:$V$30, SWITCH(B119, "Gelatos de Leite", 8, "Sorbets", 11, "Gelatos de Leite com Fruta", 14, "Chocolate base água", 17, "Vegano", 20, "Alcoólicos", 23, "Zero", 26, "Gelatos Proteicos", 29, 8), 4)) + (ROUND(M119,4) &lt; INDEX('Tabela de ingredientes'!$O$1:$V$30, SWITCH(B119, "Gelatos de Leite", 7, "Sorbets", 10, "Gelatos de Leite com Fruta", 13, "Chocolate base água", 16, "Vegano", 19, "Alcoólicos", 22, "Zero", 25, "Gelatos Proteicos", 28, 7), 5)) + (ROUND(M119,4) &gt; INDEX('Tabela de ingredientes'!$O$1:$V$30, SWITCH(B119, "Gelatos de Leite", 8, "Sorbets", 11, "Gelatos de Leite com Fruta", 14, "Chocolate base água", 17, "Vegano", 20, "Alcoólicos", 23, "Zero", 26, "Gelatos Proteicos", 29, 8), 5)) + (ROUND(N119,4) &lt; INDEX('Tabela de ingredientes'!$O$1:$V$30, SWITCH(B119, "Gelatos de Leite", 7, "Sorbets", 10, "Gelatos de Leite com Fruta", 13, "Chocolate base água", 16, "Vegano", 19, "Alcoólicos", 22, "Zero", 25, "Gelatos Proteicos", 28, 7), 6)) + (ROUND(N119,4) &gt; INDEX('Tabela de ingredientes'!$O$1:$V$30, SWITCH(B119, "Gelatos de Leite", 8, "Sorbets", 11, "Gelatos de Leite com Fruta", 14, "Chocolate base água", 17, "Vegano", 20, "Alcoólicos", 23, "Zero", 26, "Gelatos Proteicos", 29, 8), 6)) + (ROUND(O119,4) &lt; INDEX('Tabela de ingredientes'!$O$1:$V$30, SWITCH(B119, "Gelatos de Leite", 7, "Sorbets", 10, "Gelatos de Leite com Fruta", 13, "Chocolate base água", 16, "Vegano", 19, "Alcoólicos", 22, "Zero", 25, "Gelatos Proteicos", 28, 7), 7)) + (ROUND(O119,4) &gt; INDEX('Tabela de ingredientes'!$O$1:$V$30, SWITCH(B119, "Gelatos de Leite", 8, "Sorbets", 11, "Gelatos de Leite com Fruta", 14, "Chocolate base água", 17, "Vegano", 20, "Alcoólicos", 23, "Zero", 26, "Gelatos Proteicos", 29, 8), 7)) + (ROUND(P119,4) &lt; INDEX('Tabela de ingredientes'!$O$1:$V$30, SWITCH(B119, "Gelatos de Leite", 7, "Sorbets", 10, "Gelatos de Leite com Fruta", 13, "Chocolate base água", 16, "Vegano", 19, "Alcoólicos", 22, "Zero", 25, "Gelatos Proteicos", 28, 7), 8)) + (ROUND(P119,4) &gt; INDEX('Tabela de ingredientes'!$O$1:$V$30, SWITCH(B119, "Gelatos de Leite", 8, "Sorbets", 11, "Gelatos de Leite com Fruta", 14, "Chocolate base água", 17, "Vegano", 20, "Alcoólicos", 23, "Zero", 26, "Gelatos Proteicos", 29, 8), 8)) + IF(B119="Gelatos Proteicos", (ROUND(Q119,4)&lt;'Tabela de ingredientes'!$W$28)+(ROUND(Q119,4)&gt;'Tabela de ingredientes'!$W$29), 0) = 0, "Ok", "Revisar"))</f>
        <v>Revisar</v>
      </c>
    </row>
    <row r="120">
      <c r="A120" s="39" t="str">
        <f>IFERROR(__xludf.DUMMYFUNCTION("""COMPUTED_VALUE"""),"Gelato de Avelã Vegano (Addolcire)")</f>
        <v>Gelato de Avelã Vegano (Addolcire)</v>
      </c>
      <c r="B120" s="39" t="s">
        <v>95</v>
      </c>
      <c r="C120" s="39">
        <v>8.0</v>
      </c>
      <c r="D120" s="39">
        <v>1124.0</v>
      </c>
      <c r="E120" s="39" t="s">
        <v>624</v>
      </c>
      <c r="F120" s="69">
        <v>28.524911032028466</v>
      </c>
      <c r="G120" s="69">
        <v>1.711494661921708</v>
      </c>
      <c r="H120" s="69">
        <v>45.96433032452689</v>
      </c>
      <c r="I120" s="59">
        <v>0.19147686832740213</v>
      </c>
      <c r="J120" s="59">
        <v>0.1045373665480427</v>
      </c>
      <c r="K120" s="59">
        <v>0.0</v>
      </c>
      <c r="L120" s="59">
        <v>0.09822064056939503</v>
      </c>
      <c r="M120" s="59">
        <v>0.3942348754448398</v>
      </c>
      <c r="N120" s="59">
        <v>0.6057651245551602</v>
      </c>
      <c r="O120" s="39">
        <v>160.0</v>
      </c>
      <c r="P120" s="39">
        <v>217.25978647686836</v>
      </c>
      <c r="Q120" s="59">
        <v>0.025800711743772242</v>
      </c>
      <c r="R120" s="39">
        <v>10.862989323843419</v>
      </c>
      <c r="S120" s="97" t="str">
        <f t="array" ref="S120">IF(A120="","", IF( (ROUND(I120,4) &lt; INDEX('Tabela de ingredientes'!$O$1:$V$30, SWITCH(B120, "Gelatos de Leite", 7, "Sorbets", 10, "Gelatos de Leite com Fruta", 13, "Chocolate base água", 16, "Vegano", 19, "Alcoólicos", 22, "Zero", 25, "Gelatos Proteicos", 28, 7), 1)) + (ROUND(I120,4) &gt; INDEX('Tabela de ingredientes'!$O$1:$V$30, SWITCH(B120, "Gelatos de Leite", 8, "Sorbets", 11, "Gelatos de Leite com Fruta", 14, "Chocolate base água", 17, "Vegano", 20, "Alcoólicos", 23, "Zero", 26, "Gelatos Proteicos", 29, 8), 1)) + (ROUND(J120,4) &lt; INDEX('Tabela de ingredientes'!$O$1:$V$30, SWITCH(B120, "Gelatos de Leite", 7, "Sorbets", 10, "Gelatos de Leite com Fruta", 13, "Chocolate base água", 16, "Vegano", 19, "Alcoólicos", 22, "Zero", 25, "Gelatos Proteicos", 28, 7), 2)) + (ROUND(J120,4) &gt; INDEX('Tabela de ingredientes'!$O$1:$V$30, SWITCH(B120, "Gelatos de Leite", 8, "Sorbets", 11, "Gelatos de Leite com Fruta", 14, "Chocolate base água", 17, "Vegano", 20, "Alcoólicos", 23, "Zero", 26, "Gelatos Proteicos", 29, 8), 2)) + (ROUND(K120,4) &lt; INDEX('Tabela de ingredientes'!$O$1:$V$30, SWITCH(B120, "Gelatos de Leite", 7, "Sorbets", 10, "Gelatos de Leite com Fruta", 13, "Chocolate base água", 16, "Vegano", 19, "Alcoólicos", 22, "Zero", 25, "Gelatos Proteicos", 28, 7), 3)) + (ROUND(K120,4) &gt; INDEX('Tabela de ingredientes'!$O$1:$V$30, SWITCH(B120, "Gelatos de Leite", 8, "Sorbets", 11, "Gelatos de Leite com Fruta", 14, "Chocolate base água", 17, "Vegano", 20, "Alcoólicos", 23, "Zero", 26, "Gelatos Proteicos", 29, 8), 3)) + (ROUND(L120,4) &lt; INDEX('Tabela de ingredientes'!$O$1:$V$30, SWITCH(B120, "Gelatos de Leite", 7, "Sorbets", 10, "Gelatos de Leite com Fruta", 13, "Chocolate base água", 16, "Vegano", 19, "Alcoólicos", 22, "Zero", 25, "Gelatos Proteicos", 28, 7), 4)) + (ROUND(L120,4) &gt; INDEX('Tabela de ingredientes'!$O$1:$V$30, SWITCH(B120, "Gelatos de Leite", 8, "Sorbets", 11, "Gelatos de Leite com Fruta", 14, "Chocolate base água", 17, "Vegano", 20, "Alcoólicos", 23, "Zero", 26, "Gelatos Proteicos", 29, 8), 4)) + (ROUND(M120,4) &lt; INDEX('Tabela de ingredientes'!$O$1:$V$30, SWITCH(B120, "Gelatos de Leite", 7, "Sorbets", 10, "Gelatos de Leite com Fruta", 13, "Chocolate base água", 16, "Vegano", 19, "Alcoólicos", 22, "Zero", 25, "Gelatos Proteicos", 28, 7), 5)) + (ROUND(M120,4) &gt; INDEX('Tabela de ingredientes'!$O$1:$V$30, SWITCH(B120, "Gelatos de Leite", 8, "Sorbets", 11, "Gelatos de Leite com Fruta", 14, "Chocolate base água", 17, "Vegano", 20, "Alcoólicos", 23, "Zero", 26, "Gelatos Proteicos", 29, 8), 5)) + (ROUND(N120,4) &lt; INDEX('Tabela de ingredientes'!$O$1:$V$30, SWITCH(B120, "Gelatos de Leite", 7, "Sorbets", 10, "Gelatos de Leite com Fruta", 13, "Chocolate base água", 16, "Vegano", 19, "Alcoólicos", 22, "Zero", 25, "Gelatos Proteicos", 28, 7), 6)) + (ROUND(N120,4) &gt; INDEX('Tabela de ingredientes'!$O$1:$V$30, SWITCH(B120, "Gelatos de Leite", 8, "Sorbets", 11, "Gelatos de Leite com Fruta", 14, "Chocolate base água", 17, "Vegano", 20, "Alcoólicos", 23, "Zero", 26, "Gelatos Proteicos", 29, 8), 6)) + (ROUND(O120,4) &lt; INDEX('Tabela de ingredientes'!$O$1:$V$30, SWITCH(B120, "Gelatos de Leite", 7, "Sorbets", 10, "Gelatos de Leite com Fruta", 13, "Chocolate base água", 16, "Vegano", 19, "Alcoólicos", 22, "Zero", 25, "Gelatos Proteicos", 28, 7), 7)) + (ROUND(O120,4) &gt; INDEX('Tabela de ingredientes'!$O$1:$V$30, SWITCH(B120, "Gelatos de Leite", 8, "Sorbets", 11, "Gelatos de Leite com Fruta", 14, "Chocolate base água", 17, "Vegano", 20, "Alcoólicos", 23, "Zero", 26, "Gelatos Proteicos", 29, 8), 7)) + (ROUND(P120,4) &lt; INDEX('Tabela de ingredientes'!$O$1:$V$30, SWITCH(B120, "Gelatos de Leite", 7, "Sorbets", 10, "Gelatos de Leite com Fruta", 13, "Chocolate base água", 16, "Vegano", 19, "Alcoólicos", 22, "Zero", 25, "Gelatos Proteicos", 28, 7), 8)) + (ROUND(P120,4) &gt; INDEX('Tabela de ingredientes'!$O$1:$V$30, SWITCH(B120, "Gelatos de Leite", 8, "Sorbets", 11, "Gelatos de Leite com Fruta", 14, "Chocolate base água", 17, "Vegano", 20, "Alcoólicos", 23, "Zero", 26, "Gelatos Proteicos", 29, 8), 8)) + IF(B120="Gelatos Proteicos", (ROUND(Q120,4)&lt;'Tabela de ingredientes'!$W$28)+(ROUND(Q120,4)&gt;'Tabela de ingredientes'!$W$29), 0) = 0, "Ok", "Revisar"))</f>
        <v>Ok</v>
      </c>
    </row>
    <row r="121">
      <c r="A121" s="39" t="str">
        <f>IFERROR(__xludf.DUMMYFUNCTION("""COMPUTED_VALUE"""),"Gelato de Pistache Vegano (Addolcire)")</f>
        <v>Gelato de Pistache Vegano (Addolcire)</v>
      </c>
      <c r="B121" s="39" t="s">
        <v>95</v>
      </c>
      <c r="C121" s="39">
        <v>8.0</v>
      </c>
      <c r="D121" s="39">
        <v>1124.0</v>
      </c>
      <c r="E121" s="39" t="s">
        <v>624</v>
      </c>
      <c r="F121" s="69">
        <v>39.379003558718864</v>
      </c>
      <c r="G121" s="69">
        <v>2.3627402135231317</v>
      </c>
      <c r="H121" s="69">
        <v>54.949506257217614</v>
      </c>
      <c r="I121" s="59">
        <v>0.19192170818505339</v>
      </c>
      <c r="J121" s="59">
        <v>0.09653024911032028</v>
      </c>
      <c r="K121" s="59">
        <v>0.0</v>
      </c>
      <c r="L121" s="59">
        <v>0.10578291814946619</v>
      </c>
      <c r="M121" s="59">
        <v>0.3942348754448398</v>
      </c>
      <c r="N121" s="59">
        <v>0.6057651245551602</v>
      </c>
      <c r="O121" s="39">
        <v>160.0</v>
      </c>
      <c r="P121" s="39">
        <v>217.25978647686836</v>
      </c>
      <c r="Q121" s="59">
        <v>0.02491103202846975</v>
      </c>
      <c r="R121" s="39">
        <v>10.862989323843419</v>
      </c>
      <c r="S121" s="97" t="str">
        <f t="array" ref="S121">IF(A121="","", IF( (ROUND(I121,4) &lt; INDEX('Tabela de ingredientes'!$O$1:$V$30, SWITCH(B121, "Gelatos de Leite", 7, "Sorbets", 10, "Gelatos de Leite com Fruta", 13, "Chocolate base água", 16, "Vegano", 19, "Alcoólicos", 22, "Zero", 25, "Gelatos Proteicos", 28, 7), 1)) + (ROUND(I121,4) &gt; INDEX('Tabela de ingredientes'!$O$1:$V$30, SWITCH(B121, "Gelatos de Leite", 8, "Sorbets", 11, "Gelatos de Leite com Fruta", 14, "Chocolate base água", 17, "Vegano", 20, "Alcoólicos", 23, "Zero", 26, "Gelatos Proteicos", 29, 8), 1)) + (ROUND(J121,4) &lt; INDEX('Tabela de ingredientes'!$O$1:$V$30, SWITCH(B121, "Gelatos de Leite", 7, "Sorbets", 10, "Gelatos de Leite com Fruta", 13, "Chocolate base água", 16, "Vegano", 19, "Alcoólicos", 22, "Zero", 25, "Gelatos Proteicos", 28, 7), 2)) + (ROUND(J121,4) &gt; INDEX('Tabela de ingredientes'!$O$1:$V$30, SWITCH(B121, "Gelatos de Leite", 8, "Sorbets", 11, "Gelatos de Leite com Fruta", 14, "Chocolate base água", 17, "Vegano", 20, "Alcoólicos", 23, "Zero", 26, "Gelatos Proteicos", 29, 8), 2)) + (ROUND(K121,4) &lt; INDEX('Tabela de ingredientes'!$O$1:$V$30, SWITCH(B121, "Gelatos de Leite", 7, "Sorbets", 10, "Gelatos de Leite com Fruta", 13, "Chocolate base água", 16, "Vegano", 19, "Alcoólicos", 22, "Zero", 25, "Gelatos Proteicos", 28, 7), 3)) + (ROUND(K121,4) &gt; INDEX('Tabela de ingredientes'!$O$1:$V$30, SWITCH(B121, "Gelatos de Leite", 8, "Sorbets", 11, "Gelatos de Leite com Fruta", 14, "Chocolate base água", 17, "Vegano", 20, "Alcoólicos", 23, "Zero", 26, "Gelatos Proteicos", 29, 8), 3)) + (ROUND(L121,4) &lt; INDEX('Tabela de ingredientes'!$O$1:$V$30, SWITCH(B121, "Gelatos de Leite", 7, "Sorbets", 10, "Gelatos de Leite com Fruta", 13, "Chocolate base água", 16, "Vegano", 19, "Alcoólicos", 22, "Zero", 25, "Gelatos Proteicos", 28, 7), 4)) + (ROUND(L121,4) &gt; INDEX('Tabela de ingredientes'!$O$1:$V$30, SWITCH(B121, "Gelatos de Leite", 8, "Sorbets", 11, "Gelatos de Leite com Fruta", 14, "Chocolate base água", 17, "Vegano", 20, "Alcoólicos", 23, "Zero", 26, "Gelatos Proteicos", 29, 8), 4)) + (ROUND(M121,4) &lt; INDEX('Tabela de ingredientes'!$O$1:$V$30, SWITCH(B121, "Gelatos de Leite", 7, "Sorbets", 10, "Gelatos de Leite com Fruta", 13, "Chocolate base água", 16, "Vegano", 19, "Alcoólicos", 22, "Zero", 25, "Gelatos Proteicos", 28, 7), 5)) + (ROUND(M121,4) &gt; INDEX('Tabela de ingredientes'!$O$1:$V$30, SWITCH(B121, "Gelatos de Leite", 8, "Sorbets", 11, "Gelatos de Leite com Fruta", 14, "Chocolate base água", 17, "Vegano", 20, "Alcoólicos", 23, "Zero", 26, "Gelatos Proteicos", 29, 8), 5)) + (ROUND(N121,4) &lt; INDEX('Tabela de ingredientes'!$O$1:$V$30, SWITCH(B121, "Gelatos de Leite", 7, "Sorbets", 10, "Gelatos de Leite com Fruta", 13, "Chocolate base água", 16, "Vegano", 19, "Alcoólicos", 22, "Zero", 25, "Gelatos Proteicos", 28, 7), 6)) + (ROUND(N121,4) &gt; INDEX('Tabela de ingredientes'!$O$1:$V$30, SWITCH(B121, "Gelatos de Leite", 8, "Sorbets", 11, "Gelatos de Leite com Fruta", 14, "Chocolate base água", 17, "Vegano", 20, "Alcoólicos", 23, "Zero", 26, "Gelatos Proteicos", 29, 8), 6)) + (ROUND(O121,4) &lt; INDEX('Tabela de ingredientes'!$O$1:$V$30, SWITCH(B121, "Gelatos de Leite", 7, "Sorbets", 10, "Gelatos de Leite com Fruta", 13, "Chocolate base água", 16, "Vegano", 19, "Alcoólicos", 22, "Zero", 25, "Gelatos Proteicos", 28, 7), 7)) + (ROUND(O121,4) &gt; INDEX('Tabela de ingredientes'!$O$1:$V$30, SWITCH(B121, "Gelatos de Leite", 8, "Sorbets", 11, "Gelatos de Leite com Fruta", 14, "Chocolate base água", 17, "Vegano", 20, "Alcoólicos", 23, "Zero", 26, "Gelatos Proteicos", 29, 8), 7)) + (ROUND(P121,4) &lt; INDEX('Tabela de ingredientes'!$O$1:$V$30, SWITCH(B121, "Gelatos de Leite", 7, "Sorbets", 10, "Gelatos de Leite com Fruta", 13, "Chocolate base água", 16, "Vegano", 19, "Alcoólicos", 22, "Zero", 25, "Gelatos Proteicos", 28, 7), 8)) + (ROUND(P121,4) &gt; INDEX('Tabela de ingredientes'!$O$1:$V$30, SWITCH(B121, "Gelatos de Leite", 8, "Sorbets", 11, "Gelatos de Leite com Fruta", 14, "Chocolate base água", 17, "Vegano", 20, "Alcoólicos", 23, "Zero", 26, "Gelatos Proteicos", 29, 8), 8)) + IF(B121="Gelatos Proteicos", (ROUND(Q121,4)&lt;'Tabela de ingredientes'!$W$28)+(ROUND(Q121,4)&gt;'Tabela de ingredientes'!$W$29), 0) = 0, "Ok", "Revisar"))</f>
        <v>Ok</v>
      </c>
    </row>
    <row r="122">
      <c r="A122" s="39" t="str">
        <f>IFERROR(__xludf.DUMMYFUNCTION("""COMPUTED_VALUE"""),"Gelato Alcoólico de Licor Amaretto (Direto ao Ponto)")</f>
        <v>Gelato Alcoólico de Licor Amaretto (Direto ao Ponto)</v>
      </c>
      <c r="B122" s="39" t="s">
        <v>101</v>
      </c>
      <c r="C122" s="39">
        <v>8.0</v>
      </c>
      <c r="D122" s="39">
        <v>1000.0</v>
      </c>
      <c r="E122" s="39" t="s">
        <v>171</v>
      </c>
      <c r="F122" s="69">
        <v>21.35</v>
      </c>
      <c r="G122" s="69">
        <v>1.2810000000000001</v>
      </c>
      <c r="H122" s="69">
        <v>40.0248344370861</v>
      </c>
      <c r="I122" s="59">
        <v>0.1755</v>
      </c>
      <c r="J122" s="59">
        <v>0.08433333333333333</v>
      </c>
      <c r="K122" s="59">
        <v>0.10943333333333334</v>
      </c>
      <c r="L122" s="59">
        <v>0.005</v>
      </c>
      <c r="M122" s="59">
        <v>0.37426666666666664</v>
      </c>
      <c r="N122" s="59">
        <v>0.6257333333333334</v>
      </c>
      <c r="O122" s="39">
        <v>137.976</v>
      </c>
      <c r="P122" s="39">
        <v>343.1</v>
      </c>
      <c r="Q122" s="59">
        <v>0.04406</v>
      </c>
      <c r="R122" s="39">
        <v>13.724</v>
      </c>
      <c r="S122" s="97" t="str">
        <f t="array" ref="S122">IF(A122="","", IF( (ROUND(I122,4) &lt; INDEX('Tabela de ingredientes'!$O$1:$V$30, SWITCH(B122, "Gelatos de Leite", 7, "Sorbets", 10, "Gelatos de Leite com Fruta", 13, "Chocolate base água", 16, "Vegano", 19, "Alcoólicos", 22, "Zero", 25, "Gelatos Proteicos", 28, 7), 1)) + (ROUND(I122,4) &gt; INDEX('Tabela de ingredientes'!$O$1:$V$30, SWITCH(B122, "Gelatos de Leite", 8, "Sorbets", 11, "Gelatos de Leite com Fruta", 14, "Chocolate base água", 17, "Vegano", 20, "Alcoólicos", 23, "Zero", 26, "Gelatos Proteicos", 29, 8), 1)) + (ROUND(J122,4) &lt; INDEX('Tabela de ingredientes'!$O$1:$V$30, SWITCH(B122, "Gelatos de Leite", 7, "Sorbets", 10, "Gelatos de Leite com Fruta", 13, "Chocolate base água", 16, "Vegano", 19, "Alcoólicos", 22, "Zero", 25, "Gelatos Proteicos", 28, 7), 2)) + (ROUND(J122,4) &gt; INDEX('Tabela de ingredientes'!$O$1:$V$30, SWITCH(B122, "Gelatos de Leite", 8, "Sorbets", 11, "Gelatos de Leite com Fruta", 14, "Chocolate base água", 17, "Vegano", 20, "Alcoólicos", 23, "Zero", 26, "Gelatos Proteicos", 29, 8), 2)) + (ROUND(K122,4) &lt; INDEX('Tabela de ingredientes'!$O$1:$V$30, SWITCH(B122, "Gelatos de Leite", 7, "Sorbets", 10, "Gelatos de Leite com Fruta", 13, "Chocolate base água", 16, "Vegano", 19, "Alcoólicos", 22, "Zero", 25, "Gelatos Proteicos", 28, 7), 3)) + (ROUND(K122,4) &gt; INDEX('Tabela de ingredientes'!$O$1:$V$30, SWITCH(B122, "Gelatos de Leite", 8, "Sorbets", 11, "Gelatos de Leite com Fruta", 14, "Chocolate base água", 17, "Vegano", 20, "Alcoólicos", 23, "Zero", 26, "Gelatos Proteicos", 29, 8), 3)) + (ROUND(L122,4) &lt; INDEX('Tabela de ingredientes'!$O$1:$V$30, SWITCH(B122, "Gelatos de Leite", 7, "Sorbets", 10, "Gelatos de Leite com Fruta", 13, "Chocolate base água", 16, "Vegano", 19, "Alcoólicos", 22, "Zero", 25, "Gelatos Proteicos", 28, 7), 4)) + (ROUND(L122,4) &gt; INDEX('Tabela de ingredientes'!$O$1:$V$30, SWITCH(B122, "Gelatos de Leite", 8, "Sorbets", 11, "Gelatos de Leite com Fruta", 14, "Chocolate base água", 17, "Vegano", 20, "Alcoólicos", 23, "Zero", 26, "Gelatos Proteicos", 29, 8), 4)) + (ROUND(M122,4) &lt; INDEX('Tabela de ingredientes'!$O$1:$V$30, SWITCH(B122, "Gelatos de Leite", 7, "Sorbets", 10, "Gelatos de Leite com Fruta", 13, "Chocolate base água", 16, "Vegano", 19, "Alcoólicos", 22, "Zero", 25, "Gelatos Proteicos", 28, 7), 5)) + (ROUND(M122,4) &gt; INDEX('Tabela de ingredientes'!$O$1:$V$30, SWITCH(B122, "Gelatos de Leite", 8, "Sorbets", 11, "Gelatos de Leite com Fruta", 14, "Chocolate base água", 17, "Vegano", 20, "Alcoólicos", 23, "Zero", 26, "Gelatos Proteicos", 29, 8), 5)) + (ROUND(N122,4) &lt; INDEX('Tabela de ingredientes'!$O$1:$V$30, SWITCH(B122, "Gelatos de Leite", 7, "Sorbets", 10, "Gelatos de Leite com Fruta", 13, "Chocolate base água", 16, "Vegano", 19, "Alcoólicos", 22, "Zero", 25, "Gelatos Proteicos", 28, 7), 6)) + (ROUND(N122,4) &gt; INDEX('Tabela de ingredientes'!$O$1:$V$30, SWITCH(B122, "Gelatos de Leite", 8, "Sorbets", 11, "Gelatos de Leite com Fruta", 14, "Chocolate base água", 17, "Vegano", 20, "Alcoólicos", 23, "Zero", 26, "Gelatos Proteicos", 29, 8), 6)) + (ROUND(O122,4) &lt; INDEX('Tabela de ingredientes'!$O$1:$V$30, SWITCH(B122, "Gelatos de Leite", 7, "Sorbets", 10, "Gelatos de Leite com Fruta", 13, "Chocolate base água", 16, "Vegano", 19, "Alcoólicos", 22, "Zero", 25, "Gelatos Proteicos", 28, 7), 7)) + (ROUND(O122,4) &gt; INDEX('Tabela de ingredientes'!$O$1:$V$30, SWITCH(B122, "Gelatos de Leite", 8, "Sorbets", 11, "Gelatos de Leite com Fruta", 14, "Chocolate base água", 17, "Vegano", 20, "Alcoólicos", 23, "Zero", 26, "Gelatos Proteicos", 29, 8), 7)) + (ROUND(P122,4) &lt; INDEX('Tabela de ingredientes'!$O$1:$V$30, SWITCH(B122, "Gelatos de Leite", 7, "Sorbets", 10, "Gelatos de Leite com Fruta", 13, "Chocolate base água", 16, "Vegano", 19, "Alcoólicos", 22, "Zero", 25, "Gelatos Proteicos", 28, 7), 8)) + (ROUND(P122,4) &gt; INDEX('Tabela de ingredientes'!$O$1:$V$30, SWITCH(B122, "Gelatos de Leite", 8, "Sorbets", 11, "Gelatos de Leite com Fruta", 14, "Chocolate base água", 17, "Vegano", 20, "Alcoólicos", 23, "Zero", 26, "Gelatos Proteicos", 29, 8), 8)) + IF(B122="Gelatos Proteicos", (ROUND(Q122,4)&lt;'Tabela de ingredientes'!$W$28)+(ROUND(Q122,4)&gt;'Tabela de ingredientes'!$W$29), 0) = 0, "Ok", "Revisar"))</f>
        <v>Ok</v>
      </c>
    </row>
    <row r="123">
      <c r="A123" s="39" t="str">
        <f>IFERROR(__xludf.DUMMYFUNCTION("""COMPUTED_VALUE"""),"Sorbet de Caipirinha (Direto ao Ponto)")</f>
        <v>Sorbet de Caipirinha (Direto ao Ponto)</v>
      </c>
      <c r="B123" s="39" t="s">
        <v>101</v>
      </c>
      <c r="C123" s="39">
        <v>7.0</v>
      </c>
      <c r="D123" s="39">
        <v>1000.0</v>
      </c>
      <c r="E123" s="39" t="s">
        <v>171</v>
      </c>
      <c r="F123" s="69">
        <v>11.83</v>
      </c>
      <c r="G123" s="69">
        <v>0.7098</v>
      </c>
      <c r="H123" s="69">
        <v>32.14403973509934</v>
      </c>
      <c r="I123" s="59">
        <v>0.16635</v>
      </c>
      <c r="J123" s="59">
        <v>0.0</v>
      </c>
      <c r="K123" s="59">
        <v>0.0</v>
      </c>
      <c r="L123" s="59">
        <v>0.0633</v>
      </c>
      <c r="M123" s="59">
        <v>0.22965</v>
      </c>
      <c r="N123" s="59">
        <v>0.77035</v>
      </c>
      <c r="O123" s="39">
        <v>126.30000000000001</v>
      </c>
      <c r="P123" s="39">
        <v>347.01</v>
      </c>
      <c r="Q123" s="59">
        <v>0.0</v>
      </c>
      <c r="R123" s="39">
        <v>13.8804</v>
      </c>
      <c r="S123" s="97" t="str">
        <f t="array" ref="S123">IF(A123="","", IF( (ROUND(I123,4) &lt; INDEX('Tabela de ingredientes'!$O$1:$V$30, SWITCH(B123, "Gelatos de Leite", 7, "Sorbets", 10, "Gelatos de Leite com Fruta", 13, "Chocolate base água", 16, "Vegano", 19, "Alcoólicos", 22, "Zero", 25, "Gelatos Proteicos", 28, 7), 1)) + (ROUND(I123,4) &gt; INDEX('Tabela de ingredientes'!$O$1:$V$30, SWITCH(B123, "Gelatos de Leite", 8, "Sorbets", 11, "Gelatos de Leite com Fruta", 14, "Chocolate base água", 17, "Vegano", 20, "Alcoólicos", 23, "Zero", 26, "Gelatos Proteicos", 29, 8), 1)) + (ROUND(J123,4) &lt; INDEX('Tabela de ingredientes'!$O$1:$V$30, SWITCH(B123, "Gelatos de Leite", 7, "Sorbets", 10, "Gelatos de Leite com Fruta", 13, "Chocolate base água", 16, "Vegano", 19, "Alcoólicos", 22, "Zero", 25, "Gelatos Proteicos", 28, 7), 2)) + (ROUND(J123,4) &gt; INDEX('Tabela de ingredientes'!$O$1:$V$30, SWITCH(B123, "Gelatos de Leite", 8, "Sorbets", 11, "Gelatos de Leite com Fruta", 14, "Chocolate base água", 17, "Vegano", 20, "Alcoólicos", 23, "Zero", 26, "Gelatos Proteicos", 29, 8), 2)) + (ROUND(K123,4) &lt; INDEX('Tabela de ingredientes'!$O$1:$V$30, SWITCH(B123, "Gelatos de Leite", 7, "Sorbets", 10, "Gelatos de Leite com Fruta", 13, "Chocolate base água", 16, "Vegano", 19, "Alcoólicos", 22, "Zero", 25, "Gelatos Proteicos", 28, 7), 3)) + (ROUND(K123,4) &gt; INDEX('Tabela de ingredientes'!$O$1:$V$30, SWITCH(B123, "Gelatos de Leite", 8, "Sorbets", 11, "Gelatos de Leite com Fruta", 14, "Chocolate base água", 17, "Vegano", 20, "Alcoólicos", 23, "Zero", 26, "Gelatos Proteicos", 29, 8), 3)) + (ROUND(L123,4) &lt; INDEX('Tabela de ingredientes'!$O$1:$V$30, SWITCH(B123, "Gelatos de Leite", 7, "Sorbets", 10, "Gelatos de Leite com Fruta", 13, "Chocolate base água", 16, "Vegano", 19, "Alcoólicos", 22, "Zero", 25, "Gelatos Proteicos", 28, 7), 4)) + (ROUND(L123,4) &gt; INDEX('Tabela de ingredientes'!$O$1:$V$30, SWITCH(B123, "Gelatos de Leite", 8, "Sorbets", 11, "Gelatos de Leite com Fruta", 14, "Chocolate base água", 17, "Vegano", 20, "Alcoólicos", 23, "Zero", 26, "Gelatos Proteicos", 29, 8), 4)) + (ROUND(M123,4) &lt; INDEX('Tabela de ingredientes'!$O$1:$V$30, SWITCH(B123, "Gelatos de Leite", 7, "Sorbets", 10, "Gelatos de Leite com Fruta", 13, "Chocolate base água", 16, "Vegano", 19, "Alcoólicos", 22, "Zero", 25, "Gelatos Proteicos", 28, 7), 5)) + (ROUND(M123,4) &gt; INDEX('Tabela de ingredientes'!$O$1:$V$30, SWITCH(B123, "Gelatos de Leite", 8, "Sorbets", 11, "Gelatos de Leite com Fruta", 14, "Chocolate base água", 17, "Vegano", 20, "Alcoólicos", 23, "Zero", 26, "Gelatos Proteicos", 29, 8), 5)) + (ROUND(N123,4) &lt; INDEX('Tabela de ingredientes'!$O$1:$V$30, SWITCH(B123, "Gelatos de Leite", 7, "Sorbets", 10, "Gelatos de Leite com Fruta", 13, "Chocolate base água", 16, "Vegano", 19, "Alcoólicos", 22, "Zero", 25, "Gelatos Proteicos", 28, 7), 6)) + (ROUND(N123,4) &gt; INDEX('Tabela de ingredientes'!$O$1:$V$30, SWITCH(B123, "Gelatos de Leite", 8, "Sorbets", 11, "Gelatos de Leite com Fruta", 14, "Chocolate base água", 17, "Vegano", 20, "Alcoólicos", 23, "Zero", 26, "Gelatos Proteicos", 29, 8), 6)) + (ROUND(O123,4) &lt; INDEX('Tabela de ingredientes'!$O$1:$V$30, SWITCH(B123, "Gelatos de Leite", 7, "Sorbets", 10, "Gelatos de Leite com Fruta", 13, "Chocolate base água", 16, "Vegano", 19, "Alcoólicos", 22, "Zero", 25, "Gelatos Proteicos", 28, 7), 7)) + (ROUND(O123,4) &gt; INDEX('Tabela de ingredientes'!$O$1:$V$30, SWITCH(B123, "Gelatos de Leite", 8, "Sorbets", 11, "Gelatos de Leite com Fruta", 14, "Chocolate base água", 17, "Vegano", 20, "Alcoólicos", 23, "Zero", 26, "Gelatos Proteicos", 29, 8), 7)) + (ROUND(P123,4) &lt; INDEX('Tabela de ingredientes'!$O$1:$V$30, SWITCH(B123, "Gelatos de Leite", 7, "Sorbets", 10, "Gelatos de Leite com Fruta", 13, "Chocolate base água", 16, "Vegano", 19, "Alcoólicos", 22, "Zero", 25, "Gelatos Proteicos", 28, 7), 8)) + (ROUND(P123,4) &gt; INDEX('Tabela de ingredientes'!$O$1:$V$30, SWITCH(B123, "Gelatos de Leite", 8, "Sorbets", 11, "Gelatos de Leite com Fruta", 14, "Chocolate base água", 17, "Vegano", 20, "Alcoólicos", 23, "Zero", 26, "Gelatos Proteicos", 29, 8), 8)) + IF(B123="Gelatos Proteicos", (ROUND(Q123,4)&lt;'Tabela de ingredientes'!$W$28)+(ROUND(Q123,4)&gt;'Tabela de ingredientes'!$W$29), 0) = 0, "Ok", "Revisar"))</f>
        <v>Revisar</v>
      </c>
    </row>
    <row r="124">
      <c r="A124" s="39" t="str">
        <f>IFERROR(__xludf.DUMMYFUNCTION("""COMPUTED_VALUE"""),"Gelato de Chocolate com Bailey's (Addolcire)")</f>
        <v>Gelato de Chocolate com Bailey's (Addolcire)</v>
      </c>
      <c r="B124" s="39" t="s">
        <v>101</v>
      </c>
      <c r="C124" s="39">
        <v>11.0</v>
      </c>
      <c r="D124" s="39">
        <v>1000.0</v>
      </c>
      <c r="E124" s="39" t="s">
        <v>171</v>
      </c>
      <c r="F124" s="69">
        <v>59.029</v>
      </c>
      <c r="G124" s="69">
        <v>3.54174</v>
      </c>
      <c r="H124" s="69">
        <v>71.21605960264903</v>
      </c>
      <c r="I124" s="59">
        <v>0.19913</v>
      </c>
      <c r="J124" s="59">
        <v>0.09526000000000001</v>
      </c>
      <c r="K124" s="59">
        <v>0.08713999999999998</v>
      </c>
      <c r="L124" s="59">
        <v>0.10435</v>
      </c>
      <c r="M124" s="59">
        <v>0.48588000000000003</v>
      </c>
      <c r="N124" s="59">
        <v>0.5141199999999999</v>
      </c>
      <c r="O124" s="39">
        <v>205.0436</v>
      </c>
      <c r="P124" s="39">
        <v>372.05</v>
      </c>
      <c r="Q124" s="59">
        <v>0.049756</v>
      </c>
      <c r="R124" s="39">
        <v>14.882</v>
      </c>
      <c r="S124" s="97" t="str">
        <f t="array" ref="S124">IF(A124="","", IF( (ROUND(I124,4) &lt; INDEX('Tabela de ingredientes'!$O$1:$V$30, SWITCH(B124, "Gelatos de Leite", 7, "Sorbets", 10, "Gelatos de Leite com Fruta", 13, "Chocolate base água", 16, "Vegano", 19, "Alcoólicos", 22, "Zero", 25, "Gelatos Proteicos", 28, 7), 1)) + (ROUND(I124,4) &gt; INDEX('Tabela de ingredientes'!$O$1:$V$30, SWITCH(B124, "Gelatos de Leite", 8, "Sorbets", 11, "Gelatos de Leite com Fruta", 14, "Chocolate base água", 17, "Vegano", 20, "Alcoólicos", 23, "Zero", 26, "Gelatos Proteicos", 29, 8), 1)) + (ROUND(J124,4) &lt; INDEX('Tabela de ingredientes'!$O$1:$V$30, SWITCH(B124, "Gelatos de Leite", 7, "Sorbets", 10, "Gelatos de Leite com Fruta", 13, "Chocolate base água", 16, "Vegano", 19, "Alcoólicos", 22, "Zero", 25, "Gelatos Proteicos", 28, 7), 2)) + (ROUND(J124,4) &gt; INDEX('Tabela de ingredientes'!$O$1:$V$30, SWITCH(B124, "Gelatos de Leite", 8, "Sorbets", 11, "Gelatos de Leite com Fruta", 14, "Chocolate base água", 17, "Vegano", 20, "Alcoólicos", 23, "Zero", 26, "Gelatos Proteicos", 29, 8), 2)) + (ROUND(K124,4) &lt; INDEX('Tabela de ingredientes'!$O$1:$V$30, SWITCH(B124, "Gelatos de Leite", 7, "Sorbets", 10, "Gelatos de Leite com Fruta", 13, "Chocolate base água", 16, "Vegano", 19, "Alcoólicos", 22, "Zero", 25, "Gelatos Proteicos", 28, 7), 3)) + (ROUND(K124,4) &gt; INDEX('Tabela de ingredientes'!$O$1:$V$30, SWITCH(B124, "Gelatos de Leite", 8, "Sorbets", 11, "Gelatos de Leite com Fruta", 14, "Chocolate base água", 17, "Vegano", 20, "Alcoólicos", 23, "Zero", 26, "Gelatos Proteicos", 29, 8), 3)) + (ROUND(L124,4) &lt; INDEX('Tabela de ingredientes'!$O$1:$V$30, SWITCH(B124, "Gelatos de Leite", 7, "Sorbets", 10, "Gelatos de Leite com Fruta", 13, "Chocolate base água", 16, "Vegano", 19, "Alcoólicos", 22, "Zero", 25, "Gelatos Proteicos", 28, 7), 4)) + (ROUND(L124,4) &gt; INDEX('Tabela de ingredientes'!$O$1:$V$30, SWITCH(B124, "Gelatos de Leite", 8, "Sorbets", 11, "Gelatos de Leite com Fruta", 14, "Chocolate base água", 17, "Vegano", 20, "Alcoólicos", 23, "Zero", 26, "Gelatos Proteicos", 29, 8), 4)) + (ROUND(M124,4) &lt; INDEX('Tabela de ingredientes'!$O$1:$V$30, SWITCH(B124, "Gelatos de Leite", 7, "Sorbets", 10, "Gelatos de Leite com Fruta", 13, "Chocolate base água", 16, "Vegano", 19, "Alcoólicos", 22, "Zero", 25, "Gelatos Proteicos", 28, 7), 5)) + (ROUND(M124,4) &gt; INDEX('Tabela de ingredientes'!$O$1:$V$30, SWITCH(B124, "Gelatos de Leite", 8, "Sorbets", 11, "Gelatos de Leite com Fruta", 14, "Chocolate base água", 17, "Vegano", 20, "Alcoólicos", 23, "Zero", 26, "Gelatos Proteicos", 29, 8), 5)) + (ROUND(N124,4) &lt; INDEX('Tabela de ingredientes'!$O$1:$V$30, SWITCH(B124, "Gelatos de Leite", 7, "Sorbets", 10, "Gelatos de Leite com Fruta", 13, "Chocolate base água", 16, "Vegano", 19, "Alcoólicos", 22, "Zero", 25, "Gelatos Proteicos", 28, 7), 6)) + (ROUND(N124,4) &gt; INDEX('Tabela de ingredientes'!$O$1:$V$30, SWITCH(B124, "Gelatos de Leite", 8, "Sorbets", 11, "Gelatos de Leite com Fruta", 14, "Chocolate base água", 17, "Vegano", 20, "Alcoólicos", 23, "Zero", 26, "Gelatos Proteicos", 29, 8), 6)) + (ROUND(O124,4) &lt; INDEX('Tabela de ingredientes'!$O$1:$V$30, SWITCH(B124, "Gelatos de Leite", 7, "Sorbets", 10, "Gelatos de Leite com Fruta", 13, "Chocolate base água", 16, "Vegano", 19, "Alcoólicos", 22, "Zero", 25, "Gelatos Proteicos", 28, 7), 7)) + (ROUND(O124,4) &gt; INDEX('Tabela de ingredientes'!$O$1:$V$30, SWITCH(B124, "Gelatos de Leite", 8, "Sorbets", 11, "Gelatos de Leite com Fruta", 14, "Chocolate base água", 17, "Vegano", 20, "Alcoólicos", 23, "Zero", 26, "Gelatos Proteicos", 29, 8), 7)) + (ROUND(P124,4) &lt; INDEX('Tabela de ingredientes'!$O$1:$V$30, SWITCH(B124, "Gelatos de Leite", 7, "Sorbets", 10, "Gelatos de Leite com Fruta", 13, "Chocolate base água", 16, "Vegano", 19, "Alcoólicos", 22, "Zero", 25, "Gelatos Proteicos", 28, 7), 8)) + (ROUND(P124,4) &gt; INDEX('Tabela de ingredientes'!$O$1:$V$30, SWITCH(B124, "Gelatos de Leite", 8, "Sorbets", 11, "Gelatos de Leite com Fruta", 14, "Chocolate base água", 17, "Vegano", 20, "Alcoólicos", 23, "Zero", 26, "Gelatos Proteicos", 29, 8), 8)) + IF(B124="Gelatos Proteicos", (ROUND(Q124,4)&lt;'Tabela de ingredientes'!$W$28)+(ROUND(Q124,4)&gt;'Tabela de ingredientes'!$W$29), 0) = 0, "Ok", "Revisar"))</f>
        <v>Revisar</v>
      </c>
    </row>
    <row r="125">
      <c r="A125" s="39" t="str">
        <f>IFERROR(__xludf.DUMMYFUNCTION("""COMPUTED_VALUE"""),"Gelato de Chocolate e Whisky (Addolcire)")</f>
        <v>Gelato de Chocolate e Whisky (Addolcire)</v>
      </c>
      <c r="B125" s="39" t="s">
        <v>101</v>
      </c>
      <c r="C125" s="39">
        <v>11.0</v>
      </c>
      <c r="D125" s="39">
        <v>1080.0</v>
      </c>
      <c r="E125" s="39" t="s">
        <v>625</v>
      </c>
      <c r="F125" s="69">
        <v>18.01851851851852</v>
      </c>
      <c r="G125" s="69">
        <v>1.0811111111111111</v>
      </c>
      <c r="H125" s="69">
        <v>37.26698552857494</v>
      </c>
      <c r="I125" s="59">
        <v>0.16967592592592592</v>
      </c>
      <c r="J125" s="59">
        <v>0.12638888888888888</v>
      </c>
      <c r="K125" s="59">
        <v>0.07462962962962963</v>
      </c>
      <c r="L125" s="59">
        <v>0.07314814814814814</v>
      </c>
      <c r="M125" s="59">
        <v>0.44384259259259257</v>
      </c>
      <c r="N125" s="59">
        <v>0.5561574074074074</v>
      </c>
      <c r="O125" s="39">
        <v>145.9962962962963</v>
      </c>
      <c r="P125" s="39">
        <v>259.39814814814815</v>
      </c>
      <c r="Q125" s="59">
        <v>0.03070370370370371</v>
      </c>
      <c r="R125" s="39">
        <v>10.375925925925927</v>
      </c>
      <c r="S125" s="97" t="str">
        <f t="array" ref="S125">IF(A125="","", IF( (ROUND(I125,4) &lt; INDEX('Tabela de ingredientes'!$O$1:$V$30, SWITCH(B125, "Gelatos de Leite", 7, "Sorbets", 10, "Gelatos de Leite com Fruta", 13, "Chocolate base água", 16, "Vegano", 19, "Alcoólicos", 22, "Zero", 25, "Gelatos Proteicos", 28, 7), 1)) + (ROUND(I125,4) &gt; INDEX('Tabela de ingredientes'!$O$1:$V$30, SWITCH(B125, "Gelatos de Leite", 8, "Sorbets", 11, "Gelatos de Leite com Fruta", 14, "Chocolate base água", 17, "Vegano", 20, "Alcoólicos", 23, "Zero", 26, "Gelatos Proteicos", 29, 8), 1)) + (ROUND(J125,4) &lt; INDEX('Tabela de ingredientes'!$O$1:$V$30, SWITCH(B125, "Gelatos de Leite", 7, "Sorbets", 10, "Gelatos de Leite com Fruta", 13, "Chocolate base água", 16, "Vegano", 19, "Alcoólicos", 22, "Zero", 25, "Gelatos Proteicos", 28, 7), 2)) + (ROUND(J125,4) &gt; INDEX('Tabela de ingredientes'!$O$1:$V$30, SWITCH(B125, "Gelatos de Leite", 8, "Sorbets", 11, "Gelatos de Leite com Fruta", 14, "Chocolate base água", 17, "Vegano", 20, "Alcoólicos", 23, "Zero", 26, "Gelatos Proteicos", 29, 8), 2)) + (ROUND(K125,4) &lt; INDEX('Tabela de ingredientes'!$O$1:$V$30, SWITCH(B125, "Gelatos de Leite", 7, "Sorbets", 10, "Gelatos de Leite com Fruta", 13, "Chocolate base água", 16, "Vegano", 19, "Alcoólicos", 22, "Zero", 25, "Gelatos Proteicos", 28, 7), 3)) + (ROUND(K125,4) &gt; INDEX('Tabela de ingredientes'!$O$1:$V$30, SWITCH(B125, "Gelatos de Leite", 8, "Sorbets", 11, "Gelatos de Leite com Fruta", 14, "Chocolate base água", 17, "Vegano", 20, "Alcoólicos", 23, "Zero", 26, "Gelatos Proteicos", 29, 8), 3)) + (ROUND(L125,4) &lt; INDEX('Tabela de ingredientes'!$O$1:$V$30, SWITCH(B125, "Gelatos de Leite", 7, "Sorbets", 10, "Gelatos de Leite com Fruta", 13, "Chocolate base água", 16, "Vegano", 19, "Alcoólicos", 22, "Zero", 25, "Gelatos Proteicos", 28, 7), 4)) + (ROUND(L125,4) &gt; INDEX('Tabela de ingredientes'!$O$1:$V$30, SWITCH(B125, "Gelatos de Leite", 8, "Sorbets", 11, "Gelatos de Leite com Fruta", 14, "Chocolate base água", 17, "Vegano", 20, "Alcoólicos", 23, "Zero", 26, "Gelatos Proteicos", 29, 8), 4)) + (ROUND(M125,4) &lt; INDEX('Tabela de ingredientes'!$O$1:$V$30, SWITCH(B125, "Gelatos de Leite", 7, "Sorbets", 10, "Gelatos de Leite com Fruta", 13, "Chocolate base água", 16, "Vegano", 19, "Alcoólicos", 22, "Zero", 25, "Gelatos Proteicos", 28, 7), 5)) + (ROUND(M125,4) &gt; INDEX('Tabela de ingredientes'!$O$1:$V$30, SWITCH(B125, "Gelatos de Leite", 8, "Sorbets", 11, "Gelatos de Leite com Fruta", 14, "Chocolate base água", 17, "Vegano", 20, "Alcoólicos", 23, "Zero", 26, "Gelatos Proteicos", 29, 8), 5)) + (ROUND(N125,4) &lt; INDEX('Tabela de ingredientes'!$O$1:$V$30, SWITCH(B125, "Gelatos de Leite", 7, "Sorbets", 10, "Gelatos de Leite com Fruta", 13, "Chocolate base água", 16, "Vegano", 19, "Alcoólicos", 22, "Zero", 25, "Gelatos Proteicos", 28, 7), 6)) + (ROUND(N125,4) &gt; INDEX('Tabela de ingredientes'!$O$1:$V$30, SWITCH(B125, "Gelatos de Leite", 8, "Sorbets", 11, "Gelatos de Leite com Fruta", 14, "Chocolate base água", 17, "Vegano", 20, "Alcoólicos", 23, "Zero", 26, "Gelatos Proteicos", 29, 8), 6)) + (ROUND(O125,4) &lt; INDEX('Tabela de ingredientes'!$O$1:$V$30, SWITCH(B125, "Gelatos de Leite", 7, "Sorbets", 10, "Gelatos de Leite com Fruta", 13, "Chocolate base água", 16, "Vegano", 19, "Alcoólicos", 22, "Zero", 25, "Gelatos Proteicos", 28, 7), 7)) + (ROUND(O125,4) &gt; INDEX('Tabela de ingredientes'!$O$1:$V$30, SWITCH(B125, "Gelatos de Leite", 8, "Sorbets", 11, "Gelatos de Leite com Fruta", 14, "Chocolate base água", 17, "Vegano", 20, "Alcoólicos", 23, "Zero", 26, "Gelatos Proteicos", 29, 8), 7)) + (ROUND(P125,4) &lt; INDEX('Tabela de ingredientes'!$O$1:$V$30, SWITCH(B125, "Gelatos de Leite", 7, "Sorbets", 10, "Gelatos de Leite com Fruta", 13, "Chocolate base água", 16, "Vegano", 19, "Alcoólicos", 22, "Zero", 25, "Gelatos Proteicos", 28, 7), 8)) + (ROUND(P125,4) &gt; INDEX('Tabela de ingredientes'!$O$1:$V$30, SWITCH(B125, "Gelatos de Leite", 8, "Sorbets", 11, "Gelatos de Leite com Fruta", 14, "Chocolate base água", 17, "Vegano", 20, "Alcoólicos", 23, "Zero", 26, "Gelatos Proteicos", 29, 8), 8)) + IF(B125="Gelatos Proteicos", (ROUND(Q125,4)&lt;'Tabela de ingredientes'!$W$28)+(ROUND(Q125,4)&gt;'Tabela de ingredientes'!$W$29), 0) = 0, "Ok", "Revisar"))</f>
        <v>Ok</v>
      </c>
    </row>
    <row r="126">
      <c r="A126" s="39" t="str">
        <f>IFERROR(__xludf.DUMMYFUNCTION("""COMPUTED_VALUE"""),"Gelato de Bailey's (Addolcire)")</f>
        <v>Gelato de Bailey's (Addolcire)</v>
      </c>
      <c r="B126" s="39" t="s">
        <v>101</v>
      </c>
      <c r="C126" s="39">
        <v>9.0</v>
      </c>
      <c r="D126" s="39">
        <v>1000.0</v>
      </c>
      <c r="E126" s="39" t="s">
        <v>171</v>
      </c>
      <c r="F126" s="69">
        <v>18.339</v>
      </c>
      <c r="G126" s="69">
        <v>1.1003399999999999</v>
      </c>
      <c r="H126" s="69">
        <v>37.53228476821193</v>
      </c>
      <c r="I126" s="59">
        <v>0.18220000000000003</v>
      </c>
      <c r="J126" s="59">
        <v>0.069575</v>
      </c>
      <c r="K126" s="59">
        <v>0.10033</v>
      </c>
      <c r="L126" s="59">
        <v>0.022099999999999998</v>
      </c>
      <c r="M126" s="59">
        <v>0.374205</v>
      </c>
      <c r="N126" s="59">
        <v>0.625795</v>
      </c>
      <c r="O126" s="39">
        <v>176.0002</v>
      </c>
      <c r="P126" s="39">
        <v>305.34</v>
      </c>
      <c r="Q126" s="59">
        <v>0.039507</v>
      </c>
      <c r="R126" s="39">
        <v>12.2136</v>
      </c>
      <c r="S126" s="97" t="str">
        <f t="array" ref="S126">IF(A126="","", IF( (ROUND(I126,4) &lt; INDEX('Tabela de ingredientes'!$O$1:$V$30, SWITCH(B126, "Gelatos de Leite", 7, "Sorbets", 10, "Gelatos de Leite com Fruta", 13, "Chocolate base água", 16, "Vegano", 19, "Alcoólicos", 22, "Zero", 25, "Gelatos Proteicos", 28, 7), 1)) + (ROUND(I126,4) &gt; INDEX('Tabela de ingredientes'!$O$1:$V$30, SWITCH(B126, "Gelatos de Leite", 8, "Sorbets", 11, "Gelatos de Leite com Fruta", 14, "Chocolate base água", 17, "Vegano", 20, "Alcoólicos", 23, "Zero", 26, "Gelatos Proteicos", 29, 8), 1)) + (ROUND(J126,4) &lt; INDEX('Tabela de ingredientes'!$O$1:$V$30, SWITCH(B126, "Gelatos de Leite", 7, "Sorbets", 10, "Gelatos de Leite com Fruta", 13, "Chocolate base água", 16, "Vegano", 19, "Alcoólicos", 22, "Zero", 25, "Gelatos Proteicos", 28, 7), 2)) + (ROUND(J126,4) &gt; INDEX('Tabela de ingredientes'!$O$1:$V$30, SWITCH(B126, "Gelatos de Leite", 8, "Sorbets", 11, "Gelatos de Leite com Fruta", 14, "Chocolate base água", 17, "Vegano", 20, "Alcoólicos", 23, "Zero", 26, "Gelatos Proteicos", 29, 8), 2)) + (ROUND(K126,4) &lt; INDEX('Tabela de ingredientes'!$O$1:$V$30, SWITCH(B126, "Gelatos de Leite", 7, "Sorbets", 10, "Gelatos de Leite com Fruta", 13, "Chocolate base água", 16, "Vegano", 19, "Alcoólicos", 22, "Zero", 25, "Gelatos Proteicos", 28, 7), 3)) + (ROUND(K126,4) &gt; INDEX('Tabela de ingredientes'!$O$1:$V$30, SWITCH(B126, "Gelatos de Leite", 8, "Sorbets", 11, "Gelatos de Leite com Fruta", 14, "Chocolate base água", 17, "Vegano", 20, "Alcoólicos", 23, "Zero", 26, "Gelatos Proteicos", 29, 8), 3)) + (ROUND(L126,4) &lt; INDEX('Tabela de ingredientes'!$O$1:$V$30, SWITCH(B126, "Gelatos de Leite", 7, "Sorbets", 10, "Gelatos de Leite com Fruta", 13, "Chocolate base água", 16, "Vegano", 19, "Alcoólicos", 22, "Zero", 25, "Gelatos Proteicos", 28, 7), 4)) + (ROUND(L126,4) &gt; INDEX('Tabela de ingredientes'!$O$1:$V$30, SWITCH(B126, "Gelatos de Leite", 8, "Sorbets", 11, "Gelatos de Leite com Fruta", 14, "Chocolate base água", 17, "Vegano", 20, "Alcoólicos", 23, "Zero", 26, "Gelatos Proteicos", 29, 8), 4)) + (ROUND(M126,4) &lt; INDEX('Tabela de ingredientes'!$O$1:$V$30, SWITCH(B126, "Gelatos de Leite", 7, "Sorbets", 10, "Gelatos de Leite com Fruta", 13, "Chocolate base água", 16, "Vegano", 19, "Alcoólicos", 22, "Zero", 25, "Gelatos Proteicos", 28, 7), 5)) + (ROUND(M126,4) &gt; INDEX('Tabela de ingredientes'!$O$1:$V$30, SWITCH(B126, "Gelatos de Leite", 8, "Sorbets", 11, "Gelatos de Leite com Fruta", 14, "Chocolate base água", 17, "Vegano", 20, "Alcoólicos", 23, "Zero", 26, "Gelatos Proteicos", 29, 8), 5)) + (ROUND(N126,4) &lt; INDEX('Tabela de ingredientes'!$O$1:$V$30, SWITCH(B126, "Gelatos de Leite", 7, "Sorbets", 10, "Gelatos de Leite com Fruta", 13, "Chocolate base água", 16, "Vegano", 19, "Alcoólicos", 22, "Zero", 25, "Gelatos Proteicos", 28, 7), 6)) + (ROUND(N126,4) &gt; INDEX('Tabela de ingredientes'!$O$1:$V$30, SWITCH(B126, "Gelatos de Leite", 8, "Sorbets", 11, "Gelatos de Leite com Fruta", 14, "Chocolate base água", 17, "Vegano", 20, "Alcoólicos", 23, "Zero", 26, "Gelatos Proteicos", 29, 8), 6)) + (ROUND(O126,4) &lt; INDEX('Tabela de ingredientes'!$O$1:$V$30, SWITCH(B126, "Gelatos de Leite", 7, "Sorbets", 10, "Gelatos de Leite com Fruta", 13, "Chocolate base água", 16, "Vegano", 19, "Alcoólicos", 22, "Zero", 25, "Gelatos Proteicos", 28, 7), 7)) + (ROUND(O126,4) &gt; INDEX('Tabela de ingredientes'!$O$1:$V$30, SWITCH(B126, "Gelatos de Leite", 8, "Sorbets", 11, "Gelatos de Leite com Fruta", 14, "Chocolate base água", 17, "Vegano", 20, "Alcoólicos", 23, "Zero", 26, "Gelatos Proteicos", 29, 8), 7)) + (ROUND(P126,4) &lt; INDEX('Tabela de ingredientes'!$O$1:$V$30, SWITCH(B126, "Gelatos de Leite", 7, "Sorbets", 10, "Gelatos de Leite com Fruta", 13, "Chocolate base água", 16, "Vegano", 19, "Alcoólicos", 22, "Zero", 25, "Gelatos Proteicos", 28, 7), 8)) + (ROUND(P126,4) &gt; INDEX('Tabela de ingredientes'!$O$1:$V$30, SWITCH(B126, "Gelatos de Leite", 8, "Sorbets", 11, "Gelatos de Leite com Fruta", 14, "Chocolate base água", 17, "Vegano", 20, "Alcoólicos", 23, "Zero", 26, "Gelatos Proteicos", 29, 8), 8)) + IF(B126="Gelatos Proteicos", (ROUND(Q126,4)&lt;'Tabela de ingredientes'!$W$28)+(ROUND(Q126,4)&gt;'Tabela de ingredientes'!$W$29), 0) = 0, "Ok", "Revisar"))</f>
        <v>Ok</v>
      </c>
    </row>
    <row r="127">
      <c r="A127" s="39" t="str">
        <f>IFERROR(__xludf.DUMMYFUNCTION("""COMPUTED_VALUE"""),"Gelato de Cajá e Cachaça (Addolcire)")</f>
        <v>Gelato de Cajá e Cachaça (Addolcire)</v>
      </c>
      <c r="B127" s="39" t="s">
        <v>101</v>
      </c>
      <c r="C127" s="39">
        <v>8.0</v>
      </c>
      <c r="D127" s="39">
        <v>986.0</v>
      </c>
      <c r="E127" s="39" t="s">
        <v>626</v>
      </c>
      <c r="F127" s="69">
        <v>11.550304259634888</v>
      </c>
      <c r="G127" s="69">
        <v>0.6930182555780933</v>
      </c>
      <c r="H127" s="69">
        <v>31.912503526187827</v>
      </c>
      <c r="I127" s="59">
        <v>0.15573022312373228</v>
      </c>
      <c r="J127" s="59">
        <v>0.024705882352941175</v>
      </c>
      <c r="K127" s="59">
        <v>0.02945233265720081</v>
      </c>
      <c r="L127" s="59">
        <v>0.08007099391480729</v>
      </c>
      <c r="M127" s="59">
        <v>0.2899594320486816</v>
      </c>
      <c r="N127" s="59">
        <v>0.7100405679513184</v>
      </c>
      <c r="O127" s="39">
        <v>139.05152129817446</v>
      </c>
      <c r="P127" s="39">
        <v>312.87018255578096</v>
      </c>
      <c r="Q127" s="59">
        <v>0.015537525354969575</v>
      </c>
      <c r="R127" s="39">
        <v>12.514807302231238</v>
      </c>
      <c r="S127" s="97" t="str">
        <f t="array" ref="S127">IF(A127="","", IF( (ROUND(I127,4) &lt; INDEX('Tabela de ingredientes'!$O$1:$V$30, SWITCH(B127, "Gelatos de Leite", 7, "Sorbets", 10, "Gelatos de Leite com Fruta", 13, "Chocolate base água", 16, "Vegano", 19, "Alcoólicos", 22, "Zero", 25, "Gelatos Proteicos", 28, 7), 1)) + (ROUND(I127,4) &gt; INDEX('Tabela de ingredientes'!$O$1:$V$30, SWITCH(B127, "Gelatos de Leite", 8, "Sorbets", 11, "Gelatos de Leite com Fruta", 14, "Chocolate base água", 17, "Vegano", 20, "Alcoólicos", 23, "Zero", 26, "Gelatos Proteicos", 29, 8), 1)) + (ROUND(J127,4) &lt; INDEX('Tabela de ingredientes'!$O$1:$V$30, SWITCH(B127, "Gelatos de Leite", 7, "Sorbets", 10, "Gelatos de Leite com Fruta", 13, "Chocolate base água", 16, "Vegano", 19, "Alcoólicos", 22, "Zero", 25, "Gelatos Proteicos", 28, 7), 2)) + (ROUND(J127,4) &gt; INDEX('Tabela de ingredientes'!$O$1:$V$30, SWITCH(B127, "Gelatos de Leite", 8, "Sorbets", 11, "Gelatos de Leite com Fruta", 14, "Chocolate base água", 17, "Vegano", 20, "Alcoólicos", 23, "Zero", 26, "Gelatos Proteicos", 29, 8), 2)) + (ROUND(K127,4) &lt; INDEX('Tabela de ingredientes'!$O$1:$V$30, SWITCH(B127, "Gelatos de Leite", 7, "Sorbets", 10, "Gelatos de Leite com Fruta", 13, "Chocolate base água", 16, "Vegano", 19, "Alcoólicos", 22, "Zero", 25, "Gelatos Proteicos", 28, 7), 3)) + (ROUND(K127,4) &gt; INDEX('Tabela de ingredientes'!$O$1:$V$30, SWITCH(B127, "Gelatos de Leite", 8, "Sorbets", 11, "Gelatos de Leite com Fruta", 14, "Chocolate base água", 17, "Vegano", 20, "Alcoólicos", 23, "Zero", 26, "Gelatos Proteicos", 29, 8), 3)) + (ROUND(L127,4) &lt; INDEX('Tabela de ingredientes'!$O$1:$V$30, SWITCH(B127, "Gelatos de Leite", 7, "Sorbets", 10, "Gelatos de Leite com Fruta", 13, "Chocolate base água", 16, "Vegano", 19, "Alcoólicos", 22, "Zero", 25, "Gelatos Proteicos", 28, 7), 4)) + (ROUND(L127,4) &gt; INDEX('Tabela de ingredientes'!$O$1:$V$30, SWITCH(B127, "Gelatos de Leite", 8, "Sorbets", 11, "Gelatos de Leite com Fruta", 14, "Chocolate base água", 17, "Vegano", 20, "Alcoólicos", 23, "Zero", 26, "Gelatos Proteicos", 29, 8), 4)) + (ROUND(M127,4) &lt; INDEX('Tabela de ingredientes'!$O$1:$V$30, SWITCH(B127, "Gelatos de Leite", 7, "Sorbets", 10, "Gelatos de Leite com Fruta", 13, "Chocolate base água", 16, "Vegano", 19, "Alcoólicos", 22, "Zero", 25, "Gelatos Proteicos", 28, 7), 5)) + (ROUND(M127,4) &gt; INDEX('Tabela de ingredientes'!$O$1:$V$30, SWITCH(B127, "Gelatos de Leite", 8, "Sorbets", 11, "Gelatos de Leite com Fruta", 14, "Chocolate base água", 17, "Vegano", 20, "Alcoólicos", 23, "Zero", 26, "Gelatos Proteicos", 29, 8), 5)) + (ROUND(N127,4) &lt; INDEX('Tabela de ingredientes'!$O$1:$V$30, SWITCH(B127, "Gelatos de Leite", 7, "Sorbets", 10, "Gelatos de Leite com Fruta", 13, "Chocolate base água", 16, "Vegano", 19, "Alcoólicos", 22, "Zero", 25, "Gelatos Proteicos", 28, 7), 6)) + (ROUND(N127,4) &gt; INDEX('Tabela de ingredientes'!$O$1:$V$30, SWITCH(B127, "Gelatos de Leite", 8, "Sorbets", 11, "Gelatos de Leite com Fruta", 14, "Chocolate base água", 17, "Vegano", 20, "Alcoólicos", 23, "Zero", 26, "Gelatos Proteicos", 29, 8), 6)) + (ROUND(O127,4) &lt; INDEX('Tabela de ingredientes'!$O$1:$V$30, SWITCH(B127, "Gelatos de Leite", 7, "Sorbets", 10, "Gelatos de Leite com Fruta", 13, "Chocolate base água", 16, "Vegano", 19, "Alcoólicos", 22, "Zero", 25, "Gelatos Proteicos", 28, 7), 7)) + (ROUND(O127,4) &gt; INDEX('Tabela de ingredientes'!$O$1:$V$30, SWITCH(B127, "Gelatos de Leite", 8, "Sorbets", 11, "Gelatos de Leite com Fruta", 14, "Chocolate base água", 17, "Vegano", 20, "Alcoólicos", 23, "Zero", 26, "Gelatos Proteicos", 29, 8), 7)) + (ROUND(P127,4) &lt; INDEX('Tabela de ingredientes'!$O$1:$V$30, SWITCH(B127, "Gelatos de Leite", 7, "Sorbets", 10, "Gelatos de Leite com Fruta", 13, "Chocolate base água", 16, "Vegano", 19, "Alcoólicos", 22, "Zero", 25, "Gelatos Proteicos", 28, 7), 8)) + (ROUND(P127,4) &gt; INDEX('Tabela de ingredientes'!$O$1:$V$30, SWITCH(B127, "Gelatos de Leite", 8, "Sorbets", 11, "Gelatos de Leite com Fruta", 14, "Chocolate base água", 17, "Vegano", 20, "Alcoólicos", 23, "Zero", 26, "Gelatos Proteicos", 29, 8), 8)) + IF(B127="Gelatos Proteicos", (ROUND(Q127,4)&lt;'Tabela de ingredientes'!$W$28)+(ROUND(Q127,4)&gt;'Tabela de ingredientes'!$W$29), 0) = 0, "Ok", "Revisar"))</f>
        <v>Revisar</v>
      </c>
    </row>
    <row r="128">
      <c r="A128" s="39" t="str">
        <f>IFERROR(__xludf.DUMMYFUNCTION("""COMPUTED_VALUE"""),"Gelato de Conhaque (Addolcire)")</f>
        <v>Gelato de Conhaque (Addolcire)</v>
      </c>
      <c r="B128" s="39" t="s">
        <v>101</v>
      </c>
      <c r="C128" s="39">
        <v>8.0</v>
      </c>
      <c r="D128" s="39">
        <v>1040.0</v>
      </c>
      <c r="E128" s="39" t="s">
        <v>392</v>
      </c>
      <c r="F128" s="69">
        <v>18.990384615384617</v>
      </c>
      <c r="G128" s="69">
        <v>1.1394230769230769</v>
      </c>
      <c r="H128" s="69">
        <v>38.071510443199195</v>
      </c>
      <c r="I128" s="59">
        <v>0.1605769230769231</v>
      </c>
      <c r="J128" s="59">
        <v>0.06057692307692308</v>
      </c>
      <c r="K128" s="59">
        <v>0.11480769230769232</v>
      </c>
      <c r="L128" s="59">
        <v>0.03221153846153846</v>
      </c>
      <c r="M128" s="59">
        <v>0.36817307692307694</v>
      </c>
      <c r="N128" s="59">
        <v>0.6318269230769231</v>
      </c>
      <c r="O128" s="39">
        <v>116.66153846153846</v>
      </c>
      <c r="P128" s="39">
        <v>287.11538461538464</v>
      </c>
      <c r="Q128" s="59">
        <v>0.04373076923076923</v>
      </c>
      <c r="R128" s="39">
        <v>11.484615384615386</v>
      </c>
      <c r="S128" s="97" t="str">
        <f t="array" ref="S128">IF(A128="","", IF( (ROUND(I128,4) &lt; INDEX('Tabela de ingredientes'!$O$1:$V$30, SWITCH(B128, "Gelatos de Leite", 7, "Sorbets", 10, "Gelatos de Leite com Fruta", 13, "Chocolate base água", 16, "Vegano", 19, "Alcoólicos", 22, "Zero", 25, "Gelatos Proteicos", 28, 7), 1)) + (ROUND(I128,4) &gt; INDEX('Tabela de ingredientes'!$O$1:$V$30, SWITCH(B128, "Gelatos de Leite", 8, "Sorbets", 11, "Gelatos de Leite com Fruta", 14, "Chocolate base água", 17, "Vegano", 20, "Alcoólicos", 23, "Zero", 26, "Gelatos Proteicos", 29, 8), 1)) + (ROUND(J128,4) &lt; INDEX('Tabela de ingredientes'!$O$1:$V$30, SWITCH(B128, "Gelatos de Leite", 7, "Sorbets", 10, "Gelatos de Leite com Fruta", 13, "Chocolate base água", 16, "Vegano", 19, "Alcoólicos", 22, "Zero", 25, "Gelatos Proteicos", 28, 7), 2)) + (ROUND(J128,4) &gt; INDEX('Tabela de ingredientes'!$O$1:$V$30, SWITCH(B128, "Gelatos de Leite", 8, "Sorbets", 11, "Gelatos de Leite com Fruta", 14, "Chocolate base água", 17, "Vegano", 20, "Alcoólicos", 23, "Zero", 26, "Gelatos Proteicos", 29, 8), 2)) + (ROUND(K128,4) &lt; INDEX('Tabela de ingredientes'!$O$1:$V$30, SWITCH(B128, "Gelatos de Leite", 7, "Sorbets", 10, "Gelatos de Leite com Fruta", 13, "Chocolate base água", 16, "Vegano", 19, "Alcoólicos", 22, "Zero", 25, "Gelatos Proteicos", 28, 7), 3)) + (ROUND(K128,4) &gt; INDEX('Tabela de ingredientes'!$O$1:$V$30, SWITCH(B128, "Gelatos de Leite", 8, "Sorbets", 11, "Gelatos de Leite com Fruta", 14, "Chocolate base água", 17, "Vegano", 20, "Alcoólicos", 23, "Zero", 26, "Gelatos Proteicos", 29, 8), 3)) + (ROUND(L128,4) &lt; INDEX('Tabela de ingredientes'!$O$1:$V$30, SWITCH(B128, "Gelatos de Leite", 7, "Sorbets", 10, "Gelatos de Leite com Fruta", 13, "Chocolate base água", 16, "Vegano", 19, "Alcoólicos", 22, "Zero", 25, "Gelatos Proteicos", 28, 7), 4)) + (ROUND(L128,4) &gt; INDEX('Tabela de ingredientes'!$O$1:$V$30, SWITCH(B128, "Gelatos de Leite", 8, "Sorbets", 11, "Gelatos de Leite com Fruta", 14, "Chocolate base água", 17, "Vegano", 20, "Alcoólicos", 23, "Zero", 26, "Gelatos Proteicos", 29, 8), 4)) + (ROUND(M128,4) &lt; INDEX('Tabela de ingredientes'!$O$1:$V$30, SWITCH(B128, "Gelatos de Leite", 7, "Sorbets", 10, "Gelatos de Leite com Fruta", 13, "Chocolate base água", 16, "Vegano", 19, "Alcoólicos", 22, "Zero", 25, "Gelatos Proteicos", 28, 7), 5)) + (ROUND(M128,4) &gt; INDEX('Tabela de ingredientes'!$O$1:$V$30, SWITCH(B128, "Gelatos de Leite", 8, "Sorbets", 11, "Gelatos de Leite com Fruta", 14, "Chocolate base água", 17, "Vegano", 20, "Alcoólicos", 23, "Zero", 26, "Gelatos Proteicos", 29, 8), 5)) + (ROUND(N128,4) &lt; INDEX('Tabela de ingredientes'!$O$1:$V$30, SWITCH(B128, "Gelatos de Leite", 7, "Sorbets", 10, "Gelatos de Leite com Fruta", 13, "Chocolate base água", 16, "Vegano", 19, "Alcoólicos", 22, "Zero", 25, "Gelatos Proteicos", 28, 7), 6)) + (ROUND(N128,4) &gt; INDEX('Tabela de ingredientes'!$O$1:$V$30, SWITCH(B128, "Gelatos de Leite", 8, "Sorbets", 11, "Gelatos de Leite com Fruta", 14, "Chocolate base água", 17, "Vegano", 20, "Alcoólicos", 23, "Zero", 26, "Gelatos Proteicos", 29, 8), 6)) + (ROUND(O128,4) &lt; INDEX('Tabela de ingredientes'!$O$1:$V$30, SWITCH(B128, "Gelatos de Leite", 7, "Sorbets", 10, "Gelatos de Leite com Fruta", 13, "Chocolate base água", 16, "Vegano", 19, "Alcoólicos", 22, "Zero", 25, "Gelatos Proteicos", 28, 7), 7)) + (ROUND(O128,4) &gt; INDEX('Tabela de ingredientes'!$O$1:$V$30, SWITCH(B128, "Gelatos de Leite", 8, "Sorbets", 11, "Gelatos de Leite com Fruta", 14, "Chocolate base água", 17, "Vegano", 20, "Alcoólicos", 23, "Zero", 26, "Gelatos Proteicos", 29, 8), 7)) + (ROUND(P128,4) &lt; INDEX('Tabela de ingredientes'!$O$1:$V$30, SWITCH(B128, "Gelatos de Leite", 7, "Sorbets", 10, "Gelatos de Leite com Fruta", 13, "Chocolate base água", 16, "Vegano", 19, "Alcoólicos", 22, "Zero", 25, "Gelatos Proteicos", 28, 7), 8)) + (ROUND(P128,4) &gt; INDEX('Tabela de ingredientes'!$O$1:$V$30, SWITCH(B128, "Gelatos de Leite", 8, "Sorbets", 11, "Gelatos de Leite com Fruta", 14, "Chocolate base água", 17, "Vegano", 20, "Alcoólicos", 23, "Zero", 26, "Gelatos Proteicos", 29, 8), 8)) + IF(B128="Gelatos Proteicos", (ROUND(Q128,4)&lt;'Tabela de ingredientes'!$W$28)+(ROUND(Q128,4)&gt;'Tabela de ingredientes'!$W$29), 0) = 0, "Ok", "Revisar"))</f>
        <v>Revisar</v>
      </c>
    </row>
    <row r="129">
      <c r="A129" s="39" t="str">
        <f>IFERROR(__xludf.DUMMYFUNCTION("""COMPUTED_VALUE"""),"Gelato de Rum (Addolcire)")</f>
        <v>Gelato de Rum (Addolcire)</v>
      </c>
      <c r="B129" s="39" t="s">
        <v>101</v>
      </c>
      <c r="C129" s="39">
        <v>8.0</v>
      </c>
      <c r="D129" s="39">
        <v>1065.0</v>
      </c>
      <c r="E129" s="39" t="s">
        <v>501</v>
      </c>
      <c r="F129" s="69">
        <v>14.43192488262911</v>
      </c>
      <c r="G129" s="69">
        <v>0.8659154929577465</v>
      </c>
      <c r="H129" s="69">
        <v>34.297951061779074</v>
      </c>
      <c r="I129" s="59">
        <v>0.1651643192488263</v>
      </c>
      <c r="J129" s="59">
        <v>0.059154929577464786</v>
      </c>
      <c r="K129" s="59">
        <v>0.10300469483568075</v>
      </c>
      <c r="L129" s="59">
        <v>0.04929577464788732</v>
      </c>
      <c r="M129" s="59">
        <v>0.37661971830985913</v>
      </c>
      <c r="N129" s="59">
        <v>0.6233802816901408</v>
      </c>
      <c r="O129" s="39">
        <v>130.26103286384978</v>
      </c>
      <c r="P129" s="39">
        <v>268.63849765258215</v>
      </c>
      <c r="Q129" s="59">
        <v>0.03932394366197183</v>
      </c>
      <c r="R129" s="39">
        <v>10.745539906103286</v>
      </c>
      <c r="S129" s="97" t="str">
        <f t="array" ref="S129">IF(A129="","", IF( (ROUND(I129,4) &lt; INDEX('Tabela de ingredientes'!$O$1:$V$30, SWITCH(B129, "Gelatos de Leite", 7, "Sorbets", 10, "Gelatos de Leite com Fruta", 13, "Chocolate base água", 16, "Vegano", 19, "Alcoólicos", 22, "Zero", 25, "Gelatos Proteicos", 28, 7), 1)) + (ROUND(I129,4) &gt; INDEX('Tabela de ingredientes'!$O$1:$V$30, SWITCH(B129, "Gelatos de Leite", 8, "Sorbets", 11, "Gelatos de Leite com Fruta", 14, "Chocolate base água", 17, "Vegano", 20, "Alcoólicos", 23, "Zero", 26, "Gelatos Proteicos", 29, 8), 1)) + (ROUND(J129,4) &lt; INDEX('Tabela de ingredientes'!$O$1:$V$30, SWITCH(B129, "Gelatos de Leite", 7, "Sorbets", 10, "Gelatos de Leite com Fruta", 13, "Chocolate base água", 16, "Vegano", 19, "Alcoólicos", 22, "Zero", 25, "Gelatos Proteicos", 28, 7), 2)) + (ROUND(J129,4) &gt; INDEX('Tabela de ingredientes'!$O$1:$V$30, SWITCH(B129, "Gelatos de Leite", 8, "Sorbets", 11, "Gelatos de Leite com Fruta", 14, "Chocolate base água", 17, "Vegano", 20, "Alcoólicos", 23, "Zero", 26, "Gelatos Proteicos", 29, 8), 2)) + (ROUND(K129,4) &lt; INDEX('Tabela de ingredientes'!$O$1:$V$30, SWITCH(B129, "Gelatos de Leite", 7, "Sorbets", 10, "Gelatos de Leite com Fruta", 13, "Chocolate base água", 16, "Vegano", 19, "Alcoólicos", 22, "Zero", 25, "Gelatos Proteicos", 28, 7), 3)) + (ROUND(K129,4) &gt; INDEX('Tabela de ingredientes'!$O$1:$V$30, SWITCH(B129, "Gelatos de Leite", 8, "Sorbets", 11, "Gelatos de Leite com Fruta", 14, "Chocolate base água", 17, "Vegano", 20, "Alcoólicos", 23, "Zero", 26, "Gelatos Proteicos", 29, 8), 3)) + (ROUND(L129,4) &lt; INDEX('Tabela de ingredientes'!$O$1:$V$30, SWITCH(B129, "Gelatos de Leite", 7, "Sorbets", 10, "Gelatos de Leite com Fruta", 13, "Chocolate base água", 16, "Vegano", 19, "Alcoólicos", 22, "Zero", 25, "Gelatos Proteicos", 28, 7), 4)) + (ROUND(L129,4) &gt; INDEX('Tabela de ingredientes'!$O$1:$V$30, SWITCH(B129, "Gelatos de Leite", 8, "Sorbets", 11, "Gelatos de Leite com Fruta", 14, "Chocolate base água", 17, "Vegano", 20, "Alcoólicos", 23, "Zero", 26, "Gelatos Proteicos", 29, 8), 4)) + (ROUND(M129,4) &lt; INDEX('Tabela de ingredientes'!$O$1:$V$30, SWITCH(B129, "Gelatos de Leite", 7, "Sorbets", 10, "Gelatos de Leite com Fruta", 13, "Chocolate base água", 16, "Vegano", 19, "Alcoólicos", 22, "Zero", 25, "Gelatos Proteicos", 28, 7), 5)) + (ROUND(M129,4) &gt; INDEX('Tabela de ingredientes'!$O$1:$V$30, SWITCH(B129, "Gelatos de Leite", 8, "Sorbets", 11, "Gelatos de Leite com Fruta", 14, "Chocolate base água", 17, "Vegano", 20, "Alcoólicos", 23, "Zero", 26, "Gelatos Proteicos", 29, 8), 5)) + (ROUND(N129,4) &lt; INDEX('Tabela de ingredientes'!$O$1:$V$30, SWITCH(B129, "Gelatos de Leite", 7, "Sorbets", 10, "Gelatos de Leite com Fruta", 13, "Chocolate base água", 16, "Vegano", 19, "Alcoólicos", 22, "Zero", 25, "Gelatos Proteicos", 28, 7), 6)) + (ROUND(N129,4) &gt; INDEX('Tabela de ingredientes'!$O$1:$V$30, SWITCH(B129, "Gelatos de Leite", 8, "Sorbets", 11, "Gelatos de Leite com Fruta", 14, "Chocolate base água", 17, "Vegano", 20, "Alcoólicos", 23, "Zero", 26, "Gelatos Proteicos", 29, 8), 6)) + (ROUND(O129,4) &lt; INDEX('Tabela de ingredientes'!$O$1:$V$30, SWITCH(B129, "Gelatos de Leite", 7, "Sorbets", 10, "Gelatos de Leite com Fruta", 13, "Chocolate base água", 16, "Vegano", 19, "Alcoólicos", 22, "Zero", 25, "Gelatos Proteicos", 28, 7), 7)) + (ROUND(O129,4) &gt; INDEX('Tabela de ingredientes'!$O$1:$V$30, SWITCH(B129, "Gelatos de Leite", 8, "Sorbets", 11, "Gelatos de Leite com Fruta", 14, "Chocolate base água", 17, "Vegano", 20, "Alcoólicos", 23, "Zero", 26, "Gelatos Proteicos", 29, 8), 7)) + (ROUND(P129,4) &lt; INDEX('Tabela de ingredientes'!$O$1:$V$30, SWITCH(B129, "Gelatos de Leite", 7, "Sorbets", 10, "Gelatos de Leite com Fruta", 13, "Chocolate base água", 16, "Vegano", 19, "Alcoólicos", 22, "Zero", 25, "Gelatos Proteicos", 28, 7), 8)) + (ROUND(P129,4) &gt; INDEX('Tabela de ingredientes'!$O$1:$V$30, SWITCH(B129, "Gelatos de Leite", 8, "Sorbets", 11, "Gelatos de Leite com Fruta", 14, "Chocolate base água", 17, "Vegano", 20, "Alcoólicos", 23, "Zero", 26, "Gelatos Proteicos", 29, 8), 8)) + IF(B129="Gelatos Proteicos", (ROUND(Q129,4)&lt;'Tabela de ingredientes'!$W$28)+(ROUND(Q129,4)&gt;'Tabela de ingredientes'!$W$29), 0) = 0, "Ok", "Revisar"))</f>
        <v>Ok</v>
      </c>
    </row>
    <row r="130">
      <c r="A130" s="39" t="str">
        <f>IFERROR(__xludf.DUMMYFUNCTION("""COMPUTED_VALUE"""),"Sorbet de Caipirinha (Addolcire)")</f>
        <v>Sorbet de Caipirinha (Addolcire)</v>
      </c>
      <c r="B130" s="39" t="s">
        <v>101</v>
      </c>
      <c r="C130" s="39">
        <v>8.0</v>
      </c>
      <c r="D130" s="39">
        <v>990.0</v>
      </c>
      <c r="E130" s="39" t="s">
        <v>623</v>
      </c>
      <c r="F130" s="69">
        <v>13.944444444444446</v>
      </c>
      <c r="G130" s="69">
        <v>0.8366666666666668</v>
      </c>
      <c r="H130" s="69">
        <v>33.89440765268581</v>
      </c>
      <c r="I130" s="59">
        <v>0.2358080808080808</v>
      </c>
      <c r="J130" s="59">
        <v>0.0</v>
      </c>
      <c r="K130" s="59">
        <v>0.0</v>
      </c>
      <c r="L130" s="59">
        <v>0.060959595959595964</v>
      </c>
      <c r="M130" s="59">
        <v>0.2967676767676768</v>
      </c>
      <c r="N130" s="59">
        <v>0.7032323232323232</v>
      </c>
      <c r="O130" s="39">
        <v>156.7676767676768</v>
      </c>
      <c r="P130" s="39">
        <v>339.3636363636364</v>
      </c>
      <c r="Q130" s="59">
        <v>0.0</v>
      </c>
      <c r="R130" s="39">
        <v>13.574545454545454</v>
      </c>
      <c r="S130" s="97" t="str">
        <f t="array" ref="S130">IF(A130="","", IF( (ROUND(I130,4) &lt; INDEX('Tabela de ingredientes'!$O$1:$V$30, SWITCH(B130, "Gelatos de Leite", 7, "Sorbets", 10, "Gelatos de Leite com Fruta", 13, "Chocolate base água", 16, "Vegano", 19, "Alcoólicos", 22, "Zero", 25, "Gelatos Proteicos", 28, 7), 1)) + (ROUND(I130,4) &gt; INDEX('Tabela de ingredientes'!$O$1:$V$30, SWITCH(B130, "Gelatos de Leite", 8, "Sorbets", 11, "Gelatos de Leite com Fruta", 14, "Chocolate base água", 17, "Vegano", 20, "Alcoólicos", 23, "Zero", 26, "Gelatos Proteicos", 29, 8), 1)) + (ROUND(J130,4) &lt; INDEX('Tabela de ingredientes'!$O$1:$V$30, SWITCH(B130, "Gelatos de Leite", 7, "Sorbets", 10, "Gelatos de Leite com Fruta", 13, "Chocolate base água", 16, "Vegano", 19, "Alcoólicos", 22, "Zero", 25, "Gelatos Proteicos", 28, 7), 2)) + (ROUND(J130,4) &gt; INDEX('Tabela de ingredientes'!$O$1:$V$30, SWITCH(B130, "Gelatos de Leite", 8, "Sorbets", 11, "Gelatos de Leite com Fruta", 14, "Chocolate base água", 17, "Vegano", 20, "Alcoólicos", 23, "Zero", 26, "Gelatos Proteicos", 29, 8), 2)) + (ROUND(K130,4) &lt; INDEX('Tabela de ingredientes'!$O$1:$V$30, SWITCH(B130, "Gelatos de Leite", 7, "Sorbets", 10, "Gelatos de Leite com Fruta", 13, "Chocolate base água", 16, "Vegano", 19, "Alcoólicos", 22, "Zero", 25, "Gelatos Proteicos", 28, 7), 3)) + (ROUND(K130,4) &gt; INDEX('Tabela de ingredientes'!$O$1:$V$30, SWITCH(B130, "Gelatos de Leite", 8, "Sorbets", 11, "Gelatos de Leite com Fruta", 14, "Chocolate base água", 17, "Vegano", 20, "Alcoólicos", 23, "Zero", 26, "Gelatos Proteicos", 29, 8), 3)) + (ROUND(L130,4) &lt; INDEX('Tabela de ingredientes'!$O$1:$V$30, SWITCH(B130, "Gelatos de Leite", 7, "Sorbets", 10, "Gelatos de Leite com Fruta", 13, "Chocolate base água", 16, "Vegano", 19, "Alcoólicos", 22, "Zero", 25, "Gelatos Proteicos", 28, 7), 4)) + (ROUND(L130,4) &gt; INDEX('Tabela de ingredientes'!$O$1:$V$30, SWITCH(B130, "Gelatos de Leite", 8, "Sorbets", 11, "Gelatos de Leite com Fruta", 14, "Chocolate base água", 17, "Vegano", 20, "Alcoólicos", 23, "Zero", 26, "Gelatos Proteicos", 29, 8), 4)) + (ROUND(M130,4) &lt; INDEX('Tabela de ingredientes'!$O$1:$V$30, SWITCH(B130, "Gelatos de Leite", 7, "Sorbets", 10, "Gelatos de Leite com Fruta", 13, "Chocolate base água", 16, "Vegano", 19, "Alcoólicos", 22, "Zero", 25, "Gelatos Proteicos", 28, 7), 5)) + (ROUND(M130,4) &gt; INDEX('Tabela de ingredientes'!$O$1:$V$30, SWITCH(B130, "Gelatos de Leite", 8, "Sorbets", 11, "Gelatos de Leite com Fruta", 14, "Chocolate base água", 17, "Vegano", 20, "Alcoólicos", 23, "Zero", 26, "Gelatos Proteicos", 29, 8), 5)) + (ROUND(N130,4) &lt; INDEX('Tabela de ingredientes'!$O$1:$V$30, SWITCH(B130, "Gelatos de Leite", 7, "Sorbets", 10, "Gelatos de Leite com Fruta", 13, "Chocolate base água", 16, "Vegano", 19, "Alcoólicos", 22, "Zero", 25, "Gelatos Proteicos", 28, 7), 6)) + (ROUND(N130,4) &gt; INDEX('Tabela de ingredientes'!$O$1:$V$30, SWITCH(B130, "Gelatos de Leite", 8, "Sorbets", 11, "Gelatos de Leite com Fruta", 14, "Chocolate base água", 17, "Vegano", 20, "Alcoólicos", 23, "Zero", 26, "Gelatos Proteicos", 29, 8), 6)) + (ROUND(O130,4) &lt; INDEX('Tabela de ingredientes'!$O$1:$V$30, SWITCH(B130, "Gelatos de Leite", 7, "Sorbets", 10, "Gelatos de Leite com Fruta", 13, "Chocolate base água", 16, "Vegano", 19, "Alcoólicos", 22, "Zero", 25, "Gelatos Proteicos", 28, 7), 7)) + (ROUND(O130,4) &gt; INDEX('Tabela de ingredientes'!$O$1:$V$30, SWITCH(B130, "Gelatos de Leite", 8, "Sorbets", 11, "Gelatos de Leite com Fruta", 14, "Chocolate base água", 17, "Vegano", 20, "Alcoólicos", 23, "Zero", 26, "Gelatos Proteicos", 29, 8), 7)) + (ROUND(P130,4) &lt; INDEX('Tabela de ingredientes'!$O$1:$V$30, SWITCH(B130, "Gelatos de Leite", 7, "Sorbets", 10, "Gelatos de Leite com Fruta", 13, "Chocolate base água", 16, "Vegano", 19, "Alcoólicos", 22, "Zero", 25, "Gelatos Proteicos", 28, 7), 8)) + (ROUND(P130,4) &gt; INDEX('Tabela de ingredientes'!$O$1:$V$30, SWITCH(B130, "Gelatos de Leite", 8, "Sorbets", 11, "Gelatos de Leite com Fruta", 14, "Chocolate base água", 17, "Vegano", 20, "Alcoólicos", 23, "Zero", 26, "Gelatos Proteicos", 29, 8), 8)) + IF(B130="Gelatos Proteicos", (ROUND(Q130,4)&lt;'Tabela de ingredientes'!$W$28)+(ROUND(Q130,4)&gt;'Tabela de ingredientes'!$W$29), 0) = 0, "Ok", "Revisar"))</f>
        <v>Revisar</v>
      </c>
    </row>
    <row r="131">
      <c r="A131" s="39" t="str">
        <f>IFERROR(__xludf.DUMMYFUNCTION("""COMPUTED_VALUE"""),"Sorbet Clericot (Addolcire)")</f>
        <v>Sorbet Clericot (Addolcire)</v>
      </c>
      <c r="B131" s="39" t="s">
        <v>101</v>
      </c>
      <c r="C131" s="39">
        <v>10.0</v>
      </c>
      <c r="D131" s="39">
        <v>961.0</v>
      </c>
      <c r="E131" s="39" t="s">
        <v>627</v>
      </c>
      <c r="F131" s="69">
        <v>24.10197710718002</v>
      </c>
      <c r="G131" s="69">
        <v>1.446118626430801</v>
      </c>
      <c r="H131" s="69">
        <v>42.30296118144042</v>
      </c>
      <c r="I131" s="59">
        <v>0.20660770031217482</v>
      </c>
      <c r="J131" s="59">
        <v>0.0</v>
      </c>
      <c r="K131" s="59">
        <v>0.0</v>
      </c>
      <c r="L131" s="59">
        <v>0.07799167533818938</v>
      </c>
      <c r="M131" s="59">
        <v>0.2845993756503642</v>
      </c>
      <c r="N131" s="59">
        <v>0.7154006243496358</v>
      </c>
      <c r="O131" s="39">
        <v>168.0853277835588</v>
      </c>
      <c r="P131" s="39">
        <v>433.81893860561917</v>
      </c>
      <c r="Q131" s="59">
        <v>0.0023413111342351716</v>
      </c>
      <c r="R131" s="39">
        <v>17.352757544224765</v>
      </c>
      <c r="S131" s="97" t="str">
        <f t="array" ref="S131">IF(A131="","", IF( (ROUND(I131,4) &lt; INDEX('Tabela de ingredientes'!$O$1:$V$30, SWITCH(B131, "Gelatos de Leite", 7, "Sorbets", 10, "Gelatos de Leite com Fruta", 13, "Chocolate base água", 16, "Vegano", 19, "Alcoólicos", 22, "Zero", 25, "Gelatos Proteicos", 28, 7), 1)) + (ROUND(I131,4) &gt; INDEX('Tabela de ingredientes'!$O$1:$V$30, SWITCH(B131, "Gelatos de Leite", 8, "Sorbets", 11, "Gelatos de Leite com Fruta", 14, "Chocolate base água", 17, "Vegano", 20, "Alcoólicos", 23, "Zero", 26, "Gelatos Proteicos", 29, 8), 1)) + (ROUND(J131,4) &lt; INDEX('Tabela de ingredientes'!$O$1:$V$30, SWITCH(B131, "Gelatos de Leite", 7, "Sorbets", 10, "Gelatos de Leite com Fruta", 13, "Chocolate base água", 16, "Vegano", 19, "Alcoólicos", 22, "Zero", 25, "Gelatos Proteicos", 28, 7), 2)) + (ROUND(J131,4) &gt; INDEX('Tabela de ingredientes'!$O$1:$V$30, SWITCH(B131, "Gelatos de Leite", 8, "Sorbets", 11, "Gelatos de Leite com Fruta", 14, "Chocolate base água", 17, "Vegano", 20, "Alcoólicos", 23, "Zero", 26, "Gelatos Proteicos", 29, 8), 2)) + (ROUND(K131,4) &lt; INDEX('Tabela de ingredientes'!$O$1:$V$30, SWITCH(B131, "Gelatos de Leite", 7, "Sorbets", 10, "Gelatos de Leite com Fruta", 13, "Chocolate base água", 16, "Vegano", 19, "Alcoólicos", 22, "Zero", 25, "Gelatos Proteicos", 28, 7), 3)) + (ROUND(K131,4) &gt; INDEX('Tabela de ingredientes'!$O$1:$V$30, SWITCH(B131, "Gelatos de Leite", 8, "Sorbets", 11, "Gelatos de Leite com Fruta", 14, "Chocolate base água", 17, "Vegano", 20, "Alcoólicos", 23, "Zero", 26, "Gelatos Proteicos", 29, 8), 3)) + (ROUND(L131,4) &lt; INDEX('Tabela de ingredientes'!$O$1:$V$30, SWITCH(B131, "Gelatos de Leite", 7, "Sorbets", 10, "Gelatos de Leite com Fruta", 13, "Chocolate base água", 16, "Vegano", 19, "Alcoólicos", 22, "Zero", 25, "Gelatos Proteicos", 28, 7), 4)) + (ROUND(L131,4) &gt; INDEX('Tabela de ingredientes'!$O$1:$V$30, SWITCH(B131, "Gelatos de Leite", 8, "Sorbets", 11, "Gelatos de Leite com Fruta", 14, "Chocolate base água", 17, "Vegano", 20, "Alcoólicos", 23, "Zero", 26, "Gelatos Proteicos", 29, 8), 4)) + (ROUND(M131,4) &lt; INDEX('Tabela de ingredientes'!$O$1:$V$30, SWITCH(B131, "Gelatos de Leite", 7, "Sorbets", 10, "Gelatos de Leite com Fruta", 13, "Chocolate base água", 16, "Vegano", 19, "Alcoólicos", 22, "Zero", 25, "Gelatos Proteicos", 28, 7), 5)) + (ROUND(M131,4) &gt; INDEX('Tabela de ingredientes'!$O$1:$V$30, SWITCH(B131, "Gelatos de Leite", 8, "Sorbets", 11, "Gelatos de Leite com Fruta", 14, "Chocolate base água", 17, "Vegano", 20, "Alcoólicos", 23, "Zero", 26, "Gelatos Proteicos", 29, 8), 5)) + (ROUND(N131,4) &lt; INDEX('Tabela de ingredientes'!$O$1:$V$30, SWITCH(B131, "Gelatos de Leite", 7, "Sorbets", 10, "Gelatos de Leite com Fruta", 13, "Chocolate base água", 16, "Vegano", 19, "Alcoólicos", 22, "Zero", 25, "Gelatos Proteicos", 28, 7), 6)) + (ROUND(N131,4) &gt; INDEX('Tabela de ingredientes'!$O$1:$V$30, SWITCH(B131, "Gelatos de Leite", 8, "Sorbets", 11, "Gelatos de Leite com Fruta", 14, "Chocolate base água", 17, "Vegano", 20, "Alcoólicos", 23, "Zero", 26, "Gelatos Proteicos", 29, 8), 6)) + (ROUND(O131,4) &lt; INDEX('Tabela de ingredientes'!$O$1:$V$30, SWITCH(B131, "Gelatos de Leite", 7, "Sorbets", 10, "Gelatos de Leite com Fruta", 13, "Chocolate base água", 16, "Vegano", 19, "Alcoólicos", 22, "Zero", 25, "Gelatos Proteicos", 28, 7), 7)) + (ROUND(O131,4) &gt; INDEX('Tabela de ingredientes'!$O$1:$V$30, SWITCH(B131, "Gelatos de Leite", 8, "Sorbets", 11, "Gelatos de Leite com Fruta", 14, "Chocolate base água", 17, "Vegano", 20, "Alcoólicos", 23, "Zero", 26, "Gelatos Proteicos", 29, 8), 7)) + (ROUND(P131,4) &lt; INDEX('Tabela de ingredientes'!$O$1:$V$30, SWITCH(B131, "Gelatos de Leite", 7, "Sorbets", 10, "Gelatos de Leite com Fruta", 13, "Chocolate base água", 16, "Vegano", 19, "Alcoólicos", 22, "Zero", 25, "Gelatos Proteicos", 28, 7), 8)) + (ROUND(P131,4) &gt; INDEX('Tabela de ingredientes'!$O$1:$V$30, SWITCH(B131, "Gelatos de Leite", 8, "Sorbets", 11, "Gelatos de Leite com Fruta", 14, "Chocolate base água", 17, "Vegano", 20, "Alcoólicos", 23, "Zero", 26, "Gelatos Proteicos", 29, 8), 8)) + IF(B131="Gelatos Proteicos", (ROUND(Q131,4)&lt;'Tabela de ingredientes'!$W$28)+(ROUND(Q131,4)&gt;'Tabela de ingredientes'!$W$29), 0) = 0, "Ok", "Revisar"))</f>
        <v>Revisar</v>
      </c>
    </row>
    <row r="132">
      <c r="A132" s="39" t="str">
        <f>IFERROR(__xludf.DUMMYFUNCTION("""COMPUTED_VALUE"""),"Sorbet de Morango e Espumante (Addolcire)")</f>
        <v>Sorbet de Morango e Espumante (Addolcire)</v>
      </c>
      <c r="B132" s="39" t="s">
        <v>101</v>
      </c>
      <c r="C132" s="39">
        <v>8.0</v>
      </c>
      <c r="D132" s="39">
        <v>1011.0</v>
      </c>
      <c r="E132" s="39" t="s">
        <v>628</v>
      </c>
      <c r="F132" s="69">
        <v>28.517309594460926</v>
      </c>
      <c r="G132" s="69">
        <v>1.7110385756676554</v>
      </c>
      <c r="H132" s="69">
        <v>45.95803774375906</v>
      </c>
      <c r="I132" s="59">
        <v>0.22096933728981208</v>
      </c>
      <c r="J132" s="59">
        <v>0.0</v>
      </c>
      <c r="K132" s="59">
        <v>0.0</v>
      </c>
      <c r="L132" s="59">
        <v>0.0751236399604352</v>
      </c>
      <c r="M132" s="59">
        <v>0.2960929772502473</v>
      </c>
      <c r="N132" s="59">
        <v>0.7039070227497527</v>
      </c>
      <c r="O132" s="39">
        <v>183.16518298714143</v>
      </c>
      <c r="P132" s="39">
        <v>441.4441147378833</v>
      </c>
      <c r="Q132" s="59">
        <v>0.002472799208704253</v>
      </c>
      <c r="R132" s="39">
        <v>17.65776458951533</v>
      </c>
      <c r="S132" s="97" t="str">
        <f t="array" ref="S132">IF(A132="","", IF( (ROUND(I132,4) &lt; INDEX('Tabela de ingredientes'!$O$1:$V$30, SWITCH(B132, "Gelatos de Leite", 7, "Sorbets", 10, "Gelatos de Leite com Fruta", 13, "Chocolate base água", 16, "Vegano", 19, "Alcoólicos", 22, "Zero", 25, "Gelatos Proteicos", 28, 7), 1)) + (ROUND(I132,4) &gt; INDEX('Tabela de ingredientes'!$O$1:$V$30, SWITCH(B132, "Gelatos de Leite", 8, "Sorbets", 11, "Gelatos de Leite com Fruta", 14, "Chocolate base água", 17, "Vegano", 20, "Alcoólicos", 23, "Zero", 26, "Gelatos Proteicos", 29, 8), 1)) + (ROUND(J132,4) &lt; INDEX('Tabela de ingredientes'!$O$1:$V$30, SWITCH(B132, "Gelatos de Leite", 7, "Sorbets", 10, "Gelatos de Leite com Fruta", 13, "Chocolate base água", 16, "Vegano", 19, "Alcoólicos", 22, "Zero", 25, "Gelatos Proteicos", 28, 7), 2)) + (ROUND(J132,4) &gt; INDEX('Tabela de ingredientes'!$O$1:$V$30, SWITCH(B132, "Gelatos de Leite", 8, "Sorbets", 11, "Gelatos de Leite com Fruta", 14, "Chocolate base água", 17, "Vegano", 20, "Alcoólicos", 23, "Zero", 26, "Gelatos Proteicos", 29, 8), 2)) + (ROUND(K132,4) &lt; INDEX('Tabela de ingredientes'!$O$1:$V$30, SWITCH(B132, "Gelatos de Leite", 7, "Sorbets", 10, "Gelatos de Leite com Fruta", 13, "Chocolate base água", 16, "Vegano", 19, "Alcoólicos", 22, "Zero", 25, "Gelatos Proteicos", 28, 7), 3)) + (ROUND(K132,4) &gt; INDEX('Tabela de ingredientes'!$O$1:$V$30, SWITCH(B132, "Gelatos de Leite", 8, "Sorbets", 11, "Gelatos de Leite com Fruta", 14, "Chocolate base água", 17, "Vegano", 20, "Alcoólicos", 23, "Zero", 26, "Gelatos Proteicos", 29, 8), 3)) + (ROUND(L132,4) &lt; INDEX('Tabela de ingredientes'!$O$1:$V$30, SWITCH(B132, "Gelatos de Leite", 7, "Sorbets", 10, "Gelatos de Leite com Fruta", 13, "Chocolate base água", 16, "Vegano", 19, "Alcoólicos", 22, "Zero", 25, "Gelatos Proteicos", 28, 7), 4)) + (ROUND(L132,4) &gt; INDEX('Tabela de ingredientes'!$O$1:$V$30, SWITCH(B132, "Gelatos de Leite", 8, "Sorbets", 11, "Gelatos de Leite com Fruta", 14, "Chocolate base água", 17, "Vegano", 20, "Alcoólicos", 23, "Zero", 26, "Gelatos Proteicos", 29, 8), 4)) + (ROUND(M132,4) &lt; INDEX('Tabela de ingredientes'!$O$1:$V$30, SWITCH(B132, "Gelatos de Leite", 7, "Sorbets", 10, "Gelatos de Leite com Fruta", 13, "Chocolate base água", 16, "Vegano", 19, "Alcoólicos", 22, "Zero", 25, "Gelatos Proteicos", 28, 7), 5)) + (ROUND(M132,4) &gt; INDEX('Tabela de ingredientes'!$O$1:$V$30, SWITCH(B132, "Gelatos de Leite", 8, "Sorbets", 11, "Gelatos de Leite com Fruta", 14, "Chocolate base água", 17, "Vegano", 20, "Alcoólicos", 23, "Zero", 26, "Gelatos Proteicos", 29, 8), 5)) + (ROUND(N132,4) &lt; INDEX('Tabela de ingredientes'!$O$1:$V$30, SWITCH(B132, "Gelatos de Leite", 7, "Sorbets", 10, "Gelatos de Leite com Fruta", 13, "Chocolate base água", 16, "Vegano", 19, "Alcoólicos", 22, "Zero", 25, "Gelatos Proteicos", 28, 7), 6)) + (ROUND(N132,4) &gt; INDEX('Tabela de ingredientes'!$O$1:$V$30, SWITCH(B132, "Gelatos de Leite", 8, "Sorbets", 11, "Gelatos de Leite com Fruta", 14, "Chocolate base água", 17, "Vegano", 20, "Alcoólicos", 23, "Zero", 26, "Gelatos Proteicos", 29, 8), 6)) + (ROUND(O132,4) &lt; INDEX('Tabela de ingredientes'!$O$1:$V$30, SWITCH(B132, "Gelatos de Leite", 7, "Sorbets", 10, "Gelatos de Leite com Fruta", 13, "Chocolate base água", 16, "Vegano", 19, "Alcoólicos", 22, "Zero", 25, "Gelatos Proteicos", 28, 7), 7)) + (ROUND(O132,4) &gt; INDEX('Tabela de ingredientes'!$O$1:$V$30, SWITCH(B132, "Gelatos de Leite", 8, "Sorbets", 11, "Gelatos de Leite com Fruta", 14, "Chocolate base água", 17, "Vegano", 20, "Alcoólicos", 23, "Zero", 26, "Gelatos Proteicos", 29, 8), 7)) + (ROUND(P132,4) &lt; INDEX('Tabela de ingredientes'!$O$1:$V$30, SWITCH(B132, "Gelatos de Leite", 7, "Sorbets", 10, "Gelatos de Leite com Fruta", 13, "Chocolate base água", 16, "Vegano", 19, "Alcoólicos", 22, "Zero", 25, "Gelatos Proteicos", 28, 7), 8)) + (ROUND(P132,4) &gt; INDEX('Tabela de ingredientes'!$O$1:$V$30, SWITCH(B132, "Gelatos de Leite", 8, "Sorbets", 11, "Gelatos de Leite com Fruta", 14, "Chocolate base água", 17, "Vegano", 20, "Alcoólicos", 23, "Zero", 26, "Gelatos Proteicos", 29, 8), 8)) + IF(B132="Gelatos Proteicos", (ROUND(Q132,4)&lt;'Tabela de ingredientes'!$W$28)+(ROUND(Q132,4)&gt;'Tabela de ingredientes'!$W$29), 0) = 0, "Ok", "Revisar"))</f>
        <v>Revisar</v>
      </c>
    </row>
    <row r="133">
      <c r="A133" s="39" t="str">
        <f>IFERROR(__xludf.DUMMYFUNCTION("""COMPUTED_VALUE"""),"Crema de Laranja Zero (Mix Zero)")</f>
        <v>Crema de Laranja Zero (Mix Zero)</v>
      </c>
      <c r="B133" s="39" t="s">
        <v>109</v>
      </c>
      <c r="C133" s="39">
        <v>7.0</v>
      </c>
      <c r="D133" s="39">
        <v>709.0</v>
      </c>
      <c r="E133" s="39" t="s">
        <v>629</v>
      </c>
      <c r="F133" s="69">
        <v>17.340409026798305</v>
      </c>
      <c r="G133" s="69">
        <v>1.0404245416078983</v>
      </c>
      <c r="H133" s="69">
        <v>36.705636611588005</v>
      </c>
      <c r="I133" s="59">
        <v>0.041995768688293376</v>
      </c>
      <c r="J133" s="59">
        <v>0.08011283497884343</v>
      </c>
      <c r="K133" s="59">
        <v>0.11142454160789844</v>
      </c>
      <c r="L133" s="59">
        <v>0.12720380818053598</v>
      </c>
      <c r="M133" s="59">
        <v>0.3607369534555712</v>
      </c>
      <c r="N133" s="59">
        <v>0.6392630465444288</v>
      </c>
      <c r="O133" s="39">
        <v>72.49435825105783</v>
      </c>
      <c r="P133" s="39">
        <v>248.6600846262341</v>
      </c>
      <c r="Q133" s="59">
        <v>0.05190409026798308</v>
      </c>
      <c r="R133" s="39">
        <v>9.946403385049363</v>
      </c>
      <c r="S133" s="97" t="str">
        <f t="array" ref="S133">IF(A133="","", IF( (ROUND(I133,4) &lt; INDEX('Tabela de ingredientes'!$O$1:$V$30, SWITCH(B133, "Gelatos de Leite", 7, "Sorbets", 10, "Gelatos de Leite com Fruta", 13, "Chocolate base água", 16, "Vegano", 19, "Alcoólicos", 22, "Zero", 25, "Gelatos Proteicos", 28, 7), 1)) + (ROUND(I133,4) &gt; INDEX('Tabela de ingredientes'!$O$1:$V$30, SWITCH(B133, "Gelatos de Leite", 8, "Sorbets", 11, "Gelatos de Leite com Fruta", 14, "Chocolate base água", 17, "Vegano", 20, "Alcoólicos", 23, "Zero", 26, "Gelatos Proteicos", 29, 8), 1)) + (ROUND(J133,4) &lt; INDEX('Tabela de ingredientes'!$O$1:$V$30, SWITCH(B133, "Gelatos de Leite", 7, "Sorbets", 10, "Gelatos de Leite com Fruta", 13, "Chocolate base água", 16, "Vegano", 19, "Alcoólicos", 22, "Zero", 25, "Gelatos Proteicos", 28, 7), 2)) + (ROUND(J133,4) &gt; INDEX('Tabela de ingredientes'!$O$1:$V$30, SWITCH(B133, "Gelatos de Leite", 8, "Sorbets", 11, "Gelatos de Leite com Fruta", 14, "Chocolate base água", 17, "Vegano", 20, "Alcoólicos", 23, "Zero", 26, "Gelatos Proteicos", 29, 8), 2)) + (ROUND(K133,4) &lt; INDEX('Tabela de ingredientes'!$O$1:$V$30, SWITCH(B133, "Gelatos de Leite", 7, "Sorbets", 10, "Gelatos de Leite com Fruta", 13, "Chocolate base água", 16, "Vegano", 19, "Alcoólicos", 22, "Zero", 25, "Gelatos Proteicos", 28, 7), 3)) + (ROUND(K133,4) &gt; INDEX('Tabela de ingredientes'!$O$1:$V$30, SWITCH(B133, "Gelatos de Leite", 8, "Sorbets", 11, "Gelatos de Leite com Fruta", 14, "Chocolate base água", 17, "Vegano", 20, "Alcoólicos", 23, "Zero", 26, "Gelatos Proteicos", 29, 8), 3)) + (ROUND(L133,4) &lt; INDEX('Tabela de ingredientes'!$O$1:$V$30, SWITCH(B133, "Gelatos de Leite", 7, "Sorbets", 10, "Gelatos de Leite com Fruta", 13, "Chocolate base água", 16, "Vegano", 19, "Alcoólicos", 22, "Zero", 25, "Gelatos Proteicos", 28, 7), 4)) + (ROUND(L133,4) &gt; INDEX('Tabela de ingredientes'!$O$1:$V$30, SWITCH(B133, "Gelatos de Leite", 8, "Sorbets", 11, "Gelatos de Leite com Fruta", 14, "Chocolate base água", 17, "Vegano", 20, "Alcoólicos", 23, "Zero", 26, "Gelatos Proteicos", 29, 8), 4)) + (ROUND(M133,4) &lt; INDEX('Tabela de ingredientes'!$O$1:$V$30, SWITCH(B133, "Gelatos de Leite", 7, "Sorbets", 10, "Gelatos de Leite com Fruta", 13, "Chocolate base água", 16, "Vegano", 19, "Alcoólicos", 22, "Zero", 25, "Gelatos Proteicos", 28, 7), 5)) + (ROUND(M133,4) &gt; INDEX('Tabela de ingredientes'!$O$1:$V$30, SWITCH(B133, "Gelatos de Leite", 8, "Sorbets", 11, "Gelatos de Leite com Fruta", 14, "Chocolate base água", 17, "Vegano", 20, "Alcoólicos", 23, "Zero", 26, "Gelatos Proteicos", 29, 8), 5)) + (ROUND(N133,4) &lt; INDEX('Tabela de ingredientes'!$O$1:$V$30, SWITCH(B133, "Gelatos de Leite", 7, "Sorbets", 10, "Gelatos de Leite com Fruta", 13, "Chocolate base água", 16, "Vegano", 19, "Alcoólicos", 22, "Zero", 25, "Gelatos Proteicos", 28, 7), 6)) + (ROUND(N133,4) &gt; INDEX('Tabela de ingredientes'!$O$1:$V$30, SWITCH(B133, "Gelatos de Leite", 8, "Sorbets", 11, "Gelatos de Leite com Fruta", 14, "Chocolate base água", 17, "Vegano", 20, "Alcoólicos", 23, "Zero", 26, "Gelatos Proteicos", 29, 8), 6)) + (ROUND(O133,4) &lt; INDEX('Tabela de ingredientes'!$O$1:$V$30, SWITCH(B133, "Gelatos de Leite", 7, "Sorbets", 10, "Gelatos de Leite com Fruta", 13, "Chocolate base água", 16, "Vegano", 19, "Alcoólicos", 22, "Zero", 25, "Gelatos Proteicos", 28, 7), 7)) + (ROUND(O133,4) &gt; INDEX('Tabela de ingredientes'!$O$1:$V$30, SWITCH(B133, "Gelatos de Leite", 8, "Sorbets", 11, "Gelatos de Leite com Fruta", 14, "Chocolate base água", 17, "Vegano", 20, "Alcoólicos", 23, "Zero", 26, "Gelatos Proteicos", 29, 8), 7)) + (ROUND(P133,4) &lt; INDEX('Tabela de ingredientes'!$O$1:$V$30, SWITCH(B133, "Gelatos de Leite", 7, "Sorbets", 10, "Gelatos de Leite com Fruta", 13, "Chocolate base água", 16, "Vegano", 19, "Alcoólicos", 22, "Zero", 25, "Gelatos Proteicos", 28, 7), 8)) + (ROUND(P133,4) &gt; INDEX('Tabela de ingredientes'!$O$1:$V$30, SWITCH(B133, "Gelatos de Leite", 8, "Sorbets", 11, "Gelatos de Leite com Fruta", 14, "Chocolate base água", 17, "Vegano", 20, "Alcoólicos", 23, "Zero", 26, "Gelatos Proteicos", 29, 8), 8)) + IF(B133="Gelatos Proteicos", (ROUND(Q133,4)&lt;'Tabela de ingredientes'!$W$28)+(ROUND(Q133,4)&gt;'Tabela de ingredientes'!$W$29), 0) = 0, "Ok", "Revisar"))</f>
        <v>Revisar</v>
      </c>
    </row>
    <row r="134">
      <c r="A134" s="39" t="str">
        <f>IFERROR(__xludf.DUMMYFUNCTION("""COMPUTED_VALUE"""),"Café Branco Zero (Mix Zero)")</f>
        <v>Café Branco Zero (Mix Zero)</v>
      </c>
      <c r="B134" s="39" t="s">
        <v>109</v>
      </c>
      <c r="C134" s="39">
        <v>4.0</v>
      </c>
      <c r="D134" s="39">
        <v>800.0</v>
      </c>
      <c r="E134" s="39" t="s">
        <v>630</v>
      </c>
      <c r="F134" s="69">
        <v>14.0435</v>
      </c>
      <c r="G134" s="69">
        <v>0.84261</v>
      </c>
      <c r="H134" s="69">
        <v>33.97640728476822</v>
      </c>
      <c r="I134" s="59">
        <v>0.03675</v>
      </c>
      <c r="J134" s="59">
        <v>0.08037500000000002</v>
      </c>
      <c r="K134" s="59">
        <v>0.11875</v>
      </c>
      <c r="L134" s="59">
        <v>0.107775</v>
      </c>
      <c r="M134" s="59">
        <v>0.34365</v>
      </c>
      <c r="N134" s="59">
        <v>0.65635</v>
      </c>
      <c r="O134" s="39">
        <v>67.005</v>
      </c>
      <c r="P134" s="39">
        <v>235.34999999999997</v>
      </c>
      <c r="Q134" s="59">
        <v>0.045375</v>
      </c>
      <c r="R134" s="39">
        <v>9.413999999999998</v>
      </c>
      <c r="S134" s="97" t="str">
        <f t="array" ref="S134">IF(A134="","", IF( (ROUND(I134,4) &lt; INDEX('Tabela de ingredientes'!$O$1:$V$30, SWITCH(B134, "Gelatos de Leite", 7, "Sorbets", 10, "Gelatos de Leite com Fruta", 13, "Chocolate base água", 16, "Vegano", 19, "Alcoólicos", 22, "Zero", 25, "Gelatos Proteicos", 28, 7), 1)) + (ROUND(I134,4) &gt; INDEX('Tabela de ingredientes'!$O$1:$V$30, SWITCH(B134, "Gelatos de Leite", 8, "Sorbets", 11, "Gelatos de Leite com Fruta", 14, "Chocolate base água", 17, "Vegano", 20, "Alcoólicos", 23, "Zero", 26, "Gelatos Proteicos", 29, 8), 1)) + (ROUND(J134,4) &lt; INDEX('Tabela de ingredientes'!$O$1:$V$30, SWITCH(B134, "Gelatos de Leite", 7, "Sorbets", 10, "Gelatos de Leite com Fruta", 13, "Chocolate base água", 16, "Vegano", 19, "Alcoólicos", 22, "Zero", 25, "Gelatos Proteicos", 28, 7), 2)) + (ROUND(J134,4) &gt; INDEX('Tabela de ingredientes'!$O$1:$V$30, SWITCH(B134, "Gelatos de Leite", 8, "Sorbets", 11, "Gelatos de Leite com Fruta", 14, "Chocolate base água", 17, "Vegano", 20, "Alcoólicos", 23, "Zero", 26, "Gelatos Proteicos", 29, 8), 2)) + (ROUND(K134,4) &lt; INDEX('Tabela de ingredientes'!$O$1:$V$30, SWITCH(B134, "Gelatos de Leite", 7, "Sorbets", 10, "Gelatos de Leite com Fruta", 13, "Chocolate base água", 16, "Vegano", 19, "Alcoólicos", 22, "Zero", 25, "Gelatos Proteicos", 28, 7), 3)) + (ROUND(K134,4) &gt; INDEX('Tabela de ingredientes'!$O$1:$V$30, SWITCH(B134, "Gelatos de Leite", 8, "Sorbets", 11, "Gelatos de Leite com Fruta", 14, "Chocolate base água", 17, "Vegano", 20, "Alcoólicos", 23, "Zero", 26, "Gelatos Proteicos", 29, 8), 3)) + (ROUND(L134,4) &lt; INDEX('Tabela de ingredientes'!$O$1:$V$30, SWITCH(B134, "Gelatos de Leite", 7, "Sorbets", 10, "Gelatos de Leite com Fruta", 13, "Chocolate base água", 16, "Vegano", 19, "Alcoólicos", 22, "Zero", 25, "Gelatos Proteicos", 28, 7), 4)) + (ROUND(L134,4) &gt; INDEX('Tabela de ingredientes'!$O$1:$V$30, SWITCH(B134, "Gelatos de Leite", 8, "Sorbets", 11, "Gelatos de Leite com Fruta", 14, "Chocolate base água", 17, "Vegano", 20, "Alcoólicos", 23, "Zero", 26, "Gelatos Proteicos", 29, 8), 4)) + (ROUND(M134,4) &lt; INDEX('Tabela de ingredientes'!$O$1:$V$30, SWITCH(B134, "Gelatos de Leite", 7, "Sorbets", 10, "Gelatos de Leite com Fruta", 13, "Chocolate base água", 16, "Vegano", 19, "Alcoólicos", 22, "Zero", 25, "Gelatos Proteicos", 28, 7), 5)) + (ROUND(M134,4) &gt; INDEX('Tabela de ingredientes'!$O$1:$V$30, SWITCH(B134, "Gelatos de Leite", 8, "Sorbets", 11, "Gelatos de Leite com Fruta", 14, "Chocolate base água", 17, "Vegano", 20, "Alcoólicos", 23, "Zero", 26, "Gelatos Proteicos", 29, 8), 5)) + (ROUND(N134,4) &lt; INDEX('Tabela de ingredientes'!$O$1:$V$30, SWITCH(B134, "Gelatos de Leite", 7, "Sorbets", 10, "Gelatos de Leite com Fruta", 13, "Chocolate base água", 16, "Vegano", 19, "Alcoólicos", 22, "Zero", 25, "Gelatos Proteicos", 28, 7), 6)) + (ROUND(N134,4) &gt; INDEX('Tabela de ingredientes'!$O$1:$V$30, SWITCH(B134, "Gelatos de Leite", 8, "Sorbets", 11, "Gelatos de Leite com Fruta", 14, "Chocolate base água", 17, "Vegano", 20, "Alcoólicos", 23, "Zero", 26, "Gelatos Proteicos", 29, 8), 6)) + (ROUND(O134,4) &lt; INDEX('Tabela de ingredientes'!$O$1:$V$30, SWITCH(B134, "Gelatos de Leite", 7, "Sorbets", 10, "Gelatos de Leite com Fruta", 13, "Chocolate base água", 16, "Vegano", 19, "Alcoólicos", 22, "Zero", 25, "Gelatos Proteicos", 28, 7), 7)) + (ROUND(O134,4) &gt; INDEX('Tabela de ingredientes'!$O$1:$V$30, SWITCH(B134, "Gelatos de Leite", 8, "Sorbets", 11, "Gelatos de Leite com Fruta", 14, "Chocolate base água", 17, "Vegano", 20, "Alcoólicos", 23, "Zero", 26, "Gelatos Proteicos", 29, 8), 7)) + (ROUND(P134,4) &lt; INDEX('Tabela de ingredientes'!$O$1:$V$30, SWITCH(B134, "Gelatos de Leite", 7, "Sorbets", 10, "Gelatos de Leite com Fruta", 13, "Chocolate base água", 16, "Vegano", 19, "Alcoólicos", 22, "Zero", 25, "Gelatos Proteicos", 28, 7), 8)) + (ROUND(P134,4) &gt; INDEX('Tabela de ingredientes'!$O$1:$V$30, SWITCH(B134, "Gelatos de Leite", 8, "Sorbets", 11, "Gelatos de Leite com Fruta", 14, "Chocolate base água", 17, "Vegano", 20, "Alcoólicos", 23, "Zero", 26, "Gelatos Proteicos", 29, 8), 8)) + IF(B134="Gelatos Proteicos", (ROUND(Q134,4)&lt;'Tabela de ingredientes'!$W$28)+(ROUND(Q134,4)&gt;'Tabela de ingredientes'!$W$29), 0) = 0, "Ok", "Revisar"))</f>
        <v>Revisar</v>
      </c>
    </row>
    <row r="135">
      <c r="A135" s="39" t="str">
        <f>IFERROR(__xludf.DUMMYFUNCTION("""COMPUTED_VALUE"""),"Baunilha Zero (Mix Zero)")</f>
        <v>Baunilha Zero (Mix Zero)</v>
      </c>
      <c r="B135" s="39" t="s">
        <v>109</v>
      </c>
      <c r="C135" s="39">
        <v>5.0</v>
      </c>
      <c r="D135" s="39">
        <v>805.0</v>
      </c>
      <c r="E135" s="39" t="s">
        <v>631</v>
      </c>
      <c r="F135" s="69">
        <v>20.16745341614907</v>
      </c>
      <c r="G135" s="69">
        <v>1.2100472049689441</v>
      </c>
      <c r="H135" s="69">
        <v>39.04590514581878</v>
      </c>
      <c r="I135" s="59">
        <v>0.04149068322981366</v>
      </c>
      <c r="J135" s="59">
        <v>0.07987577639751554</v>
      </c>
      <c r="K135" s="59">
        <v>0.11801242236024845</v>
      </c>
      <c r="L135" s="59">
        <v>0.1071055900621118</v>
      </c>
      <c r="M135" s="59">
        <v>0.34648447204968946</v>
      </c>
      <c r="N135" s="59">
        <v>0.6535155279503105</v>
      </c>
      <c r="O135" s="39">
        <v>69.383850931677</v>
      </c>
      <c r="P135" s="39">
        <v>238.54658385093165</v>
      </c>
      <c r="Q135" s="59">
        <v>0.04509316770186335</v>
      </c>
      <c r="R135" s="39">
        <v>9.541863354037266</v>
      </c>
      <c r="S135" s="97" t="str">
        <f t="array" ref="S135">IF(A135="","", IF( (ROUND(I135,4) &lt; INDEX('Tabela de ingredientes'!$O$1:$V$30, SWITCH(B135, "Gelatos de Leite", 7, "Sorbets", 10, "Gelatos de Leite com Fruta", 13, "Chocolate base água", 16, "Vegano", 19, "Alcoólicos", 22, "Zero", 25, "Gelatos Proteicos", 28, 7), 1)) + (ROUND(I135,4) &gt; INDEX('Tabela de ingredientes'!$O$1:$V$30, SWITCH(B135, "Gelatos de Leite", 8, "Sorbets", 11, "Gelatos de Leite com Fruta", 14, "Chocolate base água", 17, "Vegano", 20, "Alcoólicos", 23, "Zero", 26, "Gelatos Proteicos", 29, 8), 1)) + (ROUND(J135,4) &lt; INDEX('Tabela de ingredientes'!$O$1:$V$30, SWITCH(B135, "Gelatos de Leite", 7, "Sorbets", 10, "Gelatos de Leite com Fruta", 13, "Chocolate base água", 16, "Vegano", 19, "Alcoólicos", 22, "Zero", 25, "Gelatos Proteicos", 28, 7), 2)) + (ROUND(J135,4) &gt; INDEX('Tabela de ingredientes'!$O$1:$V$30, SWITCH(B135, "Gelatos de Leite", 8, "Sorbets", 11, "Gelatos de Leite com Fruta", 14, "Chocolate base água", 17, "Vegano", 20, "Alcoólicos", 23, "Zero", 26, "Gelatos Proteicos", 29, 8), 2)) + (ROUND(K135,4) &lt; INDEX('Tabela de ingredientes'!$O$1:$V$30, SWITCH(B135, "Gelatos de Leite", 7, "Sorbets", 10, "Gelatos de Leite com Fruta", 13, "Chocolate base água", 16, "Vegano", 19, "Alcoólicos", 22, "Zero", 25, "Gelatos Proteicos", 28, 7), 3)) + (ROUND(K135,4) &gt; INDEX('Tabela de ingredientes'!$O$1:$V$30, SWITCH(B135, "Gelatos de Leite", 8, "Sorbets", 11, "Gelatos de Leite com Fruta", 14, "Chocolate base água", 17, "Vegano", 20, "Alcoólicos", 23, "Zero", 26, "Gelatos Proteicos", 29, 8), 3)) + (ROUND(L135,4) &lt; INDEX('Tabela de ingredientes'!$O$1:$V$30, SWITCH(B135, "Gelatos de Leite", 7, "Sorbets", 10, "Gelatos de Leite com Fruta", 13, "Chocolate base água", 16, "Vegano", 19, "Alcoólicos", 22, "Zero", 25, "Gelatos Proteicos", 28, 7), 4)) + (ROUND(L135,4) &gt; INDEX('Tabela de ingredientes'!$O$1:$V$30, SWITCH(B135, "Gelatos de Leite", 8, "Sorbets", 11, "Gelatos de Leite com Fruta", 14, "Chocolate base água", 17, "Vegano", 20, "Alcoólicos", 23, "Zero", 26, "Gelatos Proteicos", 29, 8), 4)) + (ROUND(M135,4) &lt; INDEX('Tabela de ingredientes'!$O$1:$V$30, SWITCH(B135, "Gelatos de Leite", 7, "Sorbets", 10, "Gelatos de Leite com Fruta", 13, "Chocolate base água", 16, "Vegano", 19, "Alcoólicos", 22, "Zero", 25, "Gelatos Proteicos", 28, 7), 5)) + (ROUND(M135,4) &gt; INDEX('Tabela de ingredientes'!$O$1:$V$30, SWITCH(B135, "Gelatos de Leite", 8, "Sorbets", 11, "Gelatos de Leite com Fruta", 14, "Chocolate base água", 17, "Vegano", 20, "Alcoólicos", 23, "Zero", 26, "Gelatos Proteicos", 29, 8), 5)) + (ROUND(N135,4) &lt; INDEX('Tabela de ingredientes'!$O$1:$V$30, SWITCH(B135, "Gelatos de Leite", 7, "Sorbets", 10, "Gelatos de Leite com Fruta", 13, "Chocolate base água", 16, "Vegano", 19, "Alcoólicos", 22, "Zero", 25, "Gelatos Proteicos", 28, 7), 6)) + (ROUND(N135,4) &gt; INDEX('Tabela de ingredientes'!$O$1:$V$30, SWITCH(B135, "Gelatos de Leite", 8, "Sorbets", 11, "Gelatos de Leite com Fruta", 14, "Chocolate base água", 17, "Vegano", 20, "Alcoólicos", 23, "Zero", 26, "Gelatos Proteicos", 29, 8), 6)) + (ROUND(O135,4) &lt; INDEX('Tabela de ingredientes'!$O$1:$V$30, SWITCH(B135, "Gelatos de Leite", 7, "Sorbets", 10, "Gelatos de Leite com Fruta", 13, "Chocolate base água", 16, "Vegano", 19, "Alcoólicos", 22, "Zero", 25, "Gelatos Proteicos", 28, 7), 7)) + (ROUND(O135,4) &gt; INDEX('Tabela de ingredientes'!$O$1:$V$30, SWITCH(B135, "Gelatos de Leite", 8, "Sorbets", 11, "Gelatos de Leite com Fruta", 14, "Chocolate base água", 17, "Vegano", 20, "Alcoólicos", 23, "Zero", 26, "Gelatos Proteicos", 29, 8), 7)) + (ROUND(P135,4) &lt; INDEX('Tabela de ingredientes'!$O$1:$V$30, SWITCH(B135, "Gelatos de Leite", 7, "Sorbets", 10, "Gelatos de Leite com Fruta", 13, "Chocolate base água", 16, "Vegano", 19, "Alcoólicos", 22, "Zero", 25, "Gelatos Proteicos", 28, 7), 8)) + (ROUND(P135,4) &gt; INDEX('Tabela de ingredientes'!$O$1:$V$30, SWITCH(B135, "Gelatos de Leite", 8, "Sorbets", 11, "Gelatos de Leite com Fruta", 14, "Chocolate base água", 17, "Vegano", 20, "Alcoólicos", 23, "Zero", 26, "Gelatos Proteicos", 29, 8), 8)) + IF(B135="Gelatos Proteicos", (ROUND(Q135,4)&lt;'Tabela de ingredientes'!$W$28)+(ROUND(Q135,4)&gt;'Tabela de ingredientes'!$W$29), 0) = 0, "Ok", "Revisar"))</f>
        <v>Revisar</v>
      </c>
    </row>
    <row r="136">
      <c r="A136" s="39" t="str">
        <f>IFERROR(__xludf.DUMMYFUNCTION("""COMPUTED_VALUE"""),"Cappuccino com Flocos de Chocolate Zero (Mix Zero)")</f>
        <v>Cappuccino com Flocos de Chocolate Zero (Mix Zero)</v>
      </c>
      <c r="B136" s="39" t="s">
        <v>109</v>
      </c>
      <c r="C136" s="39">
        <v>5.0</v>
      </c>
      <c r="D136" s="39">
        <v>803.0</v>
      </c>
      <c r="E136" s="39" t="s">
        <v>632</v>
      </c>
      <c r="F136" s="69">
        <v>14.327272727272726</v>
      </c>
      <c r="G136" s="69">
        <v>0.8596363636363635</v>
      </c>
      <c r="H136" s="69">
        <v>34.21131848284167</v>
      </c>
      <c r="I136" s="59">
        <v>0.03661270236612702</v>
      </c>
      <c r="J136" s="59">
        <v>0.0806351183063512</v>
      </c>
      <c r="K136" s="59">
        <v>0.11830635118306351</v>
      </c>
      <c r="L136" s="59">
        <v>0.11036114570361147</v>
      </c>
      <c r="M136" s="59">
        <v>0.34591531755915317</v>
      </c>
      <c r="N136" s="59">
        <v>0.6540846824408468</v>
      </c>
      <c r="O136" s="39">
        <v>66.75466998754669</v>
      </c>
      <c r="P136" s="39">
        <v>234.4707347447073</v>
      </c>
      <c r="Q136" s="59">
        <v>0.04524283935242839</v>
      </c>
      <c r="R136" s="39">
        <v>9.378829389788292</v>
      </c>
      <c r="S136" s="97" t="str">
        <f t="array" ref="S136">IF(A136="","", IF( (ROUND(I136,4) &lt; INDEX('Tabela de ingredientes'!$O$1:$V$30, SWITCH(B136, "Gelatos de Leite", 7, "Sorbets", 10, "Gelatos de Leite com Fruta", 13, "Chocolate base água", 16, "Vegano", 19, "Alcoólicos", 22, "Zero", 25, "Gelatos Proteicos", 28, 7), 1)) + (ROUND(I136,4) &gt; INDEX('Tabela de ingredientes'!$O$1:$V$30, SWITCH(B136, "Gelatos de Leite", 8, "Sorbets", 11, "Gelatos de Leite com Fruta", 14, "Chocolate base água", 17, "Vegano", 20, "Alcoólicos", 23, "Zero", 26, "Gelatos Proteicos", 29, 8), 1)) + (ROUND(J136,4) &lt; INDEX('Tabela de ingredientes'!$O$1:$V$30, SWITCH(B136, "Gelatos de Leite", 7, "Sorbets", 10, "Gelatos de Leite com Fruta", 13, "Chocolate base água", 16, "Vegano", 19, "Alcoólicos", 22, "Zero", 25, "Gelatos Proteicos", 28, 7), 2)) + (ROUND(J136,4) &gt; INDEX('Tabela de ingredientes'!$O$1:$V$30, SWITCH(B136, "Gelatos de Leite", 8, "Sorbets", 11, "Gelatos de Leite com Fruta", 14, "Chocolate base água", 17, "Vegano", 20, "Alcoólicos", 23, "Zero", 26, "Gelatos Proteicos", 29, 8), 2)) + (ROUND(K136,4) &lt; INDEX('Tabela de ingredientes'!$O$1:$V$30, SWITCH(B136, "Gelatos de Leite", 7, "Sorbets", 10, "Gelatos de Leite com Fruta", 13, "Chocolate base água", 16, "Vegano", 19, "Alcoólicos", 22, "Zero", 25, "Gelatos Proteicos", 28, 7), 3)) + (ROUND(K136,4) &gt; INDEX('Tabela de ingredientes'!$O$1:$V$30, SWITCH(B136, "Gelatos de Leite", 8, "Sorbets", 11, "Gelatos de Leite com Fruta", 14, "Chocolate base água", 17, "Vegano", 20, "Alcoólicos", 23, "Zero", 26, "Gelatos Proteicos", 29, 8), 3)) + (ROUND(L136,4) &lt; INDEX('Tabela de ingredientes'!$O$1:$V$30, SWITCH(B136, "Gelatos de Leite", 7, "Sorbets", 10, "Gelatos de Leite com Fruta", 13, "Chocolate base água", 16, "Vegano", 19, "Alcoólicos", 22, "Zero", 25, "Gelatos Proteicos", 28, 7), 4)) + (ROUND(L136,4) &gt; INDEX('Tabela de ingredientes'!$O$1:$V$30, SWITCH(B136, "Gelatos de Leite", 8, "Sorbets", 11, "Gelatos de Leite com Fruta", 14, "Chocolate base água", 17, "Vegano", 20, "Alcoólicos", 23, "Zero", 26, "Gelatos Proteicos", 29, 8), 4)) + (ROUND(M136,4) &lt; INDEX('Tabela de ingredientes'!$O$1:$V$30, SWITCH(B136, "Gelatos de Leite", 7, "Sorbets", 10, "Gelatos de Leite com Fruta", 13, "Chocolate base água", 16, "Vegano", 19, "Alcoólicos", 22, "Zero", 25, "Gelatos Proteicos", 28, 7), 5)) + (ROUND(M136,4) &gt; INDEX('Tabela de ingredientes'!$O$1:$V$30, SWITCH(B136, "Gelatos de Leite", 8, "Sorbets", 11, "Gelatos de Leite com Fruta", 14, "Chocolate base água", 17, "Vegano", 20, "Alcoólicos", 23, "Zero", 26, "Gelatos Proteicos", 29, 8), 5)) + (ROUND(N136,4) &lt; INDEX('Tabela de ingredientes'!$O$1:$V$30, SWITCH(B136, "Gelatos de Leite", 7, "Sorbets", 10, "Gelatos de Leite com Fruta", 13, "Chocolate base água", 16, "Vegano", 19, "Alcoólicos", 22, "Zero", 25, "Gelatos Proteicos", 28, 7), 6)) + (ROUND(N136,4) &gt; INDEX('Tabela de ingredientes'!$O$1:$V$30, SWITCH(B136, "Gelatos de Leite", 8, "Sorbets", 11, "Gelatos de Leite com Fruta", 14, "Chocolate base água", 17, "Vegano", 20, "Alcoólicos", 23, "Zero", 26, "Gelatos Proteicos", 29, 8), 6)) + (ROUND(O136,4) &lt; INDEX('Tabela de ingredientes'!$O$1:$V$30, SWITCH(B136, "Gelatos de Leite", 7, "Sorbets", 10, "Gelatos de Leite com Fruta", 13, "Chocolate base água", 16, "Vegano", 19, "Alcoólicos", 22, "Zero", 25, "Gelatos Proteicos", 28, 7), 7)) + (ROUND(O136,4) &gt; INDEX('Tabela de ingredientes'!$O$1:$V$30, SWITCH(B136, "Gelatos de Leite", 8, "Sorbets", 11, "Gelatos de Leite com Fruta", 14, "Chocolate base água", 17, "Vegano", 20, "Alcoólicos", 23, "Zero", 26, "Gelatos Proteicos", 29, 8), 7)) + (ROUND(P136,4) &lt; INDEX('Tabela de ingredientes'!$O$1:$V$30, SWITCH(B136, "Gelatos de Leite", 7, "Sorbets", 10, "Gelatos de Leite com Fruta", 13, "Chocolate base água", 16, "Vegano", 19, "Alcoólicos", 22, "Zero", 25, "Gelatos Proteicos", 28, 7), 8)) + (ROUND(P136,4) &gt; INDEX('Tabela de ingredientes'!$O$1:$V$30, SWITCH(B136, "Gelatos de Leite", 8, "Sorbets", 11, "Gelatos de Leite com Fruta", 14, "Chocolate base água", 17, "Vegano", 20, "Alcoólicos", 23, "Zero", 26, "Gelatos Proteicos", 29, 8), 8)) + IF(B136="Gelatos Proteicos", (ROUND(Q136,4)&lt;'Tabela de ingredientes'!$W$28)+(ROUND(Q136,4)&gt;'Tabela de ingredientes'!$W$29), 0) = 0, "Ok", "Revisar"))</f>
        <v>Revisar</v>
      </c>
    </row>
    <row r="137">
      <c r="A137" s="39" t="str">
        <f>IFERROR(__xludf.DUMMYFUNCTION("""COMPUTED_VALUE"""),"Gelato Avelã Zero (Mix Zero)")</f>
        <v>Gelato Avelã Zero (Mix Zero)</v>
      </c>
      <c r="B137" s="39" t="s">
        <v>109</v>
      </c>
      <c r="C137" s="39">
        <v>5.0</v>
      </c>
      <c r="D137" s="39">
        <v>700.0</v>
      </c>
      <c r="E137" s="39" t="s">
        <v>633</v>
      </c>
      <c r="F137" s="69">
        <v>28.28992857142857</v>
      </c>
      <c r="G137" s="69">
        <v>1.6973957142857143</v>
      </c>
      <c r="H137" s="69">
        <v>45.769808420056776</v>
      </c>
      <c r="I137" s="59">
        <v>0.040749999999999995</v>
      </c>
      <c r="J137" s="59">
        <v>0.11053571428571428</v>
      </c>
      <c r="K137" s="59">
        <v>0.10728571428571428</v>
      </c>
      <c r="L137" s="59">
        <v>0.138775</v>
      </c>
      <c r="M137" s="59">
        <v>0.39734642857142854</v>
      </c>
      <c r="N137" s="59">
        <v>0.6026535714285715</v>
      </c>
      <c r="O137" s="39">
        <v>66.16928571428572</v>
      </c>
      <c r="P137" s="39">
        <v>229.74285714285713</v>
      </c>
      <c r="Q137" s="59">
        <v>0.05560714285714286</v>
      </c>
      <c r="R137" s="39">
        <v>9.189714285714285</v>
      </c>
      <c r="S137" s="97" t="str">
        <f t="array" ref="S137">IF(A137="","", IF( (ROUND(I137,4) &lt; INDEX('Tabela de ingredientes'!$O$1:$V$30, SWITCH(B137, "Gelatos de Leite", 7, "Sorbets", 10, "Gelatos de Leite com Fruta", 13, "Chocolate base água", 16, "Vegano", 19, "Alcoólicos", 22, "Zero", 25, "Gelatos Proteicos", 28, 7), 1)) + (ROUND(I137,4) &gt; INDEX('Tabela de ingredientes'!$O$1:$V$30, SWITCH(B137, "Gelatos de Leite", 8, "Sorbets", 11, "Gelatos de Leite com Fruta", 14, "Chocolate base água", 17, "Vegano", 20, "Alcoólicos", 23, "Zero", 26, "Gelatos Proteicos", 29, 8), 1)) + (ROUND(J137,4) &lt; INDEX('Tabela de ingredientes'!$O$1:$V$30, SWITCH(B137, "Gelatos de Leite", 7, "Sorbets", 10, "Gelatos de Leite com Fruta", 13, "Chocolate base água", 16, "Vegano", 19, "Alcoólicos", 22, "Zero", 25, "Gelatos Proteicos", 28, 7), 2)) + (ROUND(J137,4) &gt; INDEX('Tabela de ingredientes'!$O$1:$V$30, SWITCH(B137, "Gelatos de Leite", 8, "Sorbets", 11, "Gelatos de Leite com Fruta", 14, "Chocolate base água", 17, "Vegano", 20, "Alcoólicos", 23, "Zero", 26, "Gelatos Proteicos", 29, 8), 2)) + (ROUND(K137,4) &lt; INDEX('Tabela de ingredientes'!$O$1:$V$30, SWITCH(B137, "Gelatos de Leite", 7, "Sorbets", 10, "Gelatos de Leite com Fruta", 13, "Chocolate base água", 16, "Vegano", 19, "Alcoólicos", 22, "Zero", 25, "Gelatos Proteicos", 28, 7), 3)) + (ROUND(K137,4) &gt; INDEX('Tabela de ingredientes'!$O$1:$V$30, SWITCH(B137, "Gelatos de Leite", 8, "Sorbets", 11, "Gelatos de Leite com Fruta", 14, "Chocolate base água", 17, "Vegano", 20, "Alcoólicos", 23, "Zero", 26, "Gelatos Proteicos", 29, 8), 3)) + (ROUND(L137,4) &lt; INDEX('Tabela de ingredientes'!$O$1:$V$30, SWITCH(B137, "Gelatos de Leite", 7, "Sorbets", 10, "Gelatos de Leite com Fruta", 13, "Chocolate base água", 16, "Vegano", 19, "Alcoólicos", 22, "Zero", 25, "Gelatos Proteicos", 28, 7), 4)) + (ROUND(L137,4) &gt; INDEX('Tabela de ingredientes'!$O$1:$V$30, SWITCH(B137, "Gelatos de Leite", 8, "Sorbets", 11, "Gelatos de Leite com Fruta", 14, "Chocolate base água", 17, "Vegano", 20, "Alcoólicos", 23, "Zero", 26, "Gelatos Proteicos", 29, 8), 4)) + (ROUND(M137,4) &lt; INDEX('Tabela de ingredientes'!$O$1:$V$30, SWITCH(B137, "Gelatos de Leite", 7, "Sorbets", 10, "Gelatos de Leite com Fruta", 13, "Chocolate base água", 16, "Vegano", 19, "Alcoólicos", 22, "Zero", 25, "Gelatos Proteicos", 28, 7), 5)) + (ROUND(M137,4) &gt; INDEX('Tabela de ingredientes'!$O$1:$V$30, SWITCH(B137, "Gelatos de Leite", 8, "Sorbets", 11, "Gelatos de Leite com Fruta", 14, "Chocolate base água", 17, "Vegano", 20, "Alcoólicos", 23, "Zero", 26, "Gelatos Proteicos", 29, 8), 5)) + (ROUND(N137,4) &lt; INDEX('Tabela de ingredientes'!$O$1:$V$30, SWITCH(B137, "Gelatos de Leite", 7, "Sorbets", 10, "Gelatos de Leite com Fruta", 13, "Chocolate base água", 16, "Vegano", 19, "Alcoólicos", 22, "Zero", 25, "Gelatos Proteicos", 28, 7), 6)) + (ROUND(N137,4) &gt; INDEX('Tabela de ingredientes'!$O$1:$V$30, SWITCH(B137, "Gelatos de Leite", 8, "Sorbets", 11, "Gelatos de Leite com Fruta", 14, "Chocolate base água", 17, "Vegano", 20, "Alcoólicos", 23, "Zero", 26, "Gelatos Proteicos", 29, 8), 6)) + (ROUND(O137,4) &lt; INDEX('Tabela de ingredientes'!$O$1:$V$30, SWITCH(B137, "Gelatos de Leite", 7, "Sorbets", 10, "Gelatos de Leite com Fruta", 13, "Chocolate base água", 16, "Vegano", 19, "Alcoólicos", 22, "Zero", 25, "Gelatos Proteicos", 28, 7), 7)) + (ROUND(O137,4) &gt; INDEX('Tabela de ingredientes'!$O$1:$V$30, SWITCH(B137, "Gelatos de Leite", 8, "Sorbets", 11, "Gelatos de Leite com Fruta", 14, "Chocolate base água", 17, "Vegano", 20, "Alcoólicos", 23, "Zero", 26, "Gelatos Proteicos", 29, 8), 7)) + (ROUND(P137,4) &lt; INDEX('Tabela de ingredientes'!$O$1:$V$30, SWITCH(B137, "Gelatos de Leite", 7, "Sorbets", 10, "Gelatos de Leite com Fruta", 13, "Chocolate base água", 16, "Vegano", 19, "Alcoólicos", 22, "Zero", 25, "Gelatos Proteicos", 28, 7), 8)) + (ROUND(P137,4) &gt; INDEX('Tabela de ingredientes'!$O$1:$V$30, SWITCH(B137, "Gelatos de Leite", 8, "Sorbets", 11, "Gelatos de Leite com Fruta", 14, "Chocolate base água", 17, "Vegano", 20, "Alcoólicos", 23, "Zero", 26, "Gelatos Proteicos", 29, 8), 8)) + IF(B137="Gelatos Proteicos", (ROUND(Q137,4)&lt;'Tabela de ingredientes'!$W$28)+(ROUND(Q137,4)&gt;'Tabela de ingredientes'!$W$29), 0) = 0, "Ok", "Revisar"))</f>
        <v>Revisar</v>
      </c>
    </row>
    <row r="138">
      <c r="A138" s="39" t="str">
        <f>IFERROR(__xludf.DUMMYFUNCTION("""COMPUTED_VALUE"""),"Gelato Avelã com Chocolate Zero (Mix Zero)")</f>
        <v>Gelato Avelã com Chocolate Zero (Mix Zero)</v>
      </c>
      <c r="B138" s="39" t="s">
        <v>109</v>
      </c>
      <c r="C138" s="39">
        <v>6.0</v>
      </c>
      <c r="D138" s="39">
        <v>700.0</v>
      </c>
      <c r="E138" s="39" t="s">
        <v>633</v>
      </c>
      <c r="F138" s="69">
        <v>28.465642857142857</v>
      </c>
      <c r="G138" s="69">
        <v>1.7079385714285713</v>
      </c>
      <c r="H138" s="69">
        <v>45.915267265846744</v>
      </c>
      <c r="I138" s="59">
        <v>0.03932142857142857</v>
      </c>
      <c r="J138" s="59">
        <v>0.09385714285714286</v>
      </c>
      <c r="K138" s="59">
        <v>0.10792857142857143</v>
      </c>
      <c r="L138" s="59">
        <v>0.14827500000000002</v>
      </c>
      <c r="M138" s="59">
        <v>0.3893821428571429</v>
      </c>
      <c r="N138" s="59">
        <v>0.6106178571428571</v>
      </c>
      <c r="O138" s="39">
        <v>66.225</v>
      </c>
      <c r="P138" s="39">
        <v>230.02857142857138</v>
      </c>
      <c r="Q138" s="59">
        <v>0.056000000000000015</v>
      </c>
      <c r="R138" s="39">
        <v>9.201142857142855</v>
      </c>
      <c r="S138" s="97" t="str">
        <f t="array" ref="S138">IF(A138="","", IF( (ROUND(I138,4) &lt; INDEX('Tabela de ingredientes'!$O$1:$V$30, SWITCH(B138, "Gelatos de Leite", 7, "Sorbets", 10, "Gelatos de Leite com Fruta", 13, "Chocolate base água", 16, "Vegano", 19, "Alcoólicos", 22, "Zero", 25, "Gelatos Proteicos", 28, 7), 1)) + (ROUND(I138,4) &gt; INDEX('Tabela de ingredientes'!$O$1:$V$30, SWITCH(B138, "Gelatos de Leite", 8, "Sorbets", 11, "Gelatos de Leite com Fruta", 14, "Chocolate base água", 17, "Vegano", 20, "Alcoólicos", 23, "Zero", 26, "Gelatos Proteicos", 29, 8), 1)) + (ROUND(J138,4) &lt; INDEX('Tabela de ingredientes'!$O$1:$V$30, SWITCH(B138, "Gelatos de Leite", 7, "Sorbets", 10, "Gelatos de Leite com Fruta", 13, "Chocolate base água", 16, "Vegano", 19, "Alcoólicos", 22, "Zero", 25, "Gelatos Proteicos", 28, 7), 2)) + (ROUND(J138,4) &gt; INDEX('Tabela de ingredientes'!$O$1:$V$30, SWITCH(B138, "Gelatos de Leite", 8, "Sorbets", 11, "Gelatos de Leite com Fruta", 14, "Chocolate base água", 17, "Vegano", 20, "Alcoólicos", 23, "Zero", 26, "Gelatos Proteicos", 29, 8), 2)) + (ROUND(K138,4) &lt; INDEX('Tabela de ingredientes'!$O$1:$V$30, SWITCH(B138, "Gelatos de Leite", 7, "Sorbets", 10, "Gelatos de Leite com Fruta", 13, "Chocolate base água", 16, "Vegano", 19, "Alcoólicos", 22, "Zero", 25, "Gelatos Proteicos", 28, 7), 3)) + (ROUND(K138,4) &gt; INDEX('Tabela de ingredientes'!$O$1:$V$30, SWITCH(B138, "Gelatos de Leite", 8, "Sorbets", 11, "Gelatos de Leite com Fruta", 14, "Chocolate base água", 17, "Vegano", 20, "Alcoólicos", 23, "Zero", 26, "Gelatos Proteicos", 29, 8), 3)) + (ROUND(L138,4) &lt; INDEX('Tabela de ingredientes'!$O$1:$V$30, SWITCH(B138, "Gelatos de Leite", 7, "Sorbets", 10, "Gelatos de Leite com Fruta", 13, "Chocolate base água", 16, "Vegano", 19, "Alcoólicos", 22, "Zero", 25, "Gelatos Proteicos", 28, 7), 4)) + (ROUND(L138,4) &gt; INDEX('Tabela de ingredientes'!$O$1:$V$30, SWITCH(B138, "Gelatos de Leite", 8, "Sorbets", 11, "Gelatos de Leite com Fruta", 14, "Chocolate base água", 17, "Vegano", 20, "Alcoólicos", 23, "Zero", 26, "Gelatos Proteicos", 29, 8), 4)) + (ROUND(M138,4) &lt; INDEX('Tabela de ingredientes'!$O$1:$V$30, SWITCH(B138, "Gelatos de Leite", 7, "Sorbets", 10, "Gelatos de Leite com Fruta", 13, "Chocolate base água", 16, "Vegano", 19, "Alcoólicos", 22, "Zero", 25, "Gelatos Proteicos", 28, 7), 5)) + (ROUND(M138,4) &gt; INDEX('Tabela de ingredientes'!$O$1:$V$30, SWITCH(B138, "Gelatos de Leite", 8, "Sorbets", 11, "Gelatos de Leite com Fruta", 14, "Chocolate base água", 17, "Vegano", 20, "Alcoólicos", 23, "Zero", 26, "Gelatos Proteicos", 29, 8), 5)) + (ROUND(N138,4) &lt; INDEX('Tabela de ingredientes'!$O$1:$V$30, SWITCH(B138, "Gelatos de Leite", 7, "Sorbets", 10, "Gelatos de Leite com Fruta", 13, "Chocolate base água", 16, "Vegano", 19, "Alcoólicos", 22, "Zero", 25, "Gelatos Proteicos", 28, 7), 6)) + (ROUND(N138,4) &gt; INDEX('Tabela de ingredientes'!$O$1:$V$30, SWITCH(B138, "Gelatos de Leite", 8, "Sorbets", 11, "Gelatos de Leite com Fruta", 14, "Chocolate base água", 17, "Vegano", 20, "Alcoólicos", 23, "Zero", 26, "Gelatos Proteicos", 29, 8), 6)) + (ROUND(O138,4) &lt; INDEX('Tabela de ingredientes'!$O$1:$V$30, SWITCH(B138, "Gelatos de Leite", 7, "Sorbets", 10, "Gelatos de Leite com Fruta", 13, "Chocolate base água", 16, "Vegano", 19, "Alcoólicos", 22, "Zero", 25, "Gelatos Proteicos", 28, 7), 7)) + (ROUND(O138,4) &gt; INDEX('Tabela de ingredientes'!$O$1:$V$30, SWITCH(B138, "Gelatos de Leite", 8, "Sorbets", 11, "Gelatos de Leite com Fruta", 14, "Chocolate base água", 17, "Vegano", 20, "Alcoólicos", 23, "Zero", 26, "Gelatos Proteicos", 29, 8), 7)) + (ROUND(P138,4) &lt; INDEX('Tabela de ingredientes'!$O$1:$V$30, SWITCH(B138, "Gelatos de Leite", 7, "Sorbets", 10, "Gelatos de Leite com Fruta", 13, "Chocolate base água", 16, "Vegano", 19, "Alcoólicos", 22, "Zero", 25, "Gelatos Proteicos", 28, 7), 8)) + (ROUND(P138,4) &gt; INDEX('Tabela de ingredientes'!$O$1:$V$30, SWITCH(B138, "Gelatos de Leite", 8, "Sorbets", 11, "Gelatos de Leite com Fruta", 14, "Chocolate base água", 17, "Vegano", 20, "Alcoólicos", 23, "Zero", 26, "Gelatos Proteicos", 29, 8), 8)) + IF(B138="Gelatos Proteicos", (ROUND(Q138,4)&lt;'Tabela de ingredientes'!$W$28)+(ROUND(Q138,4)&gt;'Tabela de ingredientes'!$W$29), 0) = 0, "Ok", "Revisar"))</f>
        <v>Revisar</v>
      </c>
    </row>
    <row r="139">
      <c r="A139" s="39" t="str">
        <f>IFERROR(__xludf.DUMMYFUNCTION("""COMPUTED_VALUE"""),"Pistache Zero (Mix Zero)")</f>
        <v>Pistache Zero (Mix Zero)</v>
      </c>
      <c r="B139" s="39" t="s">
        <v>109</v>
      </c>
      <c r="C139" s="39">
        <v>5.0</v>
      </c>
      <c r="D139" s="39">
        <v>795.0</v>
      </c>
      <c r="E139" s="39" t="s">
        <v>634</v>
      </c>
      <c r="F139" s="69">
        <v>34.40716981132075</v>
      </c>
      <c r="G139" s="69">
        <v>2.064430188679245</v>
      </c>
      <c r="H139" s="69">
        <v>50.833749843808576</v>
      </c>
      <c r="I139" s="59">
        <v>0.04345911949685534</v>
      </c>
      <c r="J139" s="59">
        <v>0.09465408805031447</v>
      </c>
      <c r="K139" s="59">
        <v>0.11056603773584907</v>
      </c>
      <c r="L139" s="59">
        <v>0.14730188679245285</v>
      </c>
      <c r="M139" s="59">
        <v>0.3959811320754717</v>
      </c>
      <c r="N139" s="59">
        <v>0.6040188679245283</v>
      </c>
      <c r="O139" s="39">
        <v>71.55723270440251</v>
      </c>
      <c r="P139" s="39">
        <v>247.50943396226413</v>
      </c>
      <c r="Q139" s="59">
        <v>0.052566037735849065</v>
      </c>
      <c r="R139" s="39">
        <v>9.900377358490566</v>
      </c>
      <c r="S139" s="97" t="str">
        <f t="array" ref="S139">IF(A139="","", IF( (ROUND(I139,4) &lt; INDEX('Tabela de ingredientes'!$O$1:$V$30, SWITCH(B139, "Gelatos de Leite", 7, "Sorbets", 10, "Gelatos de Leite com Fruta", 13, "Chocolate base água", 16, "Vegano", 19, "Alcoólicos", 22, "Zero", 25, "Gelatos Proteicos", 28, 7), 1)) + (ROUND(I139,4) &gt; INDEX('Tabela de ingredientes'!$O$1:$V$30, SWITCH(B139, "Gelatos de Leite", 8, "Sorbets", 11, "Gelatos de Leite com Fruta", 14, "Chocolate base água", 17, "Vegano", 20, "Alcoólicos", 23, "Zero", 26, "Gelatos Proteicos", 29, 8), 1)) + (ROUND(J139,4) &lt; INDEX('Tabela de ingredientes'!$O$1:$V$30, SWITCH(B139, "Gelatos de Leite", 7, "Sorbets", 10, "Gelatos de Leite com Fruta", 13, "Chocolate base água", 16, "Vegano", 19, "Alcoólicos", 22, "Zero", 25, "Gelatos Proteicos", 28, 7), 2)) + (ROUND(J139,4) &gt; INDEX('Tabela de ingredientes'!$O$1:$V$30, SWITCH(B139, "Gelatos de Leite", 8, "Sorbets", 11, "Gelatos de Leite com Fruta", 14, "Chocolate base água", 17, "Vegano", 20, "Alcoólicos", 23, "Zero", 26, "Gelatos Proteicos", 29, 8), 2)) + (ROUND(K139,4) &lt; INDEX('Tabela de ingredientes'!$O$1:$V$30, SWITCH(B139, "Gelatos de Leite", 7, "Sorbets", 10, "Gelatos de Leite com Fruta", 13, "Chocolate base água", 16, "Vegano", 19, "Alcoólicos", 22, "Zero", 25, "Gelatos Proteicos", 28, 7), 3)) + (ROUND(K139,4) &gt; INDEX('Tabela de ingredientes'!$O$1:$V$30, SWITCH(B139, "Gelatos de Leite", 8, "Sorbets", 11, "Gelatos de Leite com Fruta", 14, "Chocolate base água", 17, "Vegano", 20, "Alcoólicos", 23, "Zero", 26, "Gelatos Proteicos", 29, 8), 3)) + (ROUND(L139,4) &lt; INDEX('Tabela de ingredientes'!$O$1:$V$30, SWITCH(B139, "Gelatos de Leite", 7, "Sorbets", 10, "Gelatos de Leite com Fruta", 13, "Chocolate base água", 16, "Vegano", 19, "Alcoólicos", 22, "Zero", 25, "Gelatos Proteicos", 28, 7), 4)) + (ROUND(L139,4) &gt; INDEX('Tabela de ingredientes'!$O$1:$V$30, SWITCH(B139, "Gelatos de Leite", 8, "Sorbets", 11, "Gelatos de Leite com Fruta", 14, "Chocolate base água", 17, "Vegano", 20, "Alcoólicos", 23, "Zero", 26, "Gelatos Proteicos", 29, 8), 4)) + (ROUND(M139,4) &lt; INDEX('Tabela de ingredientes'!$O$1:$V$30, SWITCH(B139, "Gelatos de Leite", 7, "Sorbets", 10, "Gelatos de Leite com Fruta", 13, "Chocolate base água", 16, "Vegano", 19, "Alcoólicos", 22, "Zero", 25, "Gelatos Proteicos", 28, 7), 5)) + (ROUND(M139,4) &gt; INDEX('Tabela de ingredientes'!$O$1:$V$30, SWITCH(B139, "Gelatos de Leite", 8, "Sorbets", 11, "Gelatos de Leite com Fruta", 14, "Chocolate base água", 17, "Vegano", 20, "Alcoólicos", 23, "Zero", 26, "Gelatos Proteicos", 29, 8), 5)) + (ROUND(N139,4) &lt; INDEX('Tabela de ingredientes'!$O$1:$V$30, SWITCH(B139, "Gelatos de Leite", 7, "Sorbets", 10, "Gelatos de Leite com Fruta", 13, "Chocolate base água", 16, "Vegano", 19, "Alcoólicos", 22, "Zero", 25, "Gelatos Proteicos", 28, 7), 6)) + (ROUND(N139,4) &gt; INDEX('Tabela de ingredientes'!$O$1:$V$30, SWITCH(B139, "Gelatos de Leite", 8, "Sorbets", 11, "Gelatos de Leite com Fruta", 14, "Chocolate base água", 17, "Vegano", 20, "Alcoólicos", 23, "Zero", 26, "Gelatos Proteicos", 29, 8), 6)) + (ROUND(O139,4) &lt; INDEX('Tabela de ingredientes'!$O$1:$V$30, SWITCH(B139, "Gelatos de Leite", 7, "Sorbets", 10, "Gelatos de Leite com Fruta", 13, "Chocolate base água", 16, "Vegano", 19, "Alcoólicos", 22, "Zero", 25, "Gelatos Proteicos", 28, 7), 7)) + (ROUND(O139,4) &gt; INDEX('Tabela de ingredientes'!$O$1:$V$30, SWITCH(B139, "Gelatos de Leite", 8, "Sorbets", 11, "Gelatos de Leite com Fruta", 14, "Chocolate base água", 17, "Vegano", 20, "Alcoólicos", 23, "Zero", 26, "Gelatos Proteicos", 29, 8), 7)) + (ROUND(P139,4) &lt; INDEX('Tabela de ingredientes'!$O$1:$V$30, SWITCH(B139, "Gelatos de Leite", 7, "Sorbets", 10, "Gelatos de Leite com Fruta", 13, "Chocolate base água", 16, "Vegano", 19, "Alcoólicos", 22, "Zero", 25, "Gelatos Proteicos", 28, 7), 8)) + (ROUND(P139,4) &gt; INDEX('Tabela de ingredientes'!$O$1:$V$30, SWITCH(B139, "Gelatos de Leite", 8, "Sorbets", 11, "Gelatos de Leite com Fruta", 14, "Chocolate base água", 17, "Vegano", 20, "Alcoólicos", 23, "Zero", 26, "Gelatos Proteicos", 29, 8), 8)) + IF(B139="Gelatos Proteicos", (ROUND(Q139,4)&lt;'Tabela de ingredientes'!$W$28)+(ROUND(Q139,4)&gt;'Tabela de ingredientes'!$W$29), 0) = 0, "Ok", "Revisar"))</f>
        <v>Revisar</v>
      </c>
    </row>
    <row r="140">
      <c r="A140" s="39" t="str">
        <f>IFERROR(__xludf.DUMMYFUNCTION("""COMPUTED_VALUE"""),"Banana ao Leite Zero (Mix Zero)")</f>
        <v>Banana ao Leite Zero (Mix Zero)</v>
      </c>
      <c r="B140" s="39" t="s">
        <v>109</v>
      </c>
      <c r="C140" s="39">
        <v>5.0</v>
      </c>
      <c r="D140" s="39">
        <v>800.0</v>
      </c>
      <c r="E140" s="39" t="s">
        <v>630</v>
      </c>
      <c r="F140" s="69">
        <v>12.341312499999999</v>
      </c>
      <c r="G140" s="69">
        <v>0.74047875</v>
      </c>
      <c r="H140" s="69">
        <v>32.56731167218544</v>
      </c>
      <c r="I140" s="59">
        <v>0.09240625</v>
      </c>
      <c r="J140" s="59">
        <v>0.05443750000000001</v>
      </c>
      <c r="K140" s="59">
        <v>0.078625</v>
      </c>
      <c r="L140" s="59">
        <v>0.151228125</v>
      </c>
      <c r="M140" s="59">
        <v>0.376696875</v>
      </c>
      <c r="N140" s="59">
        <v>0.6233031250000001</v>
      </c>
      <c r="O140" s="39">
        <v>132.475625</v>
      </c>
      <c r="P140" s="39">
        <v>322.28749999999997</v>
      </c>
      <c r="Q140" s="59">
        <v>0.0330125</v>
      </c>
      <c r="R140" s="39">
        <v>12.891499999999999</v>
      </c>
      <c r="S140" s="97" t="str">
        <f t="array" ref="S140">IF(A140="","", IF( (ROUND(I140,4) &lt; INDEX('Tabela de ingredientes'!$O$1:$V$30, SWITCH(B140, "Gelatos de Leite", 7, "Sorbets", 10, "Gelatos de Leite com Fruta", 13, "Chocolate base água", 16, "Vegano", 19, "Alcoólicos", 22, "Zero", 25, "Gelatos Proteicos", 28, 7), 1)) + (ROUND(I140,4) &gt; INDEX('Tabela de ingredientes'!$O$1:$V$30, SWITCH(B140, "Gelatos de Leite", 8, "Sorbets", 11, "Gelatos de Leite com Fruta", 14, "Chocolate base água", 17, "Vegano", 20, "Alcoólicos", 23, "Zero", 26, "Gelatos Proteicos", 29, 8), 1)) + (ROUND(J140,4) &lt; INDEX('Tabela de ingredientes'!$O$1:$V$30, SWITCH(B140, "Gelatos de Leite", 7, "Sorbets", 10, "Gelatos de Leite com Fruta", 13, "Chocolate base água", 16, "Vegano", 19, "Alcoólicos", 22, "Zero", 25, "Gelatos Proteicos", 28, 7), 2)) + (ROUND(J140,4) &gt; INDEX('Tabela de ingredientes'!$O$1:$V$30, SWITCH(B140, "Gelatos de Leite", 8, "Sorbets", 11, "Gelatos de Leite com Fruta", 14, "Chocolate base água", 17, "Vegano", 20, "Alcoólicos", 23, "Zero", 26, "Gelatos Proteicos", 29, 8), 2)) + (ROUND(K140,4) &lt; INDEX('Tabela de ingredientes'!$O$1:$V$30, SWITCH(B140, "Gelatos de Leite", 7, "Sorbets", 10, "Gelatos de Leite com Fruta", 13, "Chocolate base água", 16, "Vegano", 19, "Alcoólicos", 22, "Zero", 25, "Gelatos Proteicos", 28, 7), 3)) + (ROUND(K140,4) &gt; INDEX('Tabela de ingredientes'!$O$1:$V$30, SWITCH(B140, "Gelatos de Leite", 8, "Sorbets", 11, "Gelatos de Leite com Fruta", 14, "Chocolate base água", 17, "Vegano", 20, "Alcoólicos", 23, "Zero", 26, "Gelatos Proteicos", 29, 8), 3)) + (ROUND(L140,4) &lt; INDEX('Tabela de ingredientes'!$O$1:$V$30, SWITCH(B140, "Gelatos de Leite", 7, "Sorbets", 10, "Gelatos de Leite com Fruta", 13, "Chocolate base água", 16, "Vegano", 19, "Alcoólicos", 22, "Zero", 25, "Gelatos Proteicos", 28, 7), 4)) + (ROUND(L140,4) &gt; INDEX('Tabela de ingredientes'!$O$1:$V$30, SWITCH(B140, "Gelatos de Leite", 8, "Sorbets", 11, "Gelatos de Leite com Fruta", 14, "Chocolate base água", 17, "Vegano", 20, "Alcoólicos", 23, "Zero", 26, "Gelatos Proteicos", 29, 8), 4)) + (ROUND(M140,4) &lt; INDEX('Tabela de ingredientes'!$O$1:$V$30, SWITCH(B140, "Gelatos de Leite", 7, "Sorbets", 10, "Gelatos de Leite com Fruta", 13, "Chocolate base água", 16, "Vegano", 19, "Alcoólicos", 22, "Zero", 25, "Gelatos Proteicos", 28, 7), 5)) + (ROUND(M140,4) &gt; INDEX('Tabela de ingredientes'!$O$1:$V$30, SWITCH(B140, "Gelatos de Leite", 8, "Sorbets", 11, "Gelatos de Leite com Fruta", 14, "Chocolate base água", 17, "Vegano", 20, "Alcoólicos", 23, "Zero", 26, "Gelatos Proteicos", 29, 8), 5)) + (ROUND(N140,4) &lt; INDEX('Tabela de ingredientes'!$O$1:$V$30, SWITCH(B140, "Gelatos de Leite", 7, "Sorbets", 10, "Gelatos de Leite com Fruta", 13, "Chocolate base água", 16, "Vegano", 19, "Alcoólicos", 22, "Zero", 25, "Gelatos Proteicos", 28, 7), 6)) + (ROUND(N140,4) &gt; INDEX('Tabela de ingredientes'!$O$1:$V$30, SWITCH(B140, "Gelatos de Leite", 8, "Sorbets", 11, "Gelatos de Leite com Fruta", 14, "Chocolate base água", 17, "Vegano", 20, "Alcoólicos", 23, "Zero", 26, "Gelatos Proteicos", 29, 8), 6)) + (ROUND(O140,4) &lt; INDEX('Tabela de ingredientes'!$O$1:$V$30, SWITCH(B140, "Gelatos de Leite", 7, "Sorbets", 10, "Gelatos de Leite com Fruta", 13, "Chocolate base água", 16, "Vegano", 19, "Alcoólicos", 22, "Zero", 25, "Gelatos Proteicos", 28, 7), 7)) + (ROUND(O140,4) &gt; INDEX('Tabela de ingredientes'!$O$1:$V$30, SWITCH(B140, "Gelatos de Leite", 8, "Sorbets", 11, "Gelatos de Leite com Fruta", 14, "Chocolate base água", 17, "Vegano", 20, "Alcoólicos", 23, "Zero", 26, "Gelatos Proteicos", 29, 8), 7)) + (ROUND(P140,4) &lt; INDEX('Tabela de ingredientes'!$O$1:$V$30, SWITCH(B140, "Gelatos de Leite", 7, "Sorbets", 10, "Gelatos de Leite com Fruta", 13, "Chocolate base água", 16, "Vegano", 19, "Alcoólicos", 22, "Zero", 25, "Gelatos Proteicos", 28, 7), 8)) + (ROUND(P140,4) &gt; INDEX('Tabela de ingredientes'!$O$1:$V$30, SWITCH(B140, "Gelatos de Leite", 8, "Sorbets", 11, "Gelatos de Leite com Fruta", 14, "Chocolate base água", 17, "Vegano", 20, "Alcoólicos", 23, "Zero", 26, "Gelatos Proteicos", 29, 8), 8)) + IF(B140="Gelatos Proteicos", (ROUND(Q140,4)&lt;'Tabela de ingredientes'!$W$28)+(ROUND(Q140,4)&gt;'Tabela de ingredientes'!$W$29), 0) = 0, "Ok", "Revisar"))</f>
        <v>Ok</v>
      </c>
    </row>
    <row r="141">
      <c r="A141" s="39" t="str">
        <f>IFERROR(__xludf.DUMMYFUNCTION("""COMPUTED_VALUE"""),"Mousse de Maracujá Zero (Mix Zero)")</f>
        <v>Mousse de Maracujá Zero (Mix Zero)</v>
      </c>
      <c r="B141" s="39" t="s">
        <v>109</v>
      </c>
      <c r="C141" s="39">
        <v>5.0</v>
      </c>
      <c r="D141" s="39">
        <v>800.0</v>
      </c>
      <c r="E141" s="39" t="s">
        <v>630</v>
      </c>
      <c r="F141" s="69">
        <v>13.7056875</v>
      </c>
      <c r="G141" s="69">
        <v>0.8223412499999999</v>
      </c>
      <c r="H141" s="69">
        <v>33.69676117549669</v>
      </c>
      <c r="I141" s="59">
        <v>0.05796875</v>
      </c>
      <c r="J141" s="59">
        <v>0.07053125</v>
      </c>
      <c r="K141" s="59">
        <v>0.09050000000000001</v>
      </c>
      <c r="L141" s="59">
        <v>0.137978125</v>
      </c>
      <c r="M141" s="59">
        <v>0.35697812500000003</v>
      </c>
      <c r="N141" s="59">
        <v>0.643021875</v>
      </c>
      <c r="O141" s="39">
        <v>90.004375</v>
      </c>
      <c r="P141" s="39">
        <v>289.9125</v>
      </c>
      <c r="Q141" s="59">
        <v>0.03495000000000001</v>
      </c>
      <c r="R141" s="39">
        <v>11.5965</v>
      </c>
      <c r="S141" s="97" t="str">
        <f t="array" ref="S141">IF(A141="","", IF( (ROUND(I141,4) &lt; INDEX('Tabela de ingredientes'!$O$1:$V$30, SWITCH(B141, "Gelatos de Leite", 7, "Sorbets", 10, "Gelatos de Leite com Fruta", 13, "Chocolate base água", 16, "Vegano", 19, "Alcoólicos", 22, "Zero", 25, "Gelatos Proteicos", 28, 7), 1)) + (ROUND(I141,4) &gt; INDEX('Tabela de ingredientes'!$O$1:$V$30, SWITCH(B141, "Gelatos de Leite", 8, "Sorbets", 11, "Gelatos de Leite com Fruta", 14, "Chocolate base água", 17, "Vegano", 20, "Alcoólicos", 23, "Zero", 26, "Gelatos Proteicos", 29, 8), 1)) + (ROUND(J141,4) &lt; INDEX('Tabela de ingredientes'!$O$1:$V$30, SWITCH(B141, "Gelatos de Leite", 7, "Sorbets", 10, "Gelatos de Leite com Fruta", 13, "Chocolate base água", 16, "Vegano", 19, "Alcoólicos", 22, "Zero", 25, "Gelatos Proteicos", 28, 7), 2)) + (ROUND(J141,4) &gt; INDEX('Tabela de ingredientes'!$O$1:$V$30, SWITCH(B141, "Gelatos de Leite", 8, "Sorbets", 11, "Gelatos de Leite com Fruta", 14, "Chocolate base água", 17, "Vegano", 20, "Alcoólicos", 23, "Zero", 26, "Gelatos Proteicos", 29, 8), 2)) + (ROUND(K141,4) &lt; INDEX('Tabela de ingredientes'!$O$1:$V$30, SWITCH(B141, "Gelatos de Leite", 7, "Sorbets", 10, "Gelatos de Leite com Fruta", 13, "Chocolate base água", 16, "Vegano", 19, "Alcoólicos", 22, "Zero", 25, "Gelatos Proteicos", 28, 7), 3)) + (ROUND(K141,4) &gt; INDEX('Tabela de ingredientes'!$O$1:$V$30, SWITCH(B141, "Gelatos de Leite", 8, "Sorbets", 11, "Gelatos de Leite com Fruta", 14, "Chocolate base água", 17, "Vegano", 20, "Alcoólicos", 23, "Zero", 26, "Gelatos Proteicos", 29, 8), 3)) + (ROUND(L141,4) &lt; INDEX('Tabela de ingredientes'!$O$1:$V$30, SWITCH(B141, "Gelatos de Leite", 7, "Sorbets", 10, "Gelatos de Leite com Fruta", 13, "Chocolate base água", 16, "Vegano", 19, "Alcoólicos", 22, "Zero", 25, "Gelatos Proteicos", 28, 7), 4)) + (ROUND(L141,4) &gt; INDEX('Tabela de ingredientes'!$O$1:$V$30, SWITCH(B141, "Gelatos de Leite", 8, "Sorbets", 11, "Gelatos de Leite com Fruta", 14, "Chocolate base água", 17, "Vegano", 20, "Alcoólicos", 23, "Zero", 26, "Gelatos Proteicos", 29, 8), 4)) + (ROUND(M141,4) &lt; INDEX('Tabela de ingredientes'!$O$1:$V$30, SWITCH(B141, "Gelatos de Leite", 7, "Sorbets", 10, "Gelatos de Leite com Fruta", 13, "Chocolate base água", 16, "Vegano", 19, "Alcoólicos", 22, "Zero", 25, "Gelatos Proteicos", 28, 7), 5)) + (ROUND(M141,4) &gt; INDEX('Tabela de ingredientes'!$O$1:$V$30, SWITCH(B141, "Gelatos de Leite", 8, "Sorbets", 11, "Gelatos de Leite com Fruta", 14, "Chocolate base água", 17, "Vegano", 20, "Alcoólicos", 23, "Zero", 26, "Gelatos Proteicos", 29, 8), 5)) + (ROUND(N141,4) &lt; INDEX('Tabela de ingredientes'!$O$1:$V$30, SWITCH(B141, "Gelatos de Leite", 7, "Sorbets", 10, "Gelatos de Leite com Fruta", 13, "Chocolate base água", 16, "Vegano", 19, "Alcoólicos", 22, "Zero", 25, "Gelatos Proteicos", 28, 7), 6)) + (ROUND(N141,4) &gt; INDEX('Tabela de ingredientes'!$O$1:$V$30, SWITCH(B141, "Gelatos de Leite", 8, "Sorbets", 11, "Gelatos de Leite com Fruta", 14, "Chocolate base água", 17, "Vegano", 20, "Alcoólicos", 23, "Zero", 26, "Gelatos Proteicos", 29, 8), 6)) + (ROUND(O141,4) &lt; INDEX('Tabela de ingredientes'!$O$1:$V$30, SWITCH(B141, "Gelatos de Leite", 7, "Sorbets", 10, "Gelatos de Leite com Fruta", 13, "Chocolate base água", 16, "Vegano", 19, "Alcoólicos", 22, "Zero", 25, "Gelatos Proteicos", 28, 7), 7)) + (ROUND(O141,4) &gt; INDEX('Tabela de ingredientes'!$O$1:$V$30, SWITCH(B141, "Gelatos de Leite", 8, "Sorbets", 11, "Gelatos de Leite com Fruta", 14, "Chocolate base água", 17, "Vegano", 20, "Alcoólicos", 23, "Zero", 26, "Gelatos Proteicos", 29, 8), 7)) + (ROUND(P141,4) &lt; INDEX('Tabela de ingredientes'!$O$1:$V$30, SWITCH(B141, "Gelatos de Leite", 7, "Sorbets", 10, "Gelatos de Leite com Fruta", 13, "Chocolate base água", 16, "Vegano", 19, "Alcoólicos", 22, "Zero", 25, "Gelatos Proteicos", 28, 7), 8)) + (ROUND(P141,4) &gt; INDEX('Tabela de ingredientes'!$O$1:$V$30, SWITCH(B141, "Gelatos de Leite", 8, "Sorbets", 11, "Gelatos de Leite com Fruta", 14, "Chocolate base água", 17, "Vegano", 20, "Alcoólicos", 23, "Zero", 26, "Gelatos Proteicos", 29, 8), 8)) + IF(B141="Gelatos Proteicos", (ROUND(Q141,4)&lt;'Tabela de ingredientes'!$W$28)+(ROUND(Q141,4)&gt;'Tabela de ingredientes'!$W$29), 0) = 0, "Ok", "Revisar"))</f>
        <v>Revisar</v>
      </c>
    </row>
    <row r="142">
      <c r="A142" s="39" t="str">
        <f>IFERROR(__xludf.DUMMYFUNCTION("""COMPUTED_VALUE"""),"Torta de Maçã Zero (Mix Zero)")</f>
        <v>Torta de Maçã Zero (Mix Zero)</v>
      </c>
      <c r="B142" s="39" t="s">
        <v>109</v>
      </c>
      <c r="C142" s="39">
        <v>5.0</v>
      </c>
      <c r="D142" s="39">
        <v>800.0</v>
      </c>
      <c r="E142" s="39" t="s">
        <v>630</v>
      </c>
      <c r="F142" s="69">
        <v>12.341312499999999</v>
      </c>
      <c r="G142" s="69">
        <v>0.74047875</v>
      </c>
      <c r="H142" s="69">
        <v>32.56731167218544</v>
      </c>
      <c r="I142" s="59">
        <v>0.07440625</v>
      </c>
      <c r="J142" s="59">
        <v>0.05443750000000001</v>
      </c>
      <c r="K142" s="59">
        <v>0.078625</v>
      </c>
      <c r="L142" s="59">
        <v>0.145228125</v>
      </c>
      <c r="M142" s="59">
        <v>0.352696875</v>
      </c>
      <c r="N142" s="59">
        <v>0.647303125</v>
      </c>
      <c r="O142" s="39">
        <v>114.475625</v>
      </c>
      <c r="P142" s="39">
        <v>301.2875</v>
      </c>
      <c r="Q142" s="59">
        <v>0.0300125</v>
      </c>
      <c r="R142" s="39">
        <v>12.0515</v>
      </c>
      <c r="S142" s="97" t="str">
        <f t="array" ref="S142">IF(A142="","", IF( (ROUND(I142,4) &lt; INDEX('Tabela de ingredientes'!$O$1:$V$30, SWITCH(B142, "Gelatos de Leite", 7, "Sorbets", 10, "Gelatos de Leite com Fruta", 13, "Chocolate base água", 16, "Vegano", 19, "Alcoólicos", 22, "Zero", 25, "Gelatos Proteicos", 28, 7), 1)) + (ROUND(I142,4) &gt; INDEX('Tabela de ingredientes'!$O$1:$V$30, SWITCH(B142, "Gelatos de Leite", 8, "Sorbets", 11, "Gelatos de Leite com Fruta", 14, "Chocolate base água", 17, "Vegano", 20, "Alcoólicos", 23, "Zero", 26, "Gelatos Proteicos", 29, 8), 1)) + (ROUND(J142,4) &lt; INDEX('Tabela de ingredientes'!$O$1:$V$30, SWITCH(B142, "Gelatos de Leite", 7, "Sorbets", 10, "Gelatos de Leite com Fruta", 13, "Chocolate base água", 16, "Vegano", 19, "Alcoólicos", 22, "Zero", 25, "Gelatos Proteicos", 28, 7), 2)) + (ROUND(J142,4) &gt; INDEX('Tabela de ingredientes'!$O$1:$V$30, SWITCH(B142, "Gelatos de Leite", 8, "Sorbets", 11, "Gelatos de Leite com Fruta", 14, "Chocolate base água", 17, "Vegano", 20, "Alcoólicos", 23, "Zero", 26, "Gelatos Proteicos", 29, 8), 2)) + (ROUND(K142,4) &lt; INDEX('Tabela de ingredientes'!$O$1:$V$30, SWITCH(B142, "Gelatos de Leite", 7, "Sorbets", 10, "Gelatos de Leite com Fruta", 13, "Chocolate base água", 16, "Vegano", 19, "Alcoólicos", 22, "Zero", 25, "Gelatos Proteicos", 28, 7), 3)) + (ROUND(K142,4) &gt; INDEX('Tabela de ingredientes'!$O$1:$V$30, SWITCH(B142, "Gelatos de Leite", 8, "Sorbets", 11, "Gelatos de Leite com Fruta", 14, "Chocolate base água", 17, "Vegano", 20, "Alcoólicos", 23, "Zero", 26, "Gelatos Proteicos", 29, 8), 3)) + (ROUND(L142,4) &lt; INDEX('Tabela de ingredientes'!$O$1:$V$30, SWITCH(B142, "Gelatos de Leite", 7, "Sorbets", 10, "Gelatos de Leite com Fruta", 13, "Chocolate base água", 16, "Vegano", 19, "Alcoólicos", 22, "Zero", 25, "Gelatos Proteicos", 28, 7), 4)) + (ROUND(L142,4) &gt; INDEX('Tabela de ingredientes'!$O$1:$V$30, SWITCH(B142, "Gelatos de Leite", 8, "Sorbets", 11, "Gelatos de Leite com Fruta", 14, "Chocolate base água", 17, "Vegano", 20, "Alcoólicos", 23, "Zero", 26, "Gelatos Proteicos", 29, 8), 4)) + (ROUND(M142,4) &lt; INDEX('Tabela de ingredientes'!$O$1:$V$30, SWITCH(B142, "Gelatos de Leite", 7, "Sorbets", 10, "Gelatos de Leite com Fruta", 13, "Chocolate base água", 16, "Vegano", 19, "Alcoólicos", 22, "Zero", 25, "Gelatos Proteicos", 28, 7), 5)) + (ROUND(M142,4) &gt; INDEX('Tabela de ingredientes'!$O$1:$V$30, SWITCH(B142, "Gelatos de Leite", 8, "Sorbets", 11, "Gelatos de Leite com Fruta", 14, "Chocolate base água", 17, "Vegano", 20, "Alcoólicos", 23, "Zero", 26, "Gelatos Proteicos", 29, 8), 5)) + (ROUND(N142,4) &lt; INDEX('Tabela de ingredientes'!$O$1:$V$30, SWITCH(B142, "Gelatos de Leite", 7, "Sorbets", 10, "Gelatos de Leite com Fruta", 13, "Chocolate base água", 16, "Vegano", 19, "Alcoólicos", 22, "Zero", 25, "Gelatos Proteicos", 28, 7), 6)) + (ROUND(N142,4) &gt; INDEX('Tabela de ingredientes'!$O$1:$V$30, SWITCH(B142, "Gelatos de Leite", 8, "Sorbets", 11, "Gelatos de Leite com Fruta", 14, "Chocolate base água", 17, "Vegano", 20, "Alcoólicos", 23, "Zero", 26, "Gelatos Proteicos", 29, 8), 6)) + (ROUND(O142,4) &lt; INDEX('Tabela de ingredientes'!$O$1:$V$30, SWITCH(B142, "Gelatos de Leite", 7, "Sorbets", 10, "Gelatos de Leite com Fruta", 13, "Chocolate base água", 16, "Vegano", 19, "Alcoólicos", 22, "Zero", 25, "Gelatos Proteicos", 28, 7), 7)) + (ROUND(O142,4) &gt; INDEX('Tabela de ingredientes'!$O$1:$V$30, SWITCH(B142, "Gelatos de Leite", 8, "Sorbets", 11, "Gelatos de Leite com Fruta", 14, "Chocolate base água", 17, "Vegano", 20, "Alcoólicos", 23, "Zero", 26, "Gelatos Proteicos", 29, 8), 7)) + (ROUND(P142,4) &lt; INDEX('Tabela de ingredientes'!$O$1:$V$30, SWITCH(B142, "Gelatos de Leite", 7, "Sorbets", 10, "Gelatos de Leite com Fruta", 13, "Chocolate base água", 16, "Vegano", 19, "Alcoólicos", 22, "Zero", 25, "Gelatos Proteicos", 28, 7), 8)) + (ROUND(P142,4) &gt; INDEX('Tabela de ingredientes'!$O$1:$V$30, SWITCH(B142, "Gelatos de Leite", 8, "Sorbets", 11, "Gelatos de Leite com Fruta", 14, "Chocolate base água", 17, "Vegano", 20, "Alcoólicos", 23, "Zero", 26, "Gelatos Proteicos", 29, 8), 8)) + IF(B142="Gelatos Proteicos", (ROUND(Q142,4)&lt;'Tabela de ingredientes'!$W$28)+(ROUND(Q142,4)&gt;'Tabela de ingredientes'!$W$29), 0) = 0, "Ok", "Revisar"))</f>
        <v>Ok</v>
      </c>
    </row>
    <row r="143">
      <c r="A143" s="39" t="str">
        <f>IFERROR(__xludf.DUMMYFUNCTION("""COMPUTED_VALUE"""),"Morango ao Leite Zero (Mix Zero)")</f>
        <v>Morango ao Leite Zero (Mix Zero)</v>
      </c>
      <c r="B143" s="39" t="s">
        <v>109</v>
      </c>
      <c r="C143" s="39">
        <v>5.0</v>
      </c>
      <c r="D143" s="39">
        <v>800.0</v>
      </c>
      <c r="E143" s="39" t="s">
        <v>630</v>
      </c>
      <c r="F143" s="69">
        <v>24.725749999999998</v>
      </c>
      <c r="G143" s="69">
        <v>1.483545</v>
      </c>
      <c r="H143" s="69">
        <v>42.81932947019868</v>
      </c>
      <c r="I143" s="59">
        <v>0.0663125</v>
      </c>
      <c r="J143" s="59">
        <v>0.05859375</v>
      </c>
      <c r="K143" s="59">
        <v>0.0915625</v>
      </c>
      <c r="L143" s="59">
        <v>0.1444875</v>
      </c>
      <c r="M143" s="59">
        <v>0.36095625</v>
      </c>
      <c r="N143" s="59">
        <v>0.63904375</v>
      </c>
      <c r="O143" s="39">
        <v>119.16125</v>
      </c>
      <c r="P143" s="39">
        <v>309.075</v>
      </c>
      <c r="Q143" s="59">
        <v>0.03973125</v>
      </c>
      <c r="R143" s="39">
        <v>12.363</v>
      </c>
      <c r="S143" s="97" t="str">
        <f t="array" ref="S143">IF(A143="","", IF( (ROUND(I143,4) &lt; INDEX('Tabela de ingredientes'!$O$1:$V$30, SWITCH(B143, "Gelatos de Leite", 7, "Sorbets", 10, "Gelatos de Leite com Fruta", 13, "Chocolate base água", 16, "Vegano", 19, "Alcoólicos", 22, "Zero", 25, "Gelatos Proteicos", 28, 7), 1)) + (ROUND(I143,4) &gt; INDEX('Tabela de ingredientes'!$O$1:$V$30, SWITCH(B143, "Gelatos de Leite", 8, "Sorbets", 11, "Gelatos de Leite com Fruta", 14, "Chocolate base água", 17, "Vegano", 20, "Alcoólicos", 23, "Zero", 26, "Gelatos Proteicos", 29, 8), 1)) + (ROUND(J143,4) &lt; INDEX('Tabela de ingredientes'!$O$1:$V$30, SWITCH(B143, "Gelatos de Leite", 7, "Sorbets", 10, "Gelatos de Leite com Fruta", 13, "Chocolate base água", 16, "Vegano", 19, "Alcoólicos", 22, "Zero", 25, "Gelatos Proteicos", 28, 7), 2)) + (ROUND(J143,4) &gt; INDEX('Tabela de ingredientes'!$O$1:$V$30, SWITCH(B143, "Gelatos de Leite", 8, "Sorbets", 11, "Gelatos de Leite com Fruta", 14, "Chocolate base água", 17, "Vegano", 20, "Alcoólicos", 23, "Zero", 26, "Gelatos Proteicos", 29, 8), 2)) + (ROUND(K143,4) &lt; INDEX('Tabela de ingredientes'!$O$1:$V$30, SWITCH(B143, "Gelatos de Leite", 7, "Sorbets", 10, "Gelatos de Leite com Fruta", 13, "Chocolate base água", 16, "Vegano", 19, "Alcoólicos", 22, "Zero", 25, "Gelatos Proteicos", 28, 7), 3)) + (ROUND(K143,4) &gt; INDEX('Tabela de ingredientes'!$O$1:$V$30, SWITCH(B143, "Gelatos de Leite", 8, "Sorbets", 11, "Gelatos de Leite com Fruta", 14, "Chocolate base água", 17, "Vegano", 20, "Alcoólicos", 23, "Zero", 26, "Gelatos Proteicos", 29, 8), 3)) + (ROUND(L143,4) &lt; INDEX('Tabela de ingredientes'!$O$1:$V$30, SWITCH(B143, "Gelatos de Leite", 7, "Sorbets", 10, "Gelatos de Leite com Fruta", 13, "Chocolate base água", 16, "Vegano", 19, "Alcoólicos", 22, "Zero", 25, "Gelatos Proteicos", 28, 7), 4)) + (ROUND(L143,4) &gt; INDEX('Tabela de ingredientes'!$O$1:$V$30, SWITCH(B143, "Gelatos de Leite", 8, "Sorbets", 11, "Gelatos de Leite com Fruta", 14, "Chocolate base água", 17, "Vegano", 20, "Alcoólicos", 23, "Zero", 26, "Gelatos Proteicos", 29, 8), 4)) + (ROUND(M143,4) &lt; INDEX('Tabela de ingredientes'!$O$1:$V$30, SWITCH(B143, "Gelatos de Leite", 7, "Sorbets", 10, "Gelatos de Leite com Fruta", 13, "Chocolate base água", 16, "Vegano", 19, "Alcoólicos", 22, "Zero", 25, "Gelatos Proteicos", 28, 7), 5)) + (ROUND(M143,4) &gt; INDEX('Tabela de ingredientes'!$O$1:$V$30, SWITCH(B143, "Gelatos de Leite", 8, "Sorbets", 11, "Gelatos de Leite com Fruta", 14, "Chocolate base água", 17, "Vegano", 20, "Alcoólicos", 23, "Zero", 26, "Gelatos Proteicos", 29, 8), 5)) + (ROUND(N143,4) &lt; INDEX('Tabela de ingredientes'!$O$1:$V$30, SWITCH(B143, "Gelatos de Leite", 7, "Sorbets", 10, "Gelatos de Leite com Fruta", 13, "Chocolate base água", 16, "Vegano", 19, "Alcoólicos", 22, "Zero", 25, "Gelatos Proteicos", 28, 7), 6)) + (ROUND(N143,4) &gt; INDEX('Tabela de ingredientes'!$O$1:$V$30, SWITCH(B143, "Gelatos de Leite", 8, "Sorbets", 11, "Gelatos de Leite com Fruta", 14, "Chocolate base água", 17, "Vegano", 20, "Alcoólicos", 23, "Zero", 26, "Gelatos Proteicos", 29, 8), 6)) + (ROUND(O143,4) &lt; INDEX('Tabela de ingredientes'!$O$1:$V$30, SWITCH(B143, "Gelatos de Leite", 7, "Sorbets", 10, "Gelatos de Leite com Fruta", 13, "Chocolate base água", 16, "Vegano", 19, "Alcoólicos", 22, "Zero", 25, "Gelatos Proteicos", 28, 7), 7)) + (ROUND(O143,4) &gt; INDEX('Tabela de ingredientes'!$O$1:$V$30, SWITCH(B143, "Gelatos de Leite", 8, "Sorbets", 11, "Gelatos de Leite com Fruta", 14, "Chocolate base água", 17, "Vegano", 20, "Alcoólicos", 23, "Zero", 26, "Gelatos Proteicos", 29, 8), 7)) + (ROUND(P143,4) &lt; INDEX('Tabela de ingredientes'!$O$1:$V$30, SWITCH(B143, "Gelatos de Leite", 7, "Sorbets", 10, "Gelatos de Leite com Fruta", 13, "Chocolate base água", 16, "Vegano", 19, "Alcoólicos", 22, "Zero", 25, "Gelatos Proteicos", 28, 7), 8)) + (ROUND(P143,4) &gt; INDEX('Tabela de ingredientes'!$O$1:$V$30, SWITCH(B143, "Gelatos de Leite", 8, "Sorbets", 11, "Gelatos de Leite com Fruta", 14, "Chocolate base água", 17, "Vegano", 20, "Alcoólicos", 23, "Zero", 26, "Gelatos Proteicos", 29, 8), 8)) + IF(B143="Gelatos Proteicos", (ROUND(Q143,4)&lt;'Tabela de ingredientes'!$W$28)+(ROUND(Q143,4)&gt;'Tabela de ingredientes'!$W$29), 0) = 0, "Ok", "Revisar"))</f>
        <v>Ok</v>
      </c>
    </row>
    <row r="144">
      <c r="A144" s="39" t="str">
        <f>IFERROR(__xludf.DUMMYFUNCTION("""COMPUTED_VALUE"""),"Sorbet de Cupuaçu Zero (Mix Zero)")</f>
        <v>Sorbet de Cupuaçu Zero (Mix Zero)</v>
      </c>
      <c r="B144" s="39" t="s">
        <v>109</v>
      </c>
      <c r="C144" s="39">
        <v>3.0</v>
      </c>
      <c r="D144" s="39">
        <v>1000.0</v>
      </c>
      <c r="E144" s="39" t="s">
        <v>171</v>
      </c>
      <c r="F144" s="69">
        <v>24.6363</v>
      </c>
      <c r="G144" s="69">
        <v>1.4781779999999998</v>
      </c>
      <c r="H144" s="69">
        <v>42.74528145695365</v>
      </c>
      <c r="I144" s="59">
        <v>0.09615</v>
      </c>
      <c r="J144" s="59">
        <v>0.005</v>
      </c>
      <c r="K144" s="59">
        <v>0.0</v>
      </c>
      <c r="L144" s="59">
        <v>0.213995</v>
      </c>
      <c r="M144" s="59">
        <v>0.315145</v>
      </c>
      <c r="N144" s="59">
        <v>0.684855</v>
      </c>
      <c r="O144" s="39">
        <v>142.57299999999998</v>
      </c>
      <c r="P144" s="39">
        <v>369.68</v>
      </c>
      <c r="Q144" s="59">
        <v>0.005</v>
      </c>
      <c r="R144" s="39">
        <v>14.7872</v>
      </c>
      <c r="S144" s="97" t="str">
        <f t="array" ref="S144">IF(A144="","", IF( (ROUND(I144,4) &lt; INDEX('Tabela de ingredientes'!$O$1:$V$30, SWITCH(B144, "Gelatos de Leite", 7, "Sorbets", 10, "Gelatos de Leite com Fruta", 13, "Chocolate base água", 16, "Vegano", 19, "Alcoólicos", 22, "Zero", 25, "Gelatos Proteicos", 28, 7), 1)) + (ROUND(I144,4) &gt; INDEX('Tabela de ingredientes'!$O$1:$V$30, SWITCH(B144, "Gelatos de Leite", 8, "Sorbets", 11, "Gelatos de Leite com Fruta", 14, "Chocolate base água", 17, "Vegano", 20, "Alcoólicos", 23, "Zero", 26, "Gelatos Proteicos", 29, 8), 1)) + (ROUND(J144,4) &lt; INDEX('Tabela de ingredientes'!$O$1:$V$30, SWITCH(B144, "Gelatos de Leite", 7, "Sorbets", 10, "Gelatos de Leite com Fruta", 13, "Chocolate base água", 16, "Vegano", 19, "Alcoólicos", 22, "Zero", 25, "Gelatos Proteicos", 28, 7), 2)) + (ROUND(J144,4) &gt; INDEX('Tabela de ingredientes'!$O$1:$V$30, SWITCH(B144, "Gelatos de Leite", 8, "Sorbets", 11, "Gelatos de Leite com Fruta", 14, "Chocolate base água", 17, "Vegano", 20, "Alcoólicos", 23, "Zero", 26, "Gelatos Proteicos", 29, 8), 2)) + (ROUND(K144,4) &lt; INDEX('Tabela de ingredientes'!$O$1:$V$30, SWITCH(B144, "Gelatos de Leite", 7, "Sorbets", 10, "Gelatos de Leite com Fruta", 13, "Chocolate base água", 16, "Vegano", 19, "Alcoólicos", 22, "Zero", 25, "Gelatos Proteicos", 28, 7), 3)) + (ROUND(K144,4) &gt; INDEX('Tabela de ingredientes'!$O$1:$V$30, SWITCH(B144, "Gelatos de Leite", 8, "Sorbets", 11, "Gelatos de Leite com Fruta", 14, "Chocolate base água", 17, "Vegano", 20, "Alcoólicos", 23, "Zero", 26, "Gelatos Proteicos", 29, 8), 3)) + (ROUND(L144,4) &lt; INDEX('Tabela de ingredientes'!$O$1:$V$30, SWITCH(B144, "Gelatos de Leite", 7, "Sorbets", 10, "Gelatos de Leite com Fruta", 13, "Chocolate base água", 16, "Vegano", 19, "Alcoólicos", 22, "Zero", 25, "Gelatos Proteicos", 28, 7), 4)) + (ROUND(L144,4) &gt; INDEX('Tabela de ingredientes'!$O$1:$V$30, SWITCH(B144, "Gelatos de Leite", 8, "Sorbets", 11, "Gelatos de Leite com Fruta", 14, "Chocolate base água", 17, "Vegano", 20, "Alcoólicos", 23, "Zero", 26, "Gelatos Proteicos", 29, 8), 4)) + (ROUND(M144,4) &lt; INDEX('Tabela de ingredientes'!$O$1:$V$30, SWITCH(B144, "Gelatos de Leite", 7, "Sorbets", 10, "Gelatos de Leite com Fruta", 13, "Chocolate base água", 16, "Vegano", 19, "Alcoólicos", 22, "Zero", 25, "Gelatos Proteicos", 28, 7), 5)) + (ROUND(M144,4) &gt; INDEX('Tabela de ingredientes'!$O$1:$V$30, SWITCH(B144, "Gelatos de Leite", 8, "Sorbets", 11, "Gelatos de Leite com Fruta", 14, "Chocolate base água", 17, "Vegano", 20, "Alcoólicos", 23, "Zero", 26, "Gelatos Proteicos", 29, 8), 5)) + (ROUND(N144,4) &lt; INDEX('Tabela de ingredientes'!$O$1:$V$30, SWITCH(B144, "Gelatos de Leite", 7, "Sorbets", 10, "Gelatos de Leite com Fruta", 13, "Chocolate base água", 16, "Vegano", 19, "Alcoólicos", 22, "Zero", 25, "Gelatos Proteicos", 28, 7), 6)) + (ROUND(N144,4) &gt; INDEX('Tabela de ingredientes'!$O$1:$V$30, SWITCH(B144, "Gelatos de Leite", 8, "Sorbets", 11, "Gelatos de Leite com Fruta", 14, "Chocolate base água", 17, "Vegano", 20, "Alcoólicos", 23, "Zero", 26, "Gelatos Proteicos", 29, 8), 6)) + (ROUND(O144,4) &lt; INDEX('Tabela de ingredientes'!$O$1:$V$30, SWITCH(B144, "Gelatos de Leite", 7, "Sorbets", 10, "Gelatos de Leite com Fruta", 13, "Chocolate base água", 16, "Vegano", 19, "Alcoólicos", 22, "Zero", 25, "Gelatos Proteicos", 28, 7), 7)) + (ROUND(O144,4) &gt; INDEX('Tabela de ingredientes'!$O$1:$V$30, SWITCH(B144, "Gelatos de Leite", 8, "Sorbets", 11, "Gelatos de Leite com Fruta", 14, "Chocolate base água", 17, "Vegano", 20, "Alcoólicos", 23, "Zero", 26, "Gelatos Proteicos", 29, 8), 7)) + (ROUND(P144,4) &lt; INDEX('Tabela de ingredientes'!$O$1:$V$30, SWITCH(B144, "Gelatos de Leite", 7, "Sorbets", 10, "Gelatos de Leite com Fruta", 13, "Chocolate base água", 16, "Vegano", 19, "Alcoólicos", 22, "Zero", 25, "Gelatos Proteicos", 28, 7), 8)) + (ROUND(P144,4) &gt; INDEX('Tabela de ingredientes'!$O$1:$V$30, SWITCH(B144, "Gelatos de Leite", 8, "Sorbets", 11, "Gelatos de Leite com Fruta", 14, "Chocolate base água", 17, "Vegano", 20, "Alcoólicos", 23, "Zero", 26, "Gelatos Proteicos", 29, 8), 8)) + IF(B144="Gelatos Proteicos", (ROUND(Q144,4)&lt;'Tabela de ingredientes'!$W$28)+(ROUND(Q144,4)&gt;'Tabela de ingredientes'!$W$29), 0) = 0, "Ok", "Revisar"))</f>
        <v>Ok</v>
      </c>
    </row>
    <row r="145">
      <c r="A145" s="39" t="str">
        <f>IFERROR(__xludf.DUMMYFUNCTION("""COMPUTED_VALUE"""),"Sorbet de Limão Taiti Zero (Mix Zero)")</f>
        <v>Sorbet de Limão Taiti Zero (Mix Zero)</v>
      </c>
      <c r="B145" s="39" t="s">
        <v>109</v>
      </c>
      <c r="C145" s="39">
        <v>3.0</v>
      </c>
      <c r="D145" s="39">
        <v>1000.0</v>
      </c>
      <c r="E145" s="39" t="s">
        <v>171</v>
      </c>
      <c r="F145" s="69">
        <v>9.636299999999999</v>
      </c>
      <c r="G145" s="69">
        <v>0.5781779999999999</v>
      </c>
      <c r="H145" s="69">
        <v>30.32806291390729</v>
      </c>
      <c r="I145" s="59">
        <v>0.08615</v>
      </c>
      <c r="J145" s="59">
        <v>0.0</v>
      </c>
      <c r="K145" s="59">
        <v>0.0</v>
      </c>
      <c r="L145" s="59">
        <v>0.216495</v>
      </c>
      <c r="M145" s="59">
        <v>0.302645</v>
      </c>
      <c r="N145" s="59">
        <v>0.697355</v>
      </c>
      <c r="O145" s="39">
        <v>126.573</v>
      </c>
      <c r="P145" s="39">
        <v>348.68</v>
      </c>
      <c r="Q145" s="59">
        <v>0.0</v>
      </c>
      <c r="R145" s="39">
        <v>13.9472</v>
      </c>
      <c r="S145" s="97" t="str">
        <f t="array" ref="S145">IF(A145="","", IF( (ROUND(I145,4) &lt; INDEX('Tabela de ingredientes'!$O$1:$V$30, SWITCH(B145, "Gelatos de Leite", 7, "Sorbets", 10, "Gelatos de Leite com Fruta", 13, "Chocolate base água", 16, "Vegano", 19, "Alcoólicos", 22, "Zero", 25, "Gelatos Proteicos", 28, 7), 1)) + (ROUND(I145,4) &gt; INDEX('Tabela de ingredientes'!$O$1:$V$30, SWITCH(B145, "Gelatos de Leite", 8, "Sorbets", 11, "Gelatos de Leite com Fruta", 14, "Chocolate base água", 17, "Vegano", 20, "Alcoólicos", 23, "Zero", 26, "Gelatos Proteicos", 29, 8), 1)) + (ROUND(J145,4) &lt; INDEX('Tabela de ingredientes'!$O$1:$V$30, SWITCH(B145, "Gelatos de Leite", 7, "Sorbets", 10, "Gelatos de Leite com Fruta", 13, "Chocolate base água", 16, "Vegano", 19, "Alcoólicos", 22, "Zero", 25, "Gelatos Proteicos", 28, 7), 2)) + (ROUND(J145,4) &gt; INDEX('Tabela de ingredientes'!$O$1:$V$30, SWITCH(B145, "Gelatos de Leite", 8, "Sorbets", 11, "Gelatos de Leite com Fruta", 14, "Chocolate base água", 17, "Vegano", 20, "Alcoólicos", 23, "Zero", 26, "Gelatos Proteicos", 29, 8), 2)) + (ROUND(K145,4) &lt; INDEX('Tabela de ingredientes'!$O$1:$V$30, SWITCH(B145, "Gelatos de Leite", 7, "Sorbets", 10, "Gelatos de Leite com Fruta", 13, "Chocolate base água", 16, "Vegano", 19, "Alcoólicos", 22, "Zero", 25, "Gelatos Proteicos", 28, 7), 3)) + (ROUND(K145,4) &gt; INDEX('Tabela de ingredientes'!$O$1:$V$30, SWITCH(B145, "Gelatos de Leite", 8, "Sorbets", 11, "Gelatos de Leite com Fruta", 14, "Chocolate base água", 17, "Vegano", 20, "Alcoólicos", 23, "Zero", 26, "Gelatos Proteicos", 29, 8), 3)) + (ROUND(L145,4) &lt; INDEX('Tabela de ingredientes'!$O$1:$V$30, SWITCH(B145, "Gelatos de Leite", 7, "Sorbets", 10, "Gelatos de Leite com Fruta", 13, "Chocolate base água", 16, "Vegano", 19, "Alcoólicos", 22, "Zero", 25, "Gelatos Proteicos", 28, 7), 4)) + (ROUND(L145,4) &gt; INDEX('Tabela de ingredientes'!$O$1:$V$30, SWITCH(B145, "Gelatos de Leite", 8, "Sorbets", 11, "Gelatos de Leite com Fruta", 14, "Chocolate base água", 17, "Vegano", 20, "Alcoólicos", 23, "Zero", 26, "Gelatos Proteicos", 29, 8), 4)) + (ROUND(M145,4) &lt; INDEX('Tabela de ingredientes'!$O$1:$V$30, SWITCH(B145, "Gelatos de Leite", 7, "Sorbets", 10, "Gelatos de Leite com Fruta", 13, "Chocolate base água", 16, "Vegano", 19, "Alcoólicos", 22, "Zero", 25, "Gelatos Proteicos", 28, 7), 5)) + (ROUND(M145,4) &gt; INDEX('Tabela de ingredientes'!$O$1:$V$30, SWITCH(B145, "Gelatos de Leite", 8, "Sorbets", 11, "Gelatos de Leite com Fruta", 14, "Chocolate base água", 17, "Vegano", 20, "Alcoólicos", 23, "Zero", 26, "Gelatos Proteicos", 29, 8), 5)) + (ROUND(N145,4) &lt; INDEX('Tabela de ingredientes'!$O$1:$V$30, SWITCH(B145, "Gelatos de Leite", 7, "Sorbets", 10, "Gelatos de Leite com Fruta", 13, "Chocolate base água", 16, "Vegano", 19, "Alcoólicos", 22, "Zero", 25, "Gelatos Proteicos", 28, 7), 6)) + (ROUND(N145,4) &gt; INDEX('Tabela de ingredientes'!$O$1:$V$30, SWITCH(B145, "Gelatos de Leite", 8, "Sorbets", 11, "Gelatos de Leite com Fruta", 14, "Chocolate base água", 17, "Vegano", 20, "Alcoólicos", 23, "Zero", 26, "Gelatos Proteicos", 29, 8), 6)) + (ROUND(O145,4) &lt; INDEX('Tabela de ingredientes'!$O$1:$V$30, SWITCH(B145, "Gelatos de Leite", 7, "Sorbets", 10, "Gelatos de Leite com Fruta", 13, "Chocolate base água", 16, "Vegano", 19, "Alcoólicos", 22, "Zero", 25, "Gelatos Proteicos", 28, 7), 7)) + (ROUND(O145,4) &gt; INDEX('Tabela de ingredientes'!$O$1:$V$30, SWITCH(B145, "Gelatos de Leite", 8, "Sorbets", 11, "Gelatos de Leite com Fruta", 14, "Chocolate base água", 17, "Vegano", 20, "Alcoólicos", 23, "Zero", 26, "Gelatos Proteicos", 29, 8), 7)) + (ROUND(P145,4) &lt; INDEX('Tabela de ingredientes'!$O$1:$V$30, SWITCH(B145, "Gelatos de Leite", 7, "Sorbets", 10, "Gelatos de Leite com Fruta", 13, "Chocolate base água", 16, "Vegano", 19, "Alcoólicos", 22, "Zero", 25, "Gelatos Proteicos", 28, 7), 8)) + (ROUND(P145,4) &gt; INDEX('Tabela de ingredientes'!$O$1:$V$30, SWITCH(B145, "Gelatos de Leite", 8, "Sorbets", 11, "Gelatos de Leite com Fruta", 14, "Chocolate base água", 17, "Vegano", 20, "Alcoólicos", 23, "Zero", 26, "Gelatos Proteicos", 29, 8), 8)) + IF(B145="Gelatos Proteicos", (ROUND(Q145,4)&lt;'Tabela de ingredientes'!$W$28)+(ROUND(Q145,4)&gt;'Tabela de ingredientes'!$W$29), 0) = 0, "Ok", "Revisar"))</f>
        <v>Ok</v>
      </c>
    </row>
    <row r="146">
      <c r="A146" s="39" t="str">
        <f>IFERROR(__xludf.DUMMYFUNCTION("""COMPUTED_VALUE"""),"Sorbet de Manga com Maracujá Zero (Mix Zero)")</f>
        <v>Sorbet de Manga com Maracujá Zero (Mix Zero)</v>
      </c>
      <c r="B146" s="39" t="s">
        <v>109</v>
      </c>
      <c r="C146" s="39">
        <v>4.0</v>
      </c>
      <c r="D146" s="39">
        <v>1000.0</v>
      </c>
      <c r="E146" s="39" t="s">
        <v>171</v>
      </c>
      <c r="F146" s="69">
        <v>8.565599999999998</v>
      </c>
      <c r="G146" s="69">
        <v>0.5139359999999998</v>
      </c>
      <c r="H146" s="69">
        <v>29.44172185430464</v>
      </c>
      <c r="I146" s="59">
        <v>0.1248</v>
      </c>
      <c r="J146" s="59">
        <v>0.0</v>
      </c>
      <c r="K146" s="59">
        <v>0.0</v>
      </c>
      <c r="L146" s="59">
        <v>0.19644</v>
      </c>
      <c r="M146" s="59">
        <v>0.32123999999999997</v>
      </c>
      <c r="N146" s="59">
        <v>0.67876</v>
      </c>
      <c r="O146" s="39">
        <v>165.176</v>
      </c>
      <c r="P146" s="39">
        <v>388.15999999999997</v>
      </c>
      <c r="Q146" s="59">
        <v>0.0046</v>
      </c>
      <c r="R146" s="39">
        <v>15.526399999999999</v>
      </c>
      <c r="S146" s="97" t="str">
        <f t="array" ref="S146">IF(A146="","", IF( (ROUND(I146,4) &lt; INDEX('Tabela de ingredientes'!$O$1:$V$30, SWITCH(B146, "Gelatos de Leite", 7, "Sorbets", 10, "Gelatos de Leite com Fruta", 13, "Chocolate base água", 16, "Vegano", 19, "Alcoólicos", 22, "Zero", 25, "Gelatos Proteicos", 28, 7), 1)) + (ROUND(I146,4) &gt; INDEX('Tabela de ingredientes'!$O$1:$V$30, SWITCH(B146, "Gelatos de Leite", 8, "Sorbets", 11, "Gelatos de Leite com Fruta", 14, "Chocolate base água", 17, "Vegano", 20, "Alcoólicos", 23, "Zero", 26, "Gelatos Proteicos", 29, 8), 1)) + (ROUND(J146,4) &lt; INDEX('Tabela de ingredientes'!$O$1:$V$30, SWITCH(B146, "Gelatos de Leite", 7, "Sorbets", 10, "Gelatos de Leite com Fruta", 13, "Chocolate base água", 16, "Vegano", 19, "Alcoólicos", 22, "Zero", 25, "Gelatos Proteicos", 28, 7), 2)) + (ROUND(J146,4) &gt; INDEX('Tabela de ingredientes'!$O$1:$V$30, SWITCH(B146, "Gelatos de Leite", 8, "Sorbets", 11, "Gelatos de Leite com Fruta", 14, "Chocolate base água", 17, "Vegano", 20, "Alcoólicos", 23, "Zero", 26, "Gelatos Proteicos", 29, 8), 2)) + (ROUND(K146,4) &lt; INDEX('Tabela de ingredientes'!$O$1:$V$30, SWITCH(B146, "Gelatos de Leite", 7, "Sorbets", 10, "Gelatos de Leite com Fruta", 13, "Chocolate base água", 16, "Vegano", 19, "Alcoólicos", 22, "Zero", 25, "Gelatos Proteicos", 28, 7), 3)) + (ROUND(K146,4) &gt; INDEX('Tabela de ingredientes'!$O$1:$V$30, SWITCH(B146, "Gelatos de Leite", 8, "Sorbets", 11, "Gelatos de Leite com Fruta", 14, "Chocolate base água", 17, "Vegano", 20, "Alcoólicos", 23, "Zero", 26, "Gelatos Proteicos", 29, 8), 3)) + (ROUND(L146,4) &lt; INDEX('Tabela de ingredientes'!$O$1:$V$30, SWITCH(B146, "Gelatos de Leite", 7, "Sorbets", 10, "Gelatos de Leite com Fruta", 13, "Chocolate base água", 16, "Vegano", 19, "Alcoólicos", 22, "Zero", 25, "Gelatos Proteicos", 28, 7), 4)) + (ROUND(L146,4) &gt; INDEX('Tabela de ingredientes'!$O$1:$V$30, SWITCH(B146, "Gelatos de Leite", 8, "Sorbets", 11, "Gelatos de Leite com Fruta", 14, "Chocolate base água", 17, "Vegano", 20, "Alcoólicos", 23, "Zero", 26, "Gelatos Proteicos", 29, 8), 4)) + (ROUND(M146,4) &lt; INDEX('Tabela de ingredientes'!$O$1:$V$30, SWITCH(B146, "Gelatos de Leite", 7, "Sorbets", 10, "Gelatos de Leite com Fruta", 13, "Chocolate base água", 16, "Vegano", 19, "Alcoólicos", 22, "Zero", 25, "Gelatos Proteicos", 28, 7), 5)) + (ROUND(M146,4) &gt; INDEX('Tabela de ingredientes'!$O$1:$V$30, SWITCH(B146, "Gelatos de Leite", 8, "Sorbets", 11, "Gelatos de Leite com Fruta", 14, "Chocolate base água", 17, "Vegano", 20, "Alcoólicos", 23, "Zero", 26, "Gelatos Proteicos", 29, 8), 5)) + (ROUND(N146,4) &lt; INDEX('Tabela de ingredientes'!$O$1:$V$30, SWITCH(B146, "Gelatos de Leite", 7, "Sorbets", 10, "Gelatos de Leite com Fruta", 13, "Chocolate base água", 16, "Vegano", 19, "Alcoólicos", 22, "Zero", 25, "Gelatos Proteicos", 28, 7), 6)) + (ROUND(N146,4) &gt; INDEX('Tabela de ingredientes'!$O$1:$V$30, SWITCH(B146, "Gelatos de Leite", 8, "Sorbets", 11, "Gelatos de Leite com Fruta", 14, "Chocolate base água", 17, "Vegano", 20, "Alcoólicos", 23, "Zero", 26, "Gelatos Proteicos", 29, 8), 6)) + (ROUND(O146,4) &lt; INDEX('Tabela de ingredientes'!$O$1:$V$30, SWITCH(B146, "Gelatos de Leite", 7, "Sorbets", 10, "Gelatos de Leite com Fruta", 13, "Chocolate base água", 16, "Vegano", 19, "Alcoólicos", 22, "Zero", 25, "Gelatos Proteicos", 28, 7), 7)) + (ROUND(O146,4) &gt; INDEX('Tabela de ingredientes'!$O$1:$V$30, SWITCH(B146, "Gelatos de Leite", 8, "Sorbets", 11, "Gelatos de Leite com Fruta", 14, "Chocolate base água", 17, "Vegano", 20, "Alcoólicos", 23, "Zero", 26, "Gelatos Proteicos", 29, 8), 7)) + (ROUND(P146,4) &lt; INDEX('Tabela de ingredientes'!$O$1:$V$30, SWITCH(B146, "Gelatos de Leite", 7, "Sorbets", 10, "Gelatos de Leite com Fruta", 13, "Chocolate base água", 16, "Vegano", 19, "Alcoólicos", 22, "Zero", 25, "Gelatos Proteicos", 28, 7), 8)) + (ROUND(P146,4) &gt; INDEX('Tabela de ingredientes'!$O$1:$V$30, SWITCH(B146, "Gelatos de Leite", 8, "Sorbets", 11, "Gelatos de Leite com Fruta", 14, "Chocolate base água", 17, "Vegano", 20, "Alcoólicos", 23, "Zero", 26, "Gelatos Proteicos", 29, 8), 8)) + IF(B146="Gelatos Proteicos", (ROUND(Q146,4)&lt;'Tabela de ingredientes'!$W$28)+(ROUND(Q146,4)&gt;'Tabela de ingredientes'!$W$29), 0) = 0, "Ok", "Revisar"))</f>
        <v>Ok</v>
      </c>
    </row>
    <row r="147">
      <c r="A147" s="39" t="str">
        <f>IFERROR(__xludf.DUMMYFUNCTION("""COMPUTED_VALUE"""),"Sorbet de Açaí Zero (Mix Zero)")</f>
        <v>Sorbet de Açaí Zero (Mix Zero)</v>
      </c>
      <c r="B147" s="39" t="s">
        <v>109</v>
      </c>
      <c r="C147" s="39">
        <v>4.0</v>
      </c>
      <c r="D147" s="39">
        <v>1000.0</v>
      </c>
      <c r="E147" s="39" t="s">
        <v>171</v>
      </c>
      <c r="F147" s="69">
        <v>29.1825</v>
      </c>
      <c r="G147" s="69">
        <v>1.75095</v>
      </c>
      <c r="H147" s="69">
        <v>46.508692052980145</v>
      </c>
      <c r="I147" s="59">
        <v>0.08165</v>
      </c>
      <c r="J147" s="59">
        <v>0.035</v>
      </c>
      <c r="K147" s="59">
        <v>0.0</v>
      </c>
      <c r="L147" s="59">
        <v>0.20082499999999998</v>
      </c>
      <c r="M147" s="59">
        <v>0.31747499999999995</v>
      </c>
      <c r="N147" s="59">
        <v>0.682525</v>
      </c>
      <c r="O147" s="39">
        <v>119.57499999999999</v>
      </c>
      <c r="P147" s="39">
        <v>334.64</v>
      </c>
      <c r="Q147" s="59">
        <v>0.0045</v>
      </c>
      <c r="R147" s="39">
        <v>13.3856</v>
      </c>
      <c r="S147" s="97" t="str">
        <f t="array" ref="S147">IF(A147="","", IF( (ROUND(I147,4) &lt; INDEX('Tabela de ingredientes'!$O$1:$V$30, SWITCH(B147, "Gelatos de Leite", 7, "Sorbets", 10, "Gelatos de Leite com Fruta", 13, "Chocolate base água", 16, "Vegano", 19, "Alcoólicos", 22, "Zero", 25, "Gelatos Proteicos", 28, 7), 1)) + (ROUND(I147,4) &gt; INDEX('Tabela de ingredientes'!$O$1:$V$30, SWITCH(B147, "Gelatos de Leite", 8, "Sorbets", 11, "Gelatos de Leite com Fruta", 14, "Chocolate base água", 17, "Vegano", 20, "Alcoólicos", 23, "Zero", 26, "Gelatos Proteicos", 29, 8), 1)) + (ROUND(J147,4) &lt; INDEX('Tabela de ingredientes'!$O$1:$V$30, SWITCH(B147, "Gelatos de Leite", 7, "Sorbets", 10, "Gelatos de Leite com Fruta", 13, "Chocolate base água", 16, "Vegano", 19, "Alcoólicos", 22, "Zero", 25, "Gelatos Proteicos", 28, 7), 2)) + (ROUND(J147,4) &gt; INDEX('Tabela de ingredientes'!$O$1:$V$30, SWITCH(B147, "Gelatos de Leite", 8, "Sorbets", 11, "Gelatos de Leite com Fruta", 14, "Chocolate base água", 17, "Vegano", 20, "Alcoólicos", 23, "Zero", 26, "Gelatos Proteicos", 29, 8), 2)) + (ROUND(K147,4) &lt; INDEX('Tabela de ingredientes'!$O$1:$V$30, SWITCH(B147, "Gelatos de Leite", 7, "Sorbets", 10, "Gelatos de Leite com Fruta", 13, "Chocolate base água", 16, "Vegano", 19, "Alcoólicos", 22, "Zero", 25, "Gelatos Proteicos", 28, 7), 3)) + (ROUND(K147,4) &gt; INDEX('Tabela de ingredientes'!$O$1:$V$30, SWITCH(B147, "Gelatos de Leite", 8, "Sorbets", 11, "Gelatos de Leite com Fruta", 14, "Chocolate base água", 17, "Vegano", 20, "Alcoólicos", 23, "Zero", 26, "Gelatos Proteicos", 29, 8), 3)) + (ROUND(L147,4) &lt; INDEX('Tabela de ingredientes'!$O$1:$V$30, SWITCH(B147, "Gelatos de Leite", 7, "Sorbets", 10, "Gelatos de Leite com Fruta", 13, "Chocolate base água", 16, "Vegano", 19, "Alcoólicos", 22, "Zero", 25, "Gelatos Proteicos", 28, 7), 4)) + (ROUND(L147,4) &gt; INDEX('Tabela de ingredientes'!$O$1:$V$30, SWITCH(B147, "Gelatos de Leite", 8, "Sorbets", 11, "Gelatos de Leite com Fruta", 14, "Chocolate base água", 17, "Vegano", 20, "Alcoólicos", 23, "Zero", 26, "Gelatos Proteicos", 29, 8), 4)) + (ROUND(M147,4) &lt; INDEX('Tabela de ingredientes'!$O$1:$V$30, SWITCH(B147, "Gelatos de Leite", 7, "Sorbets", 10, "Gelatos de Leite com Fruta", 13, "Chocolate base água", 16, "Vegano", 19, "Alcoólicos", 22, "Zero", 25, "Gelatos Proteicos", 28, 7), 5)) + (ROUND(M147,4) &gt; INDEX('Tabela de ingredientes'!$O$1:$V$30, SWITCH(B147, "Gelatos de Leite", 8, "Sorbets", 11, "Gelatos de Leite com Fruta", 14, "Chocolate base água", 17, "Vegano", 20, "Alcoólicos", 23, "Zero", 26, "Gelatos Proteicos", 29, 8), 5)) + (ROUND(N147,4) &lt; INDEX('Tabela de ingredientes'!$O$1:$V$30, SWITCH(B147, "Gelatos de Leite", 7, "Sorbets", 10, "Gelatos de Leite com Fruta", 13, "Chocolate base água", 16, "Vegano", 19, "Alcoólicos", 22, "Zero", 25, "Gelatos Proteicos", 28, 7), 6)) + (ROUND(N147,4) &gt; INDEX('Tabela de ingredientes'!$O$1:$V$30, SWITCH(B147, "Gelatos de Leite", 8, "Sorbets", 11, "Gelatos de Leite com Fruta", 14, "Chocolate base água", 17, "Vegano", 20, "Alcoólicos", 23, "Zero", 26, "Gelatos Proteicos", 29, 8), 6)) + (ROUND(O147,4) &lt; INDEX('Tabela de ingredientes'!$O$1:$V$30, SWITCH(B147, "Gelatos de Leite", 7, "Sorbets", 10, "Gelatos de Leite com Fruta", 13, "Chocolate base água", 16, "Vegano", 19, "Alcoólicos", 22, "Zero", 25, "Gelatos Proteicos", 28, 7), 7)) + (ROUND(O147,4) &gt; INDEX('Tabela de ingredientes'!$O$1:$V$30, SWITCH(B147, "Gelatos de Leite", 8, "Sorbets", 11, "Gelatos de Leite com Fruta", 14, "Chocolate base água", 17, "Vegano", 20, "Alcoólicos", 23, "Zero", 26, "Gelatos Proteicos", 29, 8), 7)) + (ROUND(P147,4) &lt; INDEX('Tabela de ingredientes'!$O$1:$V$30, SWITCH(B147, "Gelatos de Leite", 7, "Sorbets", 10, "Gelatos de Leite com Fruta", 13, "Chocolate base água", 16, "Vegano", 19, "Alcoólicos", 22, "Zero", 25, "Gelatos Proteicos", 28, 7), 8)) + (ROUND(P147,4) &gt; INDEX('Tabela de ingredientes'!$O$1:$V$30, SWITCH(B147, "Gelatos de Leite", 8, "Sorbets", 11, "Gelatos de Leite com Fruta", 14, "Chocolate base água", 17, "Vegano", 20, "Alcoólicos", 23, "Zero", 26, "Gelatos Proteicos", 29, 8), 8)) + IF(B147="Gelatos Proteicos", (ROUND(Q147,4)&lt;'Tabela de ingredientes'!$W$28)+(ROUND(Q147,4)&gt;'Tabela de ingredientes'!$W$29), 0) = 0, "Ok", "Revisar"))</f>
        <v>Ok</v>
      </c>
    </row>
    <row r="148">
      <c r="A148" s="39" t="str">
        <f>IFERROR(__xludf.DUMMYFUNCTION("""COMPUTED_VALUE"""),"Sorbet de Açaí com Banana Zero (Mix Zero)")</f>
        <v>Sorbet de Açaí com Banana Zero (Mix Zero)</v>
      </c>
      <c r="B148" s="39" t="s">
        <v>109</v>
      </c>
      <c r="C148" s="39">
        <v>5.0</v>
      </c>
      <c r="D148" s="39">
        <v>1000.0</v>
      </c>
      <c r="E148" s="39" t="s">
        <v>171</v>
      </c>
      <c r="F148" s="69">
        <v>24.1118</v>
      </c>
      <c r="G148" s="69">
        <v>1.4467079999999999</v>
      </c>
      <c r="H148" s="69">
        <v>42.3110927152318</v>
      </c>
      <c r="I148" s="59">
        <v>0.10230000000000002</v>
      </c>
      <c r="J148" s="59">
        <v>0.028000000000000004</v>
      </c>
      <c r="K148" s="59">
        <v>0.0</v>
      </c>
      <c r="L148" s="59">
        <v>0.18927</v>
      </c>
      <c r="M148" s="59">
        <v>0.31957</v>
      </c>
      <c r="N148" s="59">
        <v>0.68043</v>
      </c>
      <c r="O148" s="39">
        <v>141.378</v>
      </c>
      <c r="P148" s="39">
        <v>337.5199999999999</v>
      </c>
      <c r="Q148" s="59">
        <v>0.0056</v>
      </c>
      <c r="R148" s="39">
        <v>13.500799999999996</v>
      </c>
      <c r="S148" s="97" t="str">
        <f t="array" ref="S148">IF(A148="","", IF( (ROUND(I148,4) &lt; INDEX('Tabela de ingredientes'!$O$1:$V$30, SWITCH(B148, "Gelatos de Leite", 7, "Sorbets", 10, "Gelatos de Leite com Fruta", 13, "Chocolate base água", 16, "Vegano", 19, "Alcoólicos", 22, "Zero", 25, "Gelatos Proteicos", 28, 7), 1)) + (ROUND(I148,4) &gt; INDEX('Tabela de ingredientes'!$O$1:$V$30, SWITCH(B148, "Gelatos de Leite", 8, "Sorbets", 11, "Gelatos de Leite com Fruta", 14, "Chocolate base água", 17, "Vegano", 20, "Alcoólicos", 23, "Zero", 26, "Gelatos Proteicos", 29, 8), 1)) + (ROUND(J148,4) &lt; INDEX('Tabela de ingredientes'!$O$1:$V$30, SWITCH(B148, "Gelatos de Leite", 7, "Sorbets", 10, "Gelatos de Leite com Fruta", 13, "Chocolate base água", 16, "Vegano", 19, "Alcoólicos", 22, "Zero", 25, "Gelatos Proteicos", 28, 7), 2)) + (ROUND(J148,4) &gt; INDEX('Tabela de ingredientes'!$O$1:$V$30, SWITCH(B148, "Gelatos de Leite", 8, "Sorbets", 11, "Gelatos de Leite com Fruta", 14, "Chocolate base água", 17, "Vegano", 20, "Alcoólicos", 23, "Zero", 26, "Gelatos Proteicos", 29, 8), 2)) + (ROUND(K148,4) &lt; INDEX('Tabela de ingredientes'!$O$1:$V$30, SWITCH(B148, "Gelatos de Leite", 7, "Sorbets", 10, "Gelatos de Leite com Fruta", 13, "Chocolate base água", 16, "Vegano", 19, "Alcoólicos", 22, "Zero", 25, "Gelatos Proteicos", 28, 7), 3)) + (ROUND(K148,4) &gt; INDEX('Tabela de ingredientes'!$O$1:$V$30, SWITCH(B148, "Gelatos de Leite", 8, "Sorbets", 11, "Gelatos de Leite com Fruta", 14, "Chocolate base água", 17, "Vegano", 20, "Alcoólicos", 23, "Zero", 26, "Gelatos Proteicos", 29, 8), 3)) + (ROUND(L148,4) &lt; INDEX('Tabela de ingredientes'!$O$1:$V$30, SWITCH(B148, "Gelatos de Leite", 7, "Sorbets", 10, "Gelatos de Leite com Fruta", 13, "Chocolate base água", 16, "Vegano", 19, "Alcoólicos", 22, "Zero", 25, "Gelatos Proteicos", 28, 7), 4)) + (ROUND(L148,4) &gt; INDEX('Tabela de ingredientes'!$O$1:$V$30, SWITCH(B148, "Gelatos de Leite", 8, "Sorbets", 11, "Gelatos de Leite com Fruta", 14, "Chocolate base água", 17, "Vegano", 20, "Alcoólicos", 23, "Zero", 26, "Gelatos Proteicos", 29, 8), 4)) + (ROUND(M148,4) &lt; INDEX('Tabela de ingredientes'!$O$1:$V$30, SWITCH(B148, "Gelatos de Leite", 7, "Sorbets", 10, "Gelatos de Leite com Fruta", 13, "Chocolate base água", 16, "Vegano", 19, "Alcoólicos", 22, "Zero", 25, "Gelatos Proteicos", 28, 7), 5)) + (ROUND(M148,4) &gt; INDEX('Tabela de ingredientes'!$O$1:$V$30, SWITCH(B148, "Gelatos de Leite", 8, "Sorbets", 11, "Gelatos de Leite com Fruta", 14, "Chocolate base água", 17, "Vegano", 20, "Alcoólicos", 23, "Zero", 26, "Gelatos Proteicos", 29, 8), 5)) + (ROUND(N148,4) &lt; INDEX('Tabela de ingredientes'!$O$1:$V$30, SWITCH(B148, "Gelatos de Leite", 7, "Sorbets", 10, "Gelatos de Leite com Fruta", 13, "Chocolate base água", 16, "Vegano", 19, "Alcoólicos", 22, "Zero", 25, "Gelatos Proteicos", 28, 7), 6)) + (ROUND(N148,4) &gt; INDEX('Tabela de ingredientes'!$O$1:$V$30, SWITCH(B148, "Gelatos de Leite", 8, "Sorbets", 11, "Gelatos de Leite com Fruta", 14, "Chocolate base água", 17, "Vegano", 20, "Alcoólicos", 23, "Zero", 26, "Gelatos Proteicos", 29, 8), 6)) + (ROUND(O148,4) &lt; INDEX('Tabela de ingredientes'!$O$1:$V$30, SWITCH(B148, "Gelatos de Leite", 7, "Sorbets", 10, "Gelatos de Leite com Fruta", 13, "Chocolate base água", 16, "Vegano", 19, "Alcoólicos", 22, "Zero", 25, "Gelatos Proteicos", 28, 7), 7)) + (ROUND(O148,4) &gt; INDEX('Tabela de ingredientes'!$O$1:$V$30, SWITCH(B148, "Gelatos de Leite", 8, "Sorbets", 11, "Gelatos de Leite com Fruta", 14, "Chocolate base água", 17, "Vegano", 20, "Alcoólicos", 23, "Zero", 26, "Gelatos Proteicos", 29, 8), 7)) + (ROUND(P148,4) &lt; INDEX('Tabela de ingredientes'!$O$1:$V$30, SWITCH(B148, "Gelatos de Leite", 7, "Sorbets", 10, "Gelatos de Leite com Fruta", 13, "Chocolate base água", 16, "Vegano", 19, "Alcoólicos", 22, "Zero", 25, "Gelatos Proteicos", 28, 7), 8)) + (ROUND(P148,4) &gt; INDEX('Tabela de ingredientes'!$O$1:$V$30, SWITCH(B148, "Gelatos de Leite", 8, "Sorbets", 11, "Gelatos de Leite com Fruta", 14, "Chocolate base água", 17, "Vegano", 20, "Alcoólicos", 23, "Zero", 26, "Gelatos Proteicos", 29, 8), 8)) + IF(B148="Gelatos Proteicos", (ROUND(Q148,4)&lt;'Tabela de ingredientes'!$W$28)+(ROUND(Q148,4)&gt;'Tabela de ingredientes'!$W$29), 0) = 0, "Ok", "Revisar"))</f>
        <v>Ok</v>
      </c>
    </row>
    <row r="149">
      <c r="A149" s="39" t="str">
        <f>IFERROR(__xludf.DUMMYFUNCTION("""COMPUTED_VALUE"""),"Sorbet de Açaí com Morango Zero (Mix Zero)")</f>
        <v>Sorbet de Açaí com Morango Zero (Mix Zero)</v>
      </c>
      <c r="B149" s="39" t="s">
        <v>109</v>
      </c>
      <c r="C149" s="39">
        <v>5.0</v>
      </c>
      <c r="D149" s="39">
        <v>1000.0</v>
      </c>
      <c r="E149" s="39" t="s">
        <v>171</v>
      </c>
      <c r="F149" s="69">
        <v>29.668699999999998</v>
      </c>
      <c r="G149" s="69">
        <v>1.7801219999999998</v>
      </c>
      <c r="H149" s="69">
        <v>46.911175496688756</v>
      </c>
      <c r="I149" s="59">
        <v>0.08395</v>
      </c>
      <c r="J149" s="59">
        <v>0.026600000000000002</v>
      </c>
      <c r="K149" s="59">
        <v>0.0</v>
      </c>
      <c r="L149" s="59">
        <v>0.19125499999999998</v>
      </c>
      <c r="M149" s="59">
        <v>0.301805</v>
      </c>
      <c r="N149" s="59">
        <v>0.698195</v>
      </c>
      <c r="O149" s="39">
        <v>129.25699999999998</v>
      </c>
      <c r="P149" s="39">
        <v>329.67999999999995</v>
      </c>
      <c r="Q149" s="59">
        <v>0.0058200000000000005</v>
      </c>
      <c r="R149" s="39">
        <v>13.187199999999997</v>
      </c>
      <c r="S149" s="97" t="str">
        <f t="array" ref="S149">IF(A149="","", IF( (ROUND(I149,4) &lt; INDEX('Tabela de ingredientes'!$O$1:$V$30, SWITCH(B149, "Gelatos de Leite", 7, "Sorbets", 10, "Gelatos de Leite com Fruta", 13, "Chocolate base água", 16, "Vegano", 19, "Alcoólicos", 22, "Zero", 25, "Gelatos Proteicos", 28, 7), 1)) + (ROUND(I149,4) &gt; INDEX('Tabela de ingredientes'!$O$1:$V$30, SWITCH(B149, "Gelatos de Leite", 8, "Sorbets", 11, "Gelatos de Leite com Fruta", 14, "Chocolate base água", 17, "Vegano", 20, "Alcoólicos", 23, "Zero", 26, "Gelatos Proteicos", 29, 8), 1)) + (ROUND(J149,4) &lt; INDEX('Tabela de ingredientes'!$O$1:$V$30, SWITCH(B149, "Gelatos de Leite", 7, "Sorbets", 10, "Gelatos de Leite com Fruta", 13, "Chocolate base água", 16, "Vegano", 19, "Alcoólicos", 22, "Zero", 25, "Gelatos Proteicos", 28, 7), 2)) + (ROUND(J149,4) &gt; INDEX('Tabela de ingredientes'!$O$1:$V$30, SWITCH(B149, "Gelatos de Leite", 8, "Sorbets", 11, "Gelatos de Leite com Fruta", 14, "Chocolate base água", 17, "Vegano", 20, "Alcoólicos", 23, "Zero", 26, "Gelatos Proteicos", 29, 8), 2)) + (ROUND(K149,4) &lt; INDEX('Tabela de ingredientes'!$O$1:$V$30, SWITCH(B149, "Gelatos de Leite", 7, "Sorbets", 10, "Gelatos de Leite com Fruta", 13, "Chocolate base água", 16, "Vegano", 19, "Alcoólicos", 22, "Zero", 25, "Gelatos Proteicos", 28, 7), 3)) + (ROUND(K149,4) &gt; INDEX('Tabela de ingredientes'!$O$1:$V$30, SWITCH(B149, "Gelatos de Leite", 8, "Sorbets", 11, "Gelatos de Leite com Fruta", 14, "Chocolate base água", 17, "Vegano", 20, "Alcoólicos", 23, "Zero", 26, "Gelatos Proteicos", 29, 8), 3)) + (ROUND(L149,4) &lt; INDEX('Tabela de ingredientes'!$O$1:$V$30, SWITCH(B149, "Gelatos de Leite", 7, "Sorbets", 10, "Gelatos de Leite com Fruta", 13, "Chocolate base água", 16, "Vegano", 19, "Alcoólicos", 22, "Zero", 25, "Gelatos Proteicos", 28, 7), 4)) + (ROUND(L149,4) &gt; INDEX('Tabela de ingredientes'!$O$1:$V$30, SWITCH(B149, "Gelatos de Leite", 8, "Sorbets", 11, "Gelatos de Leite com Fruta", 14, "Chocolate base água", 17, "Vegano", 20, "Alcoólicos", 23, "Zero", 26, "Gelatos Proteicos", 29, 8), 4)) + (ROUND(M149,4) &lt; INDEX('Tabela de ingredientes'!$O$1:$V$30, SWITCH(B149, "Gelatos de Leite", 7, "Sorbets", 10, "Gelatos de Leite com Fruta", 13, "Chocolate base água", 16, "Vegano", 19, "Alcoólicos", 22, "Zero", 25, "Gelatos Proteicos", 28, 7), 5)) + (ROUND(M149,4) &gt; INDEX('Tabela de ingredientes'!$O$1:$V$30, SWITCH(B149, "Gelatos de Leite", 8, "Sorbets", 11, "Gelatos de Leite com Fruta", 14, "Chocolate base água", 17, "Vegano", 20, "Alcoólicos", 23, "Zero", 26, "Gelatos Proteicos", 29, 8), 5)) + (ROUND(N149,4) &lt; INDEX('Tabela de ingredientes'!$O$1:$V$30, SWITCH(B149, "Gelatos de Leite", 7, "Sorbets", 10, "Gelatos de Leite com Fruta", 13, "Chocolate base água", 16, "Vegano", 19, "Alcoólicos", 22, "Zero", 25, "Gelatos Proteicos", 28, 7), 6)) + (ROUND(N149,4) &gt; INDEX('Tabela de ingredientes'!$O$1:$V$30, SWITCH(B149, "Gelatos de Leite", 8, "Sorbets", 11, "Gelatos de Leite com Fruta", 14, "Chocolate base água", 17, "Vegano", 20, "Alcoólicos", 23, "Zero", 26, "Gelatos Proteicos", 29, 8), 6)) + (ROUND(O149,4) &lt; INDEX('Tabela de ingredientes'!$O$1:$V$30, SWITCH(B149, "Gelatos de Leite", 7, "Sorbets", 10, "Gelatos de Leite com Fruta", 13, "Chocolate base água", 16, "Vegano", 19, "Alcoólicos", 22, "Zero", 25, "Gelatos Proteicos", 28, 7), 7)) + (ROUND(O149,4) &gt; INDEX('Tabela de ingredientes'!$O$1:$V$30, SWITCH(B149, "Gelatos de Leite", 8, "Sorbets", 11, "Gelatos de Leite com Fruta", 14, "Chocolate base água", 17, "Vegano", 20, "Alcoólicos", 23, "Zero", 26, "Gelatos Proteicos", 29, 8), 7)) + (ROUND(P149,4) &lt; INDEX('Tabela de ingredientes'!$O$1:$V$30, SWITCH(B149, "Gelatos de Leite", 7, "Sorbets", 10, "Gelatos de Leite com Fruta", 13, "Chocolate base água", 16, "Vegano", 19, "Alcoólicos", 22, "Zero", 25, "Gelatos Proteicos", 28, 7), 8)) + (ROUND(P149,4) &gt; INDEX('Tabela de ingredientes'!$O$1:$V$30, SWITCH(B149, "Gelatos de Leite", 8, "Sorbets", 11, "Gelatos de Leite com Fruta", 14, "Chocolate base água", 17, "Vegano", 20, "Alcoólicos", 23, "Zero", 26, "Gelatos Proteicos", 29, 8), 8)) + IF(B149="Gelatos Proteicos", (ROUND(Q149,4)&lt;'Tabela de ingredientes'!$W$28)+(ROUND(Q149,4)&gt;'Tabela de ingredientes'!$W$29), 0) = 0, "Ok", "Revisar"))</f>
        <v>Ok</v>
      </c>
    </row>
    <row r="150">
      <c r="A150" s="39" t="str">
        <f>IFERROR(__xludf.DUMMYFUNCTION("""COMPUTED_VALUE"""),"Sorbet de Framboesa Zero (Mix Zero)")</f>
        <v>Sorbet de Framboesa Zero (Mix Zero)</v>
      </c>
      <c r="B150" s="39" t="s">
        <v>109</v>
      </c>
      <c r="C150" s="39">
        <v>4.0</v>
      </c>
      <c r="D150" s="39">
        <v>1000.0</v>
      </c>
      <c r="E150" s="39" t="s">
        <v>171</v>
      </c>
      <c r="F150" s="69">
        <v>8.760599999999998</v>
      </c>
      <c r="G150" s="69">
        <v>0.5256359999999999</v>
      </c>
      <c r="H150" s="69">
        <v>29.60314569536424</v>
      </c>
      <c r="I150" s="59">
        <v>0.0983</v>
      </c>
      <c r="J150" s="59">
        <v>0.005600000000000001</v>
      </c>
      <c r="K150" s="59">
        <v>0.0</v>
      </c>
      <c r="L150" s="59">
        <v>0.21814000000000003</v>
      </c>
      <c r="M150" s="59">
        <v>0.32204</v>
      </c>
      <c r="N150" s="59">
        <v>0.67796</v>
      </c>
      <c r="O150" s="39">
        <v>139.22599999999997</v>
      </c>
      <c r="P150" s="39">
        <v>343.44</v>
      </c>
      <c r="Q150" s="59">
        <v>0.005600000000000001</v>
      </c>
      <c r="R150" s="39">
        <v>13.7376</v>
      </c>
      <c r="S150" s="97" t="str">
        <f t="array" ref="S150">IF(A150="","", IF( (ROUND(I150,4) &lt; INDEX('Tabela de ingredientes'!$O$1:$V$30, SWITCH(B150, "Gelatos de Leite", 7, "Sorbets", 10, "Gelatos de Leite com Fruta", 13, "Chocolate base água", 16, "Vegano", 19, "Alcoólicos", 22, "Zero", 25, "Gelatos Proteicos", 28, 7), 1)) + (ROUND(I150,4) &gt; INDEX('Tabela de ingredientes'!$O$1:$V$30, SWITCH(B150, "Gelatos de Leite", 8, "Sorbets", 11, "Gelatos de Leite com Fruta", 14, "Chocolate base água", 17, "Vegano", 20, "Alcoólicos", 23, "Zero", 26, "Gelatos Proteicos", 29, 8), 1)) + (ROUND(J150,4) &lt; INDEX('Tabela de ingredientes'!$O$1:$V$30, SWITCH(B150, "Gelatos de Leite", 7, "Sorbets", 10, "Gelatos de Leite com Fruta", 13, "Chocolate base água", 16, "Vegano", 19, "Alcoólicos", 22, "Zero", 25, "Gelatos Proteicos", 28, 7), 2)) + (ROUND(J150,4) &gt; INDEX('Tabela de ingredientes'!$O$1:$V$30, SWITCH(B150, "Gelatos de Leite", 8, "Sorbets", 11, "Gelatos de Leite com Fruta", 14, "Chocolate base água", 17, "Vegano", 20, "Alcoólicos", 23, "Zero", 26, "Gelatos Proteicos", 29, 8), 2)) + (ROUND(K150,4) &lt; INDEX('Tabela de ingredientes'!$O$1:$V$30, SWITCH(B150, "Gelatos de Leite", 7, "Sorbets", 10, "Gelatos de Leite com Fruta", 13, "Chocolate base água", 16, "Vegano", 19, "Alcoólicos", 22, "Zero", 25, "Gelatos Proteicos", 28, 7), 3)) + (ROUND(K150,4) &gt; INDEX('Tabela de ingredientes'!$O$1:$V$30, SWITCH(B150, "Gelatos de Leite", 8, "Sorbets", 11, "Gelatos de Leite com Fruta", 14, "Chocolate base água", 17, "Vegano", 20, "Alcoólicos", 23, "Zero", 26, "Gelatos Proteicos", 29, 8), 3)) + (ROUND(L150,4) &lt; INDEX('Tabela de ingredientes'!$O$1:$V$30, SWITCH(B150, "Gelatos de Leite", 7, "Sorbets", 10, "Gelatos de Leite com Fruta", 13, "Chocolate base água", 16, "Vegano", 19, "Alcoólicos", 22, "Zero", 25, "Gelatos Proteicos", 28, 7), 4)) + (ROUND(L150,4) &gt; INDEX('Tabela de ingredientes'!$O$1:$V$30, SWITCH(B150, "Gelatos de Leite", 8, "Sorbets", 11, "Gelatos de Leite com Fruta", 14, "Chocolate base água", 17, "Vegano", 20, "Alcoólicos", 23, "Zero", 26, "Gelatos Proteicos", 29, 8), 4)) + (ROUND(M150,4) &lt; INDEX('Tabela de ingredientes'!$O$1:$V$30, SWITCH(B150, "Gelatos de Leite", 7, "Sorbets", 10, "Gelatos de Leite com Fruta", 13, "Chocolate base água", 16, "Vegano", 19, "Alcoólicos", 22, "Zero", 25, "Gelatos Proteicos", 28, 7), 5)) + (ROUND(M150,4) &gt; INDEX('Tabela de ingredientes'!$O$1:$V$30, SWITCH(B150, "Gelatos de Leite", 8, "Sorbets", 11, "Gelatos de Leite com Fruta", 14, "Chocolate base água", 17, "Vegano", 20, "Alcoólicos", 23, "Zero", 26, "Gelatos Proteicos", 29, 8), 5)) + (ROUND(N150,4) &lt; INDEX('Tabela de ingredientes'!$O$1:$V$30, SWITCH(B150, "Gelatos de Leite", 7, "Sorbets", 10, "Gelatos de Leite com Fruta", 13, "Chocolate base água", 16, "Vegano", 19, "Alcoólicos", 22, "Zero", 25, "Gelatos Proteicos", 28, 7), 6)) + (ROUND(N150,4) &gt; INDEX('Tabela de ingredientes'!$O$1:$V$30, SWITCH(B150, "Gelatos de Leite", 8, "Sorbets", 11, "Gelatos de Leite com Fruta", 14, "Chocolate base água", 17, "Vegano", 20, "Alcoólicos", 23, "Zero", 26, "Gelatos Proteicos", 29, 8), 6)) + (ROUND(O150,4) &lt; INDEX('Tabela de ingredientes'!$O$1:$V$30, SWITCH(B150, "Gelatos de Leite", 7, "Sorbets", 10, "Gelatos de Leite com Fruta", 13, "Chocolate base água", 16, "Vegano", 19, "Alcoólicos", 22, "Zero", 25, "Gelatos Proteicos", 28, 7), 7)) + (ROUND(O150,4) &gt; INDEX('Tabela de ingredientes'!$O$1:$V$30, SWITCH(B150, "Gelatos de Leite", 8, "Sorbets", 11, "Gelatos de Leite com Fruta", 14, "Chocolate base água", 17, "Vegano", 20, "Alcoólicos", 23, "Zero", 26, "Gelatos Proteicos", 29, 8), 7)) + (ROUND(P150,4) &lt; INDEX('Tabela de ingredientes'!$O$1:$V$30, SWITCH(B150, "Gelatos de Leite", 7, "Sorbets", 10, "Gelatos de Leite com Fruta", 13, "Chocolate base água", 16, "Vegano", 19, "Alcoólicos", 22, "Zero", 25, "Gelatos Proteicos", 28, 7), 8)) + (ROUND(P150,4) &gt; INDEX('Tabela de ingredientes'!$O$1:$V$30, SWITCH(B150, "Gelatos de Leite", 8, "Sorbets", 11, "Gelatos de Leite com Fruta", 14, "Chocolate base água", 17, "Vegano", 20, "Alcoólicos", 23, "Zero", 26, "Gelatos Proteicos", 29, 8), 8)) + IF(B150="Gelatos Proteicos", (ROUND(Q150,4)&lt;'Tabela de ingredientes'!$W$28)+(ROUND(Q150,4)&gt;'Tabela de ingredientes'!$W$29), 0) = 0, "Ok", "Revisar"))</f>
        <v>Ok</v>
      </c>
    </row>
    <row r="151">
      <c r="A151" s="39" t="str">
        <f>IFERROR(__xludf.DUMMYFUNCTION("""COMPUTED_VALUE"""),"Sorbet de Morango Zero (Mix Zero)")</f>
        <v>Sorbet de Morango Zero (Mix Zero)</v>
      </c>
      <c r="B151" s="39" t="s">
        <v>109</v>
      </c>
      <c r="C151" s="39">
        <v>4.0</v>
      </c>
      <c r="D151" s="39">
        <v>1000.0</v>
      </c>
      <c r="E151" s="39" t="s">
        <v>171</v>
      </c>
      <c r="F151" s="69">
        <v>24.1825</v>
      </c>
      <c r="G151" s="69">
        <v>1.45095</v>
      </c>
      <c r="H151" s="69">
        <v>42.36961920529803</v>
      </c>
      <c r="I151" s="59">
        <v>0.09165000000000001</v>
      </c>
      <c r="J151" s="59">
        <v>0.0</v>
      </c>
      <c r="K151" s="59">
        <v>0.0</v>
      </c>
      <c r="L151" s="59">
        <v>0.20482499999999998</v>
      </c>
      <c r="M151" s="59">
        <v>0.296475</v>
      </c>
      <c r="N151" s="59">
        <v>0.703525</v>
      </c>
      <c r="O151" s="39">
        <v>153.17499999999998</v>
      </c>
      <c r="P151" s="39">
        <v>366.24</v>
      </c>
      <c r="Q151" s="59">
        <v>0.006</v>
      </c>
      <c r="R151" s="39">
        <v>14.6496</v>
      </c>
      <c r="S151" s="97" t="str">
        <f t="array" ref="S151">IF(A151="","", IF( (ROUND(I151,4) &lt; INDEX('Tabela de ingredientes'!$O$1:$V$30, SWITCH(B151, "Gelatos de Leite", 7, "Sorbets", 10, "Gelatos de Leite com Fruta", 13, "Chocolate base água", 16, "Vegano", 19, "Alcoólicos", 22, "Zero", 25, "Gelatos Proteicos", 28, 7), 1)) + (ROUND(I151,4) &gt; INDEX('Tabela de ingredientes'!$O$1:$V$30, SWITCH(B151, "Gelatos de Leite", 8, "Sorbets", 11, "Gelatos de Leite com Fruta", 14, "Chocolate base água", 17, "Vegano", 20, "Alcoólicos", 23, "Zero", 26, "Gelatos Proteicos", 29, 8), 1)) + (ROUND(J151,4) &lt; INDEX('Tabela de ingredientes'!$O$1:$V$30, SWITCH(B151, "Gelatos de Leite", 7, "Sorbets", 10, "Gelatos de Leite com Fruta", 13, "Chocolate base água", 16, "Vegano", 19, "Alcoólicos", 22, "Zero", 25, "Gelatos Proteicos", 28, 7), 2)) + (ROUND(J151,4) &gt; INDEX('Tabela de ingredientes'!$O$1:$V$30, SWITCH(B151, "Gelatos de Leite", 8, "Sorbets", 11, "Gelatos de Leite com Fruta", 14, "Chocolate base água", 17, "Vegano", 20, "Alcoólicos", 23, "Zero", 26, "Gelatos Proteicos", 29, 8), 2)) + (ROUND(K151,4) &lt; INDEX('Tabela de ingredientes'!$O$1:$V$30, SWITCH(B151, "Gelatos de Leite", 7, "Sorbets", 10, "Gelatos de Leite com Fruta", 13, "Chocolate base água", 16, "Vegano", 19, "Alcoólicos", 22, "Zero", 25, "Gelatos Proteicos", 28, 7), 3)) + (ROUND(K151,4) &gt; INDEX('Tabela de ingredientes'!$O$1:$V$30, SWITCH(B151, "Gelatos de Leite", 8, "Sorbets", 11, "Gelatos de Leite com Fruta", 14, "Chocolate base água", 17, "Vegano", 20, "Alcoólicos", 23, "Zero", 26, "Gelatos Proteicos", 29, 8), 3)) + (ROUND(L151,4) &lt; INDEX('Tabela de ingredientes'!$O$1:$V$30, SWITCH(B151, "Gelatos de Leite", 7, "Sorbets", 10, "Gelatos de Leite com Fruta", 13, "Chocolate base água", 16, "Vegano", 19, "Alcoólicos", 22, "Zero", 25, "Gelatos Proteicos", 28, 7), 4)) + (ROUND(L151,4) &gt; INDEX('Tabela de ingredientes'!$O$1:$V$30, SWITCH(B151, "Gelatos de Leite", 8, "Sorbets", 11, "Gelatos de Leite com Fruta", 14, "Chocolate base água", 17, "Vegano", 20, "Alcoólicos", 23, "Zero", 26, "Gelatos Proteicos", 29, 8), 4)) + (ROUND(M151,4) &lt; INDEX('Tabela de ingredientes'!$O$1:$V$30, SWITCH(B151, "Gelatos de Leite", 7, "Sorbets", 10, "Gelatos de Leite com Fruta", 13, "Chocolate base água", 16, "Vegano", 19, "Alcoólicos", 22, "Zero", 25, "Gelatos Proteicos", 28, 7), 5)) + (ROUND(M151,4) &gt; INDEX('Tabela de ingredientes'!$O$1:$V$30, SWITCH(B151, "Gelatos de Leite", 8, "Sorbets", 11, "Gelatos de Leite com Fruta", 14, "Chocolate base água", 17, "Vegano", 20, "Alcoólicos", 23, "Zero", 26, "Gelatos Proteicos", 29, 8), 5)) + (ROUND(N151,4) &lt; INDEX('Tabela de ingredientes'!$O$1:$V$30, SWITCH(B151, "Gelatos de Leite", 7, "Sorbets", 10, "Gelatos de Leite com Fruta", 13, "Chocolate base água", 16, "Vegano", 19, "Alcoólicos", 22, "Zero", 25, "Gelatos Proteicos", 28, 7), 6)) + (ROUND(N151,4) &gt; INDEX('Tabela de ingredientes'!$O$1:$V$30, SWITCH(B151, "Gelatos de Leite", 8, "Sorbets", 11, "Gelatos de Leite com Fruta", 14, "Chocolate base água", 17, "Vegano", 20, "Alcoólicos", 23, "Zero", 26, "Gelatos Proteicos", 29, 8), 6)) + (ROUND(O151,4) &lt; INDEX('Tabela de ingredientes'!$O$1:$V$30, SWITCH(B151, "Gelatos de Leite", 7, "Sorbets", 10, "Gelatos de Leite com Fruta", 13, "Chocolate base água", 16, "Vegano", 19, "Alcoólicos", 22, "Zero", 25, "Gelatos Proteicos", 28, 7), 7)) + (ROUND(O151,4) &gt; INDEX('Tabela de ingredientes'!$O$1:$V$30, SWITCH(B151, "Gelatos de Leite", 8, "Sorbets", 11, "Gelatos de Leite com Fruta", 14, "Chocolate base água", 17, "Vegano", 20, "Alcoólicos", 23, "Zero", 26, "Gelatos Proteicos", 29, 8), 7)) + (ROUND(P151,4) &lt; INDEX('Tabela de ingredientes'!$O$1:$V$30, SWITCH(B151, "Gelatos de Leite", 7, "Sorbets", 10, "Gelatos de Leite com Fruta", 13, "Chocolate base água", 16, "Vegano", 19, "Alcoólicos", 22, "Zero", 25, "Gelatos Proteicos", 28, 7), 8)) + (ROUND(P151,4) &gt; INDEX('Tabela de ingredientes'!$O$1:$V$30, SWITCH(B151, "Gelatos de Leite", 8, "Sorbets", 11, "Gelatos de Leite com Fruta", 14, "Chocolate base água", 17, "Vegano", 20, "Alcoólicos", 23, "Zero", 26, "Gelatos Proteicos", 29, 8), 8)) + IF(B151="Gelatos Proteicos", (ROUND(Q151,4)&lt;'Tabela de ingredientes'!$W$28)+(ROUND(Q151,4)&gt;'Tabela de ingredientes'!$W$29), 0) = 0, "Ok", "Revisar"))</f>
        <v>Ok</v>
      </c>
    </row>
    <row r="152">
      <c r="A152" s="39" t="str">
        <f>IFERROR(__xludf.DUMMYFUNCTION("""COMPUTED_VALUE"""),"Sorbet de Manga Zero (Mix Zero)")</f>
        <v>Sorbet de Manga Zero (Mix Zero)</v>
      </c>
      <c r="B152" s="39" t="s">
        <v>109</v>
      </c>
      <c r="C152" s="39">
        <v>4.0</v>
      </c>
      <c r="D152" s="39">
        <v>1000.0</v>
      </c>
      <c r="E152" s="39" t="s">
        <v>171</v>
      </c>
      <c r="F152" s="69">
        <v>8.468699999999998</v>
      </c>
      <c r="G152" s="69">
        <v>0.5081219999999999</v>
      </c>
      <c r="H152" s="69">
        <v>29.36150662251656</v>
      </c>
      <c r="I152" s="59">
        <v>0.13475</v>
      </c>
      <c r="J152" s="59">
        <v>0.0</v>
      </c>
      <c r="K152" s="59">
        <v>0.0</v>
      </c>
      <c r="L152" s="59">
        <v>0.19045499999999999</v>
      </c>
      <c r="M152" s="59">
        <v>0.32520499999999997</v>
      </c>
      <c r="N152" s="59">
        <v>0.674795</v>
      </c>
      <c r="O152" s="39">
        <v>177.977</v>
      </c>
      <c r="P152" s="39">
        <v>380.96</v>
      </c>
      <c r="Q152" s="59">
        <v>0.006</v>
      </c>
      <c r="R152" s="39">
        <v>15.238399999999999</v>
      </c>
      <c r="S152" s="97" t="str">
        <f t="array" ref="S152">IF(A152="","", IF( (ROUND(I152,4) &lt; INDEX('Tabela de ingredientes'!$O$1:$V$30, SWITCH(B152, "Gelatos de Leite", 7, "Sorbets", 10, "Gelatos de Leite com Fruta", 13, "Chocolate base água", 16, "Vegano", 19, "Alcoólicos", 22, "Zero", 25, "Gelatos Proteicos", 28, 7), 1)) + (ROUND(I152,4) &gt; INDEX('Tabela de ingredientes'!$O$1:$V$30, SWITCH(B152, "Gelatos de Leite", 8, "Sorbets", 11, "Gelatos de Leite com Fruta", 14, "Chocolate base água", 17, "Vegano", 20, "Alcoólicos", 23, "Zero", 26, "Gelatos Proteicos", 29, 8), 1)) + (ROUND(J152,4) &lt; INDEX('Tabela de ingredientes'!$O$1:$V$30, SWITCH(B152, "Gelatos de Leite", 7, "Sorbets", 10, "Gelatos de Leite com Fruta", 13, "Chocolate base água", 16, "Vegano", 19, "Alcoólicos", 22, "Zero", 25, "Gelatos Proteicos", 28, 7), 2)) + (ROUND(J152,4) &gt; INDEX('Tabela de ingredientes'!$O$1:$V$30, SWITCH(B152, "Gelatos de Leite", 8, "Sorbets", 11, "Gelatos de Leite com Fruta", 14, "Chocolate base água", 17, "Vegano", 20, "Alcoólicos", 23, "Zero", 26, "Gelatos Proteicos", 29, 8), 2)) + (ROUND(K152,4) &lt; INDEX('Tabela de ingredientes'!$O$1:$V$30, SWITCH(B152, "Gelatos de Leite", 7, "Sorbets", 10, "Gelatos de Leite com Fruta", 13, "Chocolate base água", 16, "Vegano", 19, "Alcoólicos", 22, "Zero", 25, "Gelatos Proteicos", 28, 7), 3)) + (ROUND(K152,4) &gt; INDEX('Tabela de ingredientes'!$O$1:$V$30, SWITCH(B152, "Gelatos de Leite", 8, "Sorbets", 11, "Gelatos de Leite com Fruta", 14, "Chocolate base água", 17, "Vegano", 20, "Alcoólicos", 23, "Zero", 26, "Gelatos Proteicos", 29, 8), 3)) + (ROUND(L152,4) &lt; INDEX('Tabela de ingredientes'!$O$1:$V$30, SWITCH(B152, "Gelatos de Leite", 7, "Sorbets", 10, "Gelatos de Leite com Fruta", 13, "Chocolate base água", 16, "Vegano", 19, "Alcoólicos", 22, "Zero", 25, "Gelatos Proteicos", 28, 7), 4)) + (ROUND(L152,4) &gt; INDEX('Tabela de ingredientes'!$O$1:$V$30, SWITCH(B152, "Gelatos de Leite", 8, "Sorbets", 11, "Gelatos de Leite com Fruta", 14, "Chocolate base água", 17, "Vegano", 20, "Alcoólicos", 23, "Zero", 26, "Gelatos Proteicos", 29, 8), 4)) + (ROUND(M152,4) &lt; INDEX('Tabela de ingredientes'!$O$1:$V$30, SWITCH(B152, "Gelatos de Leite", 7, "Sorbets", 10, "Gelatos de Leite com Fruta", 13, "Chocolate base água", 16, "Vegano", 19, "Alcoólicos", 22, "Zero", 25, "Gelatos Proteicos", 28, 7), 5)) + (ROUND(M152,4) &gt; INDEX('Tabela de ingredientes'!$O$1:$V$30, SWITCH(B152, "Gelatos de Leite", 8, "Sorbets", 11, "Gelatos de Leite com Fruta", 14, "Chocolate base água", 17, "Vegano", 20, "Alcoólicos", 23, "Zero", 26, "Gelatos Proteicos", 29, 8), 5)) + (ROUND(N152,4) &lt; INDEX('Tabela de ingredientes'!$O$1:$V$30, SWITCH(B152, "Gelatos de Leite", 7, "Sorbets", 10, "Gelatos de Leite com Fruta", 13, "Chocolate base água", 16, "Vegano", 19, "Alcoólicos", 22, "Zero", 25, "Gelatos Proteicos", 28, 7), 6)) + (ROUND(N152,4) &gt; INDEX('Tabela de ingredientes'!$O$1:$V$30, SWITCH(B152, "Gelatos de Leite", 8, "Sorbets", 11, "Gelatos de Leite com Fruta", 14, "Chocolate base água", 17, "Vegano", 20, "Alcoólicos", 23, "Zero", 26, "Gelatos Proteicos", 29, 8), 6)) + (ROUND(O152,4) &lt; INDEX('Tabela de ingredientes'!$O$1:$V$30, SWITCH(B152, "Gelatos de Leite", 7, "Sorbets", 10, "Gelatos de Leite com Fruta", 13, "Chocolate base água", 16, "Vegano", 19, "Alcoólicos", 22, "Zero", 25, "Gelatos Proteicos", 28, 7), 7)) + (ROUND(O152,4) &gt; INDEX('Tabela de ingredientes'!$O$1:$V$30, SWITCH(B152, "Gelatos de Leite", 8, "Sorbets", 11, "Gelatos de Leite com Fruta", 14, "Chocolate base água", 17, "Vegano", 20, "Alcoólicos", 23, "Zero", 26, "Gelatos Proteicos", 29, 8), 7)) + (ROUND(P152,4) &lt; INDEX('Tabela de ingredientes'!$O$1:$V$30, SWITCH(B152, "Gelatos de Leite", 7, "Sorbets", 10, "Gelatos de Leite com Fruta", 13, "Chocolate base água", 16, "Vegano", 19, "Alcoólicos", 22, "Zero", 25, "Gelatos Proteicos", 28, 7), 8)) + (ROUND(P152,4) &gt; INDEX('Tabela de ingredientes'!$O$1:$V$30, SWITCH(B152, "Gelatos de Leite", 8, "Sorbets", 11, "Gelatos de Leite com Fruta", 14, "Chocolate base água", 17, "Vegano", 20, "Alcoólicos", 23, "Zero", 26, "Gelatos Proteicos", 29, 8), 8)) + IF(B152="Gelatos Proteicos", (ROUND(Q152,4)&lt;'Tabela de ingredientes'!$W$28)+(ROUND(Q152,4)&gt;'Tabela de ingredientes'!$W$29), 0) = 0, "Ok", "Revisar"))</f>
        <v>Ok</v>
      </c>
    </row>
    <row r="153">
      <c r="A153" s="39" t="str">
        <f>IFERROR(__xludf.DUMMYFUNCTION("""COMPUTED_VALUE"""),"Sorbet de Frutas Vermelhas Zero (Mix Zero)")</f>
        <v>Sorbet de Frutas Vermelhas Zero (Mix Zero)</v>
      </c>
      <c r="B153" s="39" t="s">
        <v>109</v>
      </c>
      <c r="C153" s="39">
        <v>5.0</v>
      </c>
      <c r="D153" s="39">
        <v>1000.0</v>
      </c>
      <c r="E153" s="39" t="s">
        <v>171</v>
      </c>
      <c r="F153" s="69">
        <v>14.815599999999998</v>
      </c>
      <c r="G153" s="69">
        <v>0.8889359999999998</v>
      </c>
      <c r="H153" s="69">
        <v>34.61556291390729</v>
      </c>
      <c r="I153" s="59">
        <v>0.0938</v>
      </c>
      <c r="J153" s="59">
        <v>0.0025</v>
      </c>
      <c r="K153" s="59">
        <v>0.0</v>
      </c>
      <c r="L153" s="59">
        <v>0.21244</v>
      </c>
      <c r="M153" s="59">
        <v>0.30874</v>
      </c>
      <c r="N153" s="59">
        <v>0.69126</v>
      </c>
      <c r="O153" s="39">
        <v>152.426</v>
      </c>
      <c r="P153" s="39">
        <v>358.40999999999997</v>
      </c>
      <c r="Q153" s="59">
        <v>0.006</v>
      </c>
      <c r="R153" s="39">
        <v>14.3364</v>
      </c>
      <c r="S153" s="97" t="str">
        <f t="array" ref="S153">IF(A153="","", IF( (ROUND(I153,4) &lt; INDEX('Tabela de ingredientes'!$O$1:$V$30, SWITCH(B153, "Gelatos de Leite", 7, "Sorbets", 10, "Gelatos de Leite com Fruta", 13, "Chocolate base água", 16, "Vegano", 19, "Alcoólicos", 22, "Zero", 25, "Gelatos Proteicos", 28, 7), 1)) + (ROUND(I153,4) &gt; INDEX('Tabela de ingredientes'!$O$1:$V$30, SWITCH(B153, "Gelatos de Leite", 8, "Sorbets", 11, "Gelatos de Leite com Fruta", 14, "Chocolate base água", 17, "Vegano", 20, "Alcoólicos", 23, "Zero", 26, "Gelatos Proteicos", 29, 8), 1)) + (ROUND(J153,4) &lt; INDEX('Tabela de ingredientes'!$O$1:$V$30, SWITCH(B153, "Gelatos de Leite", 7, "Sorbets", 10, "Gelatos de Leite com Fruta", 13, "Chocolate base água", 16, "Vegano", 19, "Alcoólicos", 22, "Zero", 25, "Gelatos Proteicos", 28, 7), 2)) + (ROUND(J153,4) &gt; INDEX('Tabela de ingredientes'!$O$1:$V$30, SWITCH(B153, "Gelatos de Leite", 8, "Sorbets", 11, "Gelatos de Leite com Fruta", 14, "Chocolate base água", 17, "Vegano", 20, "Alcoólicos", 23, "Zero", 26, "Gelatos Proteicos", 29, 8), 2)) + (ROUND(K153,4) &lt; INDEX('Tabela de ingredientes'!$O$1:$V$30, SWITCH(B153, "Gelatos de Leite", 7, "Sorbets", 10, "Gelatos de Leite com Fruta", 13, "Chocolate base água", 16, "Vegano", 19, "Alcoólicos", 22, "Zero", 25, "Gelatos Proteicos", 28, 7), 3)) + (ROUND(K153,4) &gt; INDEX('Tabela de ingredientes'!$O$1:$V$30, SWITCH(B153, "Gelatos de Leite", 8, "Sorbets", 11, "Gelatos de Leite com Fruta", 14, "Chocolate base água", 17, "Vegano", 20, "Alcoólicos", 23, "Zero", 26, "Gelatos Proteicos", 29, 8), 3)) + (ROUND(L153,4) &lt; INDEX('Tabela de ingredientes'!$O$1:$V$30, SWITCH(B153, "Gelatos de Leite", 7, "Sorbets", 10, "Gelatos de Leite com Fruta", 13, "Chocolate base água", 16, "Vegano", 19, "Alcoólicos", 22, "Zero", 25, "Gelatos Proteicos", 28, 7), 4)) + (ROUND(L153,4) &gt; INDEX('Tabela de ingredientes'!$O$1:$V$30, SWITCH(B153, "Gelatos de Leite", 8, "Sorbets", 11, "Gelatos de Leite com Fruta", 14, "Chocolate base água", 17, "Vegano", 20, "Alcoólicos", 23, "Zero", 26, "Gelatos Proteicos", 29, 8), 4)) + (ROUND(M153,4) &lt; INDEX('Tabela de ingredientes'!$O$1:$V$30, SWITCH(B153, "Gelatos de Leite", 7, "Sorbets", 10, "Gelatos de Leite com Fruta", 13, "Chocolate base água", 16, "Vegano", 19, "Alcoólicos", 22, "Zero", 25, "Gelatos Proteicos", 28, 7), 5)) + (ROUND(M153,4) &gt; INDEX('Tabela de ingredientes'!$O$1:$V$30, SWITCH(B153, "Gelatos de Leite", 8, "Sorbets", 11, "Gelatos de Leite com Fruta", 14, "Chocolate base água", 17, "Vegano", 20, "Alcoólicos", 23, "Zero", 26, "Gelatos Proteicos", 29, 8), 5)) + (ROUND(N153,4) &lt; INDEX('Tabela de ingredientes'!$O$1:$V$30, SWITCH(B153, "Gelatos de Leite", 7, "Sorbets", 10, "Gelatos de Leite com Fruta", 13, "Chocolate base água", 16, "Vegano", 19, "Alcoólicos", 22, "Zero", 25, "Gelatos Proteicos", 28, 7), 6)) + (ROUND(N153,4) &gt; INDEX('Tabela de ingredientes'!$O$1:$V$30, SWITCH(B153, "Gelatos de Leite", 8, "Sorbets", 11, "Gelatos de Leite com Fruta", 14, "Chocolate base água", 17, "Vegano", 20, "Alcoólicos", 23, "Zero", 26, "Gelatos Proteicos", 29, 8), 6)) + (ROUND(O153,4) &lt; INDEX('Tabela de ingredientes'!$O$1:$V$30, SWITCH(B153, "Gelatos de Leite", 7, "Sorbets", 10, "Gelatos de Leite com Fruta", 13, "Chocolate base água", 16, "Vegano", 19, "Alcoólicos", 22, "Zero", 25, "Gelatos Proteicos", 28, 7), 7)) + (ROUND(O153,4) &gt; INDEX('Tabela de ingredientes'!$O$1:$V$30, SWITCH(B153, "Gelatos de Leite", 8, "Sorbets", 11, "Gelatos de Leite com Fruta", 14, "Chocolate base água", 17, "Vegano", 20, "Alcoólicos", 23, "Zero", 26, "Gelatos Proteicos", 29, 8), 7)) + (ROUND(P153,4) &lt; INDEX('Tabela de ingredientes'!$O$1:$V$30, SWITCH(B153, "Gelatos de Leite", 7, "Sorbets", 10, "Gelatos de Leite com Fruta", 13, "Chocolate base água", 16, "Vegano", 19, "Alcoólicos", 22, "Zero", 25, "Gelatos Proteicos", 28, 7), 8)) + (ROUND(P153,4) &gt; INDEX('Tabela de ingredientes'!$O$1:$V$30, SWITCH(B153, "Gelatos de Leite", 8, "Sorbets", 11, "Gelatos de Leite com Fruta", 14, "Chocolate base água", 17, "Vegano", 20, "Alcoólicos", 23, "Zero", 26, "Gelatos Proteicos", 29, 8), 8)) + IF(B153="Gelatos Proteicos", (ROUND(Q153,4)&lt;'Tabela de ingredientes'!$W$28)+(ROUND(Q153,4)&gt;'Tabela de ingredientes'!$W$29), 0) = 0, "Ok", "Revisar"))</f>
        <v>Ok</v>
      </c>
    </row>
    <row r="154">
      <c r="A154" s="39" t="str">
        <f>IFERROR(__xludf.DUMMYFUNCTION("""COMPUTED_VALUE"""),"Sorbet de Limão Siciliano Zero (Mix Zero)")</f>
        <v>Sorbet de Limão Siciliano Zero (Mix Zero)</v>
      </c>
      <c r="B154" s="39" t="s">
        <v>109</v>
      </c>
      <c r="C154" s="39">
        <v>4.0</v>
      </c>
      <c r="D154" s="39">
        <v>952.0</v>
      </c>
      <c r="E154" s="39" t="s">
        <v>635</v>
      </c>
      <c r="F154" s="69">
        <v>16.35766806722689</v>
      </c>
      <c r="G154" s="69">
        <v>0.9814600840336133</v>
      </c>
      <c r="H154" s="69">
        <v>35.89210932717459</v>
      </c>
      <c r="I154" s="59">
        <v>0.07169117647058823</v>
      </c>
      <c r="J154" s="59">
        <v>0.0</v>
      </c>
      <c r="K154" s="59">
        <v>0.0</v>
      </c>
      <c r="L154" s="59">
        <v>0.21111869747899162</v>
      </c>
      <c r="M154" s="59">
        <v>0.28280987394957985</v>
      </c>
      <c r="N154" s="59">
        <v>0.7171901260504201</v>
      </c>
      <c r="O154" s="39">
        <v>118.25105042016806</v>
      </c>
      <c r="P154" s="39">
        <v>333.1302521008403</v>
      </c>
      <c r="Q154" s="59">
        <v>0.0</v>
      </c>
      <c r="R154" s="39">
        <v>13.325210084033612</v>
      </c>
      <c r="S154" s="97" t="str">
        <f t="array" ref="S154">IF(A154="","", IF( (ROUND(I154,4) &lt; INDEX('Tabela de ingredientes'!$O$1:$V$30, SWITCH(B154, "Gelatos de Leite", 7, "Sorbets", 10, "Gelatos de Leite com Fruta", 13, "Chocolate base água", 16, "Vegano", 19, "Alcoólicos", 22, "Zero", 25, "Gelatos Proteicos", 28, 7), 1)) + (ROUND(I154,4) &gt; INDEX('Tabela de ingredientes'!$O$1:$V$30, SWITCH(B154, "Gelatos de Leite", 8, "Sorbets", 11, "Gelatos de Leite com Fruta", 14, "Chocolate base água", 17, "Vegano", 20, "Alcoólicos", 23, "Zero", 26, "Gelatos Proteicos", 29, 8), 1)) + (ROUND(J154,4) &lt; INDEX('Tabela de ingredientes'!$O$1:$V$30, SWITCH(B154, "Gelatos de Leite", 7, "Sorbets", 10, "Gelatos de Leite com Fruta", 13, "Chocolate base água", 16, "Vegano", 19, "Alcoólicos", 22, "Zero", 25, "Gelatos Proteicos", 28, 7), 2)) + (ROUND(J154,4) &gt; INDEX('Tabela de ingredientes'!$O$1:$V$30, SWITCH(B154, "Gelatos de Leite", 8, "Sorbets", 11, "Gelatos de Leite com Fruta", 14, "Chocolate base água", 17, "Vegano", 20, "Alcoólicos", 23, "Zero", 26, "Gelatos Proteicos", 29, 8), 2)) + (ROUND(K154,4) &lt; INDEX('Tabela de ingredientes'!$O$1:$V$30, SWITCH(B154, "Gelatos de Leite", 7, "Sorbets", 10, "Gelatos de Leite com Fruta", 13, "Chocolate base água", 16, "Vegano", 19, "Alcoólicos", 22, "Zero", 25, "Gelatos Proteicos", 28, 7), 3)) + (ROUND(K154,4) &gt; INDEX('Tabela de ingredientes'!$O$1:$V$30, SWITCH(B154, "Gelatos de Leite", 8, "Sorbets", 11, "Gelatos de Leite com Fruta", 14, "Chocolate base água", 17, "Vegano", 20, "Alcoólicos", 23, "Zero", 26, "Gelatos Proteicos", 29, 8), 3)) + (ROUND(L154,4) &lt; INDEX('Tabela de ingredientes'!$O$1:$V$30, SWITCH(B154, "Gelatos de Leite", 7, "Sorbets", 10, "Gelatos de Leite com Fruta", 13, "Chocolate base água", 16, "Vegano", 19, "Alcoólicos", 22, "Zero", 25, "Gelatos Proteicos", 28, 7), 4)) + (ROUND(L154,4) &gt; INDEX('Tabela de ingredientes'!$O$1:$V$30, SWITCH(B154, "Gelatos de Leite", 8, "Sorbets", 11, "Gelatos de Leite com Fruta", 14, "Chocolate base água", 17, "Vegano", 20, "Alcoólicos", 23, "Zero", 26, "Gelatos Proteicos", 29, 8), 4)) + (ROUND(M154,4) &lt; INDEX('Tabela de ingredientes'!$O$1:$V$30, SWITCH(B154, "Gelatos de Leite", 7, "Sorbets", 10, "Gelatos de Leite com Fruta", 13, "Chocolate base água", 16, "Vegano", 19, "Alcoólicos", 22, "Zero", 25, "Gelatos Proteicos", 28, 7), 5)) + (ROUND(M154,4) &gt; INDEX('Tabela de ingredientes'!$O$1:$V$30, SWITCH(B154, "Gelatos de Leite", 8, "Sorbets", 11, "Gelatos de Leite com Fruta", 14, "Chocolate base água", 17, "Vegano", 20, "Alcoólicos", 23, "Zero", 26, "Gelatos Proteicos", 29, 8), 5)) + (ROUND(N154,4) &lt; INDEX('Tabela de ingredientes'!$O$1:$V$30, SWITCH(B154, "Gelatos de Leite", 7, "Sorbets", 10, "Gelatos de Leite com Fruta", 13, "Chocolate base água", 16, "Vegano", 19, "Alcoólicos", 22, "Zero", 25, "Gelatos Proteicos", 28, 7), 6)) + (ROUND(N154,4) &gt; INDEX('Tabela de ingredientes'!$O$1:$V$30, SWITCH(B154, "Gelatos de Leite", 8, "Sorbets", 11, "Gelatos de Leite com Fruta", 14, "Chocolate base água", 17, "Vegano", 20, "Alcoólicos", 23, "Zero", 26, "Gelatos Proteicos", 29, 8), 6)) + (ROUND(O154,4) &lt; INDEX('Tabela de ingredientes'!$O$1:$V$30, SWITCH(B154, "Gelatos de Leite", 7, "Sorbets", 10, "Gelatos de Leite com Fruta", 13, "Chocolate base água", 16, "Vegano", 19, "Alcoólicos", 22, "Zero", 25, "Gelatos Proteicos", 28, 7), 7)) + (ROUND(O154,4) &gt; INDEX('Tabela de ingredientes'!$O$1:$V$30, SWITCH(B154, "Gelatos de Leite", 8, "Sorbets", 11, "Gelatos de Leite com Fruta", 14, "Chocolate base água", 17, "Vegano", 20, "Alcoólicos", 23, "Zero", 26, "Gelatos Proteicos", 29, 8), 7)) + (ROUND(P154,4) &lt; INDEX('Tabela de ingredientes'!$O$1:$V$30, SWITCH(B154, "Gelatos de Leite", 7, "Sorbets", 10, "Gelatos de Leite com Fruta", 13, "Chocolate base água", 16, "Vegano", 19, "Alcoólicos", 22, "Zero", 25, "Gelatos Proteicos", 28, 7), 8)) + (ROUND(P154,4) &gt; INDEX('Tabela de ingredientes'!$O$1:$V$30, SWITCH(B154, "Gelatos de Leite", 8, "Sorbets", 11, "Gelatos de Leite com Fruta", 14, "Chocolate base água", 17, "Vegano", 20, "Alcoólicos", 23, "Zero", 26, "Gelatos Proteicos", 29, 8), 8)) + IF(B154="Gelatos Proteicos", (ROUND(Q154,4)&lt;'Tabela de ingredientes'!$W$28)+(ROUND(Q154,4)&gt;'Tabela de ingredientes'!$W$29), 0) = 0, "Ok", "Revisar"))</f>
        <v>Ok</v>
      </c>
    </row>
    <row r="155">
      <c r="A155" s="39" t="str">
        <f>IFERROR(__xludf.DUMMYFUNCTION("""COMPUTED_VALUE"""),"Sorbet de Morango e Manjericão Diet (Addolcire)")</f>
        <v>Sorbet de Morango e Manjericão Diet (Addolcire)</v>
      </c>
      <c r="B155" s="39" t="s">
        <v>109</v>
      </c>
      <c r="C155" s="39">
        <v>8.0</v>
      </c>
      <c r="D155" s="39">
        <v>1004.0</v>
      </c>
      <c r="E155" s="39" t="s">
        <v>368</v>
      </c>
      <c r="F155" s="69">
        <v>20.926294820717132</v>
      </c>
      <c r="G155" s="69">
        <v>1.255577689243028</v>
      </c>
      <c r="H155" s="69">
        <v>39.6740851164877</v>
      </c>
      <c r="I155" s="59">
        <v>0.23049003984063746</v>
      </c>
      <c r="J155" s="59">
        <v>0.0</v>
      </c>
      <c r="K155" s="59">
        <v>0.0</v>
      </c>
      <c r="L155" s="59">
        <v>0.04564741035856574</v>
      </c>
      <c r="M155" s="59">
        <v>0.2761374501992032</v>
      </c>
      <c r="N155" s="59">
        <v>0.7238625498007968</v>
      </c>
      <c r="O155" s="39">
        <v>192.03187250996012</v>
      </c>
      <c r="P155" s="39">
        <v>339.2828685258964</v>
      </c>
      <c r="Q155" s="59">
        <v>0.0051772908366533865</v>
      </c>
      <c r="R155" s="39">
        <v>13.571314741035856</v>
      </c>
      <c r="S155" s="97" t="str">
        <f t="array" ref="S155">IF(A155="","", IF( (ROUND(I155,4) &lt; INDEX('Tabela de ingredientes'!$O$1:$V$30, SWITCH(B155, "Gelatos de Leite", 7, "Sorbets", 10, "Gelatos de Leite com Fruta", 13, "Chocolate base água", 16, "Vegano", 19, "Alcoólicos", 22, "Zero", 25, "Gelatos Proteicos", 28, 7), 1)) + (ROUND(I155,4) &gt; INDEX('Tabela de ingredientes'!$O$1:$V$30, SWITCH(B155, "Gelatos de Leite", 8, "Sorbets", 11, "Gelatos de Leite com Fruta", 14, "Chocolate base água", 17, "Vegano", 20, "Alcoólicos", 23, "Zero", 26, "Gelatos Proteicos", 29, 8), 1)) + (ROUND(J155,4) &lt; INDEX('Tabela de ingredientes'!$O$1:$V$30, SWITCH(B155, "Gelatos de Leite", 7, "Sorbets", 10, "Gelatos de Leite com Fruta", 13, "Chocolate base água", 16, "Vegano", 19, "Alcoólicos", 22, "Zero", 25, "Gelatos Proteicos", 28, 7), 2)) + (ROUND(J155,4) &gt; INDEX('Tabela de ingredientes'!$O$1:$V$30, SWITCH(B155, "Gelatos de Leite", 8, "Sorbets", 11, "Gelatos de Leite com Fruta", 14, "Chocolate base água", 17, "Vegano", 20, "Alcoólicos", 23, "Zero", 26, "Gelatos Proteicos", 29, 8), 2)) + (ROUND(K155,4) &lt; INDEX('Tabela de ingredientes'!$O$1:$V$30, SWITCH(B155, "Gelatos de Leite", 7, "Sorbets", 10, "Gelatos de Leite com Fruta", 13, "Chocolate base água", 16, "Vegano", 19, "Alcoólicos", 22, "Zero", 25, "Gelatos Proteicos", 28, 7), 3)) + (ROUND(K155,4) &gt; INDEX('Tabela de ingredientes'!$O$1:$V$30, SWITCH(B155, "Gelatos de Leite", 8, "Sorbets", 11, "Gelatos de Leite com Fruta", 14, "Chocolate base água", 17, "Vegano", 20, "Alcoólicos", 23, "Zero", 26, "Gelatos Proteicos", 29, 8), 3)) + (ROUND(L155,4) &lt; INDEX('Tabela de ingredientes'!$O$1:$V$30, SWITCH(B155, "Gelatos de Leite", 7, "Sorbets", 10, "Gelatos de Leite com Fruta", 13, "Chocolate base água", 16, "Vegano", 19, "Alcoólicos", 22, "Zero", 25, "Gelatos Proteicos", 28, 7), 4)) + (ROUND(L155,4) &gt; INDEX('Tabela de ingredientes'!$O$1:$V$30, SWITCH(B155, "Gelatos de Leite", 8, "Sorbets", 11, "Gelatos de Leite com Fruta", 14, "Chocolate base água", 17, "Vegano", 20, "Alcoólicos", 23, "Zero", 26, "Gelatos Proteicos", 29, 8), 4)) + (ROUND(M155,4) &lt; INDEX('Tabela de ingredientes'!$O$1:$V$30, SWITCH(B155, "Gelatos de Leite", 7, "Sorbets", 10, "Gelatos de Leite com Fruta", 13, "Chocolate base água", 16, "Vegano", 19, "Alcoólicos", 22, "Zero", 25, "Gelatos Proteicos", 28, 7), 5)) + (ROUND(M155,4) &gt; INDEX('Tabela de ingredientes'!$O$1:$V$30, SWITCH(B155, "Gelatos de Leite", 8, "Sorbets", 11, "Gelatos de Leite com Fruta", 14, "Chocolate base água", 17, "Vegano", 20, "Alcoólicos", 23, "Zero", 26, "Gelatos Proteicos", 29, 8), 5)) + (ROUND(N155,4) &lt; INDEX('Tabela de ingredientes'!$O$1:$V$30, SWITCH(B155, "Gelatos de Leite", 7, "Sorbets", 10, "Gelatos de Leite com Fruta", 13, "Chocolate base água", 16, "Vegano", 19, "Alcoólicos", 22, "Zero", 25, "Gelatos Proteicos", 28, 7), 6)) + (ROUND(N155,4) &gt; INDEX('Tabela de ingredientes'!$O$1:$V$30, SWITCH(B155, "Gelatos de Leite", 8, "Sorbets", 11, "Gelatos de Leite com Fruta", 14, "Chocolate base água", 17, "Vegano", 20, "Alcoólicos", 23, "Zero", 26, "Gelatos Proteicos", 29, 8), 6)) + (ROUND(O155,4) &lt; INDEX('Tabela de ingredientes'!$O$1:$V$30, SWITCH(B155, "Gelatos de Leite", 7, "Sorbets", 10, "Gelatos de Leite com Fruta", 13, "Chocolate base água", 16, "Vegano", 19, "Alcoólicos", 22, "Zero", 25, "Gelatos Proteicos", 28, 7), 7)) + (ROUND(O155,4) &gt; INDEX('Tabela de ingredientes'!$O$1:$V$30, SWITCH(B155, "Gelatos de Leite", 8, "Sorbets", 11, "Gelatos de Leite com Fruta", 14, "Chocolate base água", 17, "Vegano", 20, "Alcoólicos", 23, "Zero", 26, "Gelatos Proteicos", 29, 8), 7)) + (ROUND(P155,4) &lt; INDEX('Tabela de ingredientes'!$O$1:$V$30, SWITCH(B155, "Gelatos de Leite", 7, "Sorbets", 10, "Gelatos de Leite com Fruta", 13, "Chocolate base água", 16, "Vegano", 19, "Alcoólicos", 22, "Zero", 25, "Gelatos Proteicos", 28, 7), 8)) + (ROUND(P155,4) &gt; INDEX('Tabela de ingredientes'!$O$1:$V$30, SWITCH(B155, "Gelatos de Leite", 8, "Sorbets", 11, "Gelatos de Leite com Fruta", 14, "Chocolate base água", 17, "Vegano", 20, "Alcoólicos", 23, "Zero", 26, "Gelatos Proteicos", 29, 8), 8)) + IF(B155="Gelatos Proteicos", (ROUND(Q155,4)&lt;'Tabela de ingredientes'!$W$28)+(ROUND(Q155,4)&gt;'Tabela de ingredientes'!$W$29), 0) = 0, "Ok", "Revisar"))</f>
        <v>Revisar</v>
      </c>
    </row>
    <row r="156">
      <c r="A156" s="39" t="str">
        <f>IFERROR(__xludf.DUMMYFUNCTION("""COMPUTED_VALUE"""),"Gelato de Coco com Cumaru Diet (Addolcire)")</f>
        <v>Gelato de Coco com Cumaru Diet (Addolcire)</v>
      </c>
      <c r="B156" s="39" t="s">
        <v>109</v>
      </c>
      <c r="C156" s="39">
        <v>7.0</v>
      </c>
      <c r="D156" s="39">
        <v>862.0</v>
      </c>
      <c r="E156" s="39" t="s">
        <v>636</v>
      </c>
      <c r="F156" s="69">
        <v>13.005104408352668</v>
      </c>
      <c r="G156" s="69">
        <v>0.78030626450116</v>
      </c>
      <c r="H156" s="69">
        <v>33.11680828506016</v>
      </c>
      <c r="I156" s="59">
        <v>0.22552204176334106</v>
      </c>
      <c r="J156" s="59">
        <v>0.0567169373549884</v>
      </c>
      <c r="K156" s="59">
        <v>0.09573085846867749</v>
      </c>
      <c r="L156" s="59">
        <v>0.008700696055684454</v>
      </c>
      <c r="M156" s="59">
        <v>0.38667053364269144</v>
      </c>
      <c r="N156" s="59">
        <v>0.6133294663573086</v>
      </c>
      <c r="O156" s="39">
        <v>174.261252900232</v>
      </c>
      <c r="P156" s="39">
        <v>313.1786542923435</v>
      </c>
      <c r="Q156" s="59">
        <v>0.03653132250580047</v>
      </c>
      <c r="R156" s="39">
        <v>12.527146171693738</v>
      </c>
      <c r="S156" s="97" t="str">
        <f t="array" ref="S156">IF(A156="","", IF( (ROUND(I156,4) &lt; INDEX('Tabela de ingredientes'!$O$1:$V$30, SWITCH(B156, "Gelatos de Leite", 7, "Sorbets", 10, "Gelatos de Leite com Fruta", 13, "Chocolate base água", 16, "Vegano", 19, "Alcoólicos", 22, "Zero", 25, "Gelatos Proteicos", 28, 7), 1)) + (ROUND(I156,4) &gt; INDEX('Tabela de ingredientes'!$O$1:$V$30, SWITCH(B156, "Gelatos de Leite", 8, "Sorbets", 11, "Gelatos de Leite com Fruta", 14, "Chocolate base água", 17, "Vegano", 20, "Alcoólicos", 23, "Zero", 26, "Gelatos Proteicos", 29, 8), 1)) + (ROUND(J156,4) &lt; INDEX('Tabela de ingredientes'!$O$1:$V$30, SWITCH(B156, "Gelatos de Leite", 7, "Sorbets", 10, "Gelatos de Leite com Fruta", 13, "Chocolate base água", 16, "Vegano", 19, "Alcoólicos", 22, "Zero", 25, "Gelatos Proteicos", 28, 7), 2)) + (ROUND(J156,4) &gt; INDEX('Tabela de ingredientes'!$O$1:$V$30, SWITCH(B156, "Gelatos de Leite", 8, "Sorbets", 11, "Gelatos de Leite com Fruta", 14, "Chocolate base água", 17, "Vegano", 20, "Alcoólicos", 23, "Zero", 26, "Gelatos Proteicos", 29, 8), 2)) + (ROUND(K156,4) &lt; INDEX('Tabela de ingredientes'!$O$1:$V$30, SWITCH(B156, "Gelatos de Leite", 7, "Sorbets", 10, "Gelatos de Leite com Fruta", 13, "Chocolate base água", 16, "Vegano", 19, "Alcoólicos", 22, "Zero", 25, "Gelatos Proteicos", 28, 7), 3)) + (ROUND(K156,4) &gt; INDEX('Tabela de ingredientes'!$O$1:$V$30, SWITCH(B156, "Gelatos de Leite", 8, "Sorbets", 11, "Gelatos de Leite com Fruta", 14, "Chocolate base água", 17, "Vegano", 20, "Alcoólicos", 23, "Zero", 26, "Gelatos Proteicos", 29, 8), 3)) + (ROUND(L156,4) &lt; INDEX('Tabela de ingredientes'!$O$1:$V$30, SWITCH(B156, "Gelatos de Leite", 7, "Sorbets", 10, "Gelatos de Leite com Fruta", 13, "Chocolate base água", 16, "Vegano", 19, "Alcoólicos", 22, "Zero", 25, "Gelatos Proteicos", 28, 7), 4)) + (ROUND(L156,4) &gt; INDEX('Tabela de ingredientes'!$O$1:$V$30, SWITCH(B156, "Gelatos de Leite", 8, "Sorbets", 11, "Gelatos de Leite com Fruta", 14, "Chocolate base água", 17, "Vegano", 20, "Alcoólicos", 23, "Zero", 26, "Gelatos Proteicos", 29, 8), 4)) + (ROUND(M156,4) &lt; INDEX('Tabela de ingredientes'!$O$1:$V$30, SWITCH(B156, "Gelatos de Leite", 7, "Sorbets", 10, "Gelatos de Leite com Fruta", 13, "Chocolate base água", 16, "Vegano", 19, "Alcoólicos", 22, "Zero", 25, "Gelatos Proteicos", 28, 7), 5)) + (ROUND(M156,4) &gt; INDEX('Tabela de ingredientes'!$O$1:$V$30, SWITCH(B156, "Gelatos de Leite", 8, "Sorbets", 11, "Gelatos de Leite com Fruta", 14, "Chocolate base água", 17, "Vegano", 20, "Alcoólicos", 23, "Zero", 26, "Gelatos Proteicos", 29, 8), 5)) + (ROUND(N156,4) &lt; INDEX('Tabela de ingredientes'!$O$1:$V$30, SWITCH(B156, "Gelatos de Leite", 7, "Sorbets", 10, "Gelatos de Leite com Fruta", 13, "Chocolate base água", 16, "Vegano", 19, "Alcoólicos", 22, "Zero", 25, "Gelatos Proteicos", 28, 7), 6)) + (ROUND(N156,4) &gt; INDEX('Tabela de ingredientes'!$O$1:$V$30, SWITCH(B156, "Gelatos de Leite", 8, "Sorbets", 11, "Gelatos de Leite com Fruta", 14, "Chocolate base água", 17, "Vegano", 20, "Alcoólicos", 23, "Zero", 26, "Gelatos Proteicos", 29, 8), 6)) + (ROUND(O156,4) &lt; INDEX('Tabela de ingredientes'!$O$1:$V$30, SWITCH(B156, "Gelatos de Leite", 7, "Sorbets", 10, "Gelatos de Leite com Fruta", 13, "Chocolate base água", 16, "Vegano", 19, "Alcoólicos", 22, "Zero", 25, "Gelatos Proteicos", 28, 7), 7)) + (ROUND(O156,4) &gt; INDEX('Tabela de ingredientes'!$O$1:$V$30, SWITCH(B156, "Gelatos de Leite", 8, "Sorbets", 11, "Gelatos de Leite com Fruta", 14, "Chocolate base água", 17, "Vegano", 20, "Alcoólicos", 23, "Zero", 26, "Gelatos Proteicos", 29, 8), 7)) + (ROUND(P156,4) &lt; INDEX('Tabela de ingredientes'!$O$1:$V$30, SWITCH(B156, "Gelatos de Leite", 7, "Sorbets", 10, "Gelatos de Leite com Fruta", 13, "Chocolate base água", 16, "Vegano", 19, "Alcoólicos", 22, "Zero", 25, "Gelatos Proteicos", 28, 7), 8)) + (ROUND(P156,4) &gt; INDEX('Tabela de ingredientes'!$O$1:$V$30, SWITCH(B156, "Gelatos de Leite", 8, "Sorbets", 11, "Gelatos de Leite com Fruta", 14, "Chocolate base água", 17, "Vegano", 20, "Alcoólicos", 23, "Zero", 26, "Gelatos Proteicos", 29, 8), 8)) + IF(B156="Gelatos Proteicos", (ROUND(Q156,4)&lt;'Tabela de ingredientes'!$W$28)+(ROUND(Q156,4)&gt;'Tabela de ingredientes'!$W$29), 0) = 0, "Ok", "Revisar"))</f>
        <v>Revisar</v>
      </c>
    </row>
    <row r="157">
      <c r="A157" s="39" t="str">
        <f>IFERROR(__xludf.DUMMYFUNCTION("""COMPUTED_VALUE"""),"Sorbet de Framboesa - Polióis (Sem Açúcar)")</f>
        <v>Sorbet de Framboesa - Polióis (Sem Açúcar)</v>
      </c>
      <c r="B157" s="39" t="s">
        <v>109</v>
      </c>
      <c r="C157" s="39">
        <v>8.0</v>
      </c>
      <c r="D157" s="39">
        <v>1024.0</v>
      </c>
      <c r="E157" s="39" t="s">
        <v>637</v>
      </c>
      <c r="F157" s="69">
        <v>11.4453125</v>
      </c>
      <c r="G157" s="69">
        <v>0.6867187499999999</v>
      </c>
      <c r="H157" s="69">
        <v>31.8255898178808</v>
      </c>
      <c r="I157" s="59">
        <v>0.22646484375</v>
      </c>
      <c r="J157" s="59">
        <v>0.00439453125</v>
      </c>
      <c r="K157" s="59">
        <v>0.0</v>
      </c>
      <c r="L157" s="59">
        <v>0.10517578125</v>
      </c>
      <c r="M157" s="59">
        <v>0.33603515625</v>
      </c>
      <c r="N157" s="59">
        <v>0.66396484375</v>
      </c>
      <c r="O157" s="39">
        <v>176.220703125</v>
      </c>
      <c r="P157" s="39">
        <v>316.298828125</v>
      </c>
      <c r="Q157" s="59">
        <v>0.00439453125</v>
      </c>
      <c r="R157" s="39">
        <v>12.651953125</v>
      </c>
      <c r="S157" s="97" t="str">
        <f t="array" ref="S157">IF(A157="","", IF( (ROUND(I157,4) &lt; INDEX('Tabela de ingredientes'!$O$1:$V$30, SWITCH(B157, "Gelatos de Leite", 7, "Sorbets", 10, "Gelatos de Leite com Fruta", 13, "Chocolate base água", 16, "Vegano", 19, "Alcoólicos", 22, "Zero", 25, "Gelatos Proteicos", 28, 7), 1)) + (ROUND(I157,4) &gt; INDEX('Tabela de ingredientes'!$O$1:$V$30, SWITCH(B157, "Gelatos de Leite", 8, "Sorbets", 11, "Gelatos de Leite com Fruta", 14, "Chocolate base água", 17, "Vegano", 20, "Alcoólicos", 23, "Zero", 26, "Gelatos Proteicos", 29, 8), 1)) + (ROUND(J157,4) &lt; INDEX('Tabela de ingredientes'!$O$1:$V$30, SWITCH(B157, "Gelatos de Leite", 7, "Sorbets", 10, "Gelatos de Leite com Fruta", 13, "Chocolate base água", 16, "Vegano", 19, "Alcoólicos", 22, "Zero", 25, "Gelatos Proteicos", 28, 7), 2)) + (ROUND(J157,4) &gt; INDEX('Tabela de ingredientes'!$O$1:$V$30, SWITCH(B157, "Gelatos de Leite", 8, "Sorbets", 11, "Gelatos de Leite com Fruta", 14, "Chocolate base água", 17, "Vegano", 20, "Alcoólicos", 23, "Zero", 26, "Gelatos Proteicos", 29, 8), 2)) + (ROUND(K157,4) &lt; INDEX('Tabela de ingredientes'!$O$1:$V$30, SWITCH(B157, "Gelatos de Leite", 7, "Sorbets", 10, "Gelatos de Leite com Fruta", 13, "Chocolate base água", 16, "Vegano", 19, "Alcoólicos", 22, "Zero", 25, "Gelatos Proteicos", 28, 7), 3)) + (ROUND(K157,4) &gt; INDEX('Tabela de ingredientes'!$O$1:$V$30, SWITCH(B157, "Gelatos de Leite", 8, "Sorbets", 11, "Gelatos de Leite com Fruta", 14, "Chocolate base água", 17, "Vegano", 20, "Alcoólicos", 23, "Zero", 26, "Gelatos Proteicos", 29, 8), 3)) + (ROUND(L157,4) &lt; INDEX('Tabela de ingredientes'!$O$1:$V$30, SWITCH(B157, "Gelatos de Leite", 7, "Sorbets", 10, "Gelatos de Leite com Fruta", 13, "Chocolate base água", 16, "Vegano", 19, "Alcoólicos", 22, "Zero", 25, "Gelatos Proteicos", 28, 7), 4)) + (ROUND(L157,4) &gt; INDEX('Tabela de ingredientes'!$O$1:$V$30, SWITCH(B157, "Gelatos de Leite", 8, "Sorbets", 11, "Gelatos de Leite com Fruta", 14, "Chocolate base água", 17, "Vegano", 20, "Alcoólicos", 23, "Zero", 26, "Gelatos Proteicos", 29, 8), 4)) + (ROUND(M157,4) &lt; INDEX('Tabela de ingredientes'!$O$1:$V$30, SWITCH(B157, "Gelatos de Leite", 7, "Sorbets", 10, "Gelatos de Leite com Fruta", 13, "Chocolate base água", 16, "Vegano", 19, "Alcoólicos", 22, "Zero", 25, "Gelatos Proteicos", 28, 7), 5)) + (ROUND(M157,4) &gt; INDEX('Tabela de ingredientes'!$O$1:$V$30, SWITCH(B157, "Gelatos de Leite", 8, "Sorbets", 11, "Gelatos de Leite com Fruta", 14, "Chocolate base água", 17, "Vegano", 20, "Alcoólicos", 23, "Zero", 26, "Gelatos Proteicos", 29, 8), 5)) + (ROUND(N157,4) &lt; INDEX('Tabela de ingredientes'!$O$1:$V$30, SWITCH(B157, "Gelatos de Leite", 7, "Sorbets", 10, "Gelatos de Leite com Fruta", 13, "Chocolate base água", 16, "Vegano", 19, "Alcoólicos", 22, "Zero", 25, "Gelatos Proteicos", 28, 7), 6)) + (ROUND(N157,4) &gt; INDEX('Tabela de ingredientes'!$O$1:$V$30, SWITCH(B157, "Gelatos de Leite", 8, "Sorbets", 11, "Gelatos de Leite com Fruta", 14, "Chocolate base água", 17, "Vegano", 20, "Alcoólicos", 23, "Zero", 26, "Gelatos Proteicos", 29, 8), 6)) + (ROUND(O157,4) &lt; INDEX('Tabela de ingredientes'!$O$1:$V$30, SWITCH(B157, "Gelatos de Leite", 7, "Sorbets", 10, "Gelatos de Leite com Fruta", 13, "Chocolate base água", 16, "Vegano", 19, "Alcoólicos", 22, "Zero", 25, "Gelatos Proteicos", 28, 7), 7)) + (ROUND(O157,4) &gt; INDEX('Tabela de ingredientes'!$O$1:$V$30, SWITCH(B157, "Gelatos de Leite", 8, "Sorbets", 11, "Gelatos de Leite com Fruta", 14, "Chocolate base água", 17, "Vegano", 20, "Alcoólicos", 23, "Zero", 26, "Gelatos Proteicos", 29, 8), 7)) + (ROUND(P157,4) &lt; INDEX('Tabela de ingredientes'!$O$1:$V$30, SWITCH(B157, "Gelatos de Leite", 7, "Sorbets", 10, "Gelatos de Leite com Fruta", 13, "Chocolate base água", 16, "Vegano", 19, "Alcoólicos", 22, "Zero", 25, "Gelatos Proteicos", 28, 7), 8)) + (ROUND(P157,4) &gt; INDEX('Tabela de ingredientes'!$O$1:$V$30, SWITCH(B157, "Gelatos de Leite", 8, "Sorbets", 11, "Gelatos de Leite com Fruta", 14, "Chocolate base água", 17, "Vegano", 20, "Alcoólicos", 23, "Zero", 26, "Gelatos Proteicos", 29, 8), 8)) + IF(B157="Gelatos Proteicos", (ROUND(Q157,4)&lt;'Tabela de ingredientes'!$W$28)+(ROUND(Q157,4)&gt;'Tabela de ingredientes'!$W$29), 0) = 0, "Ok", "Revisar"))</f>
        <v>Ok</v>
      </c>
    </row>
    <row r="158">
      <c r="A158" s="39" t="str">
        <f>IFERROR(__xludf.DUMMYFUNCTION("""COMPUTED_VALUE"""),"Sorbet de Framboesa - Redução de Polióis (Sem Açúcar)")</f>
        <v>Sorbet de Framboesa - Redução de Polióis (Sem Açúcar)</v>
      </c>
      <c r="B158" s="39" t="s">
        <v>109</v>
      </c>
      <c r="C158" s="39">
        <v>8.0</v>
      </c>
      <c r="D158" s="39">
        <v>1001.0</v>
      </c>
      <c r="E158" s="39" t="s">
        <v>161</v>
      </c>
      <c r="F158" s="69">
        <v>12.437562437562438</v>
      </c>
      <c r="G158" s="69">
        <v>0.7462537462537462</v>
      </c>
      <c r="H158" s="69">
        <v>32.64698877281659</v>
      </c>
      <c r="I158" s="59">
        <v>0.09030969030969031</v>
      </c>
      <c r="J158" s="59">
        <v>0.004995004995004995</v>
      </c>
      <c r="K158" s="59">
        <v>0.0</v>
      </c>
      <c r="L158" s="59">
        <v>0.22747252747252747</v>
      </c>
      <c r="M158" s="59">
        <v>0.32277722277722276</v>
      </c>
      <c r="N158" s="59">
        <v>0.6772227772227772</v>
      </c>
      <c r="O158" s="39">
        <v>153.44655344655345</v>
      </c>
      <c r="P158" s="39">
        <v>304.83516483516485</v>
      </c>
      <c r="Q158" s="59">
        <v>0.004995004995004995</v>
      </c>
      <c r="R158" s="39">
        <v>12.193406593406594</v>
      </c>
      <c r="S158" s="97" t="str">
        <f t="array" ref="S158">IF(A158="","", IF( (ROUND(I158,4) &lt; INDEX('Tabela de ingredientes'!$O$1:$V$30, SWITCH(B158, "Gelatos de Leite", 7, "Sorbets", 10, "Gelatos de Leite com Fruta", 13, "Chocolate base água", 16, "Vegano", 19, "Alcoólicos", 22, "Zero", 25, "Gelatos Proteicos", 28, 7), 1)) + (ROUND(I158,4) &gt; INDEX('Tabela de ingredientes'!$O$1:$V$30, SWITCH(B158, "Gelatos de Leite", 8, "Sorbets", 11, "Gelatos de Leite com Fruta", 14, "Chocolate base água", 17, "Vegano", 20, "Alcoólicos", 23, "Zero", 26, "Gelatos Proteicos", 29, 8), 1)) + (ROUND(J158,4) &lt; INDEX('Tabela de ingredientes'!$O$1:$V$30, SWITCH(B158, "Gelatos de Leite", 7, "Sorbets", 10, "Gelatos de Leite com Fruta", 13, "Chocolate base água", 16, "Vegano", 19, "Alcoólicos", 22, "Zero", 25, "Gelatos Proteicos", 28, 7), 2)) + (ROUND(J158,4) &gt; INDEX('Tabela de ingredientes'!$O$1:$V$30, SWITCH(B158, "Gelatos de Leite", 8, "Sorbets", 11, "Gelatos de Leite com Fruta", 14, "Chocolate base água", 17, "Vegano", 20, "Alcoólicos", 23, "Zero", 26, "Gelatos Proteicos", 29, 8), 2)) + (ROUND(K158,4) &lt; INDEX('Tabela de ingredientes'!$O$1:$V$30, SWITCH(B158, "Gelatos de Leite", 7, "Sorbets", 10, "Gelatos de Leite com Fruta", 13, "Chocolate base água", 16, "Vegano", 19, "Alcoólicos", 22, "Zero", 25, "Gelatos Proteicos", 28, 7), 3)) + (ROUND(K158,4) &gt; INDEX('Tabela de ingredientes'!$O$1:$V$30, SWITCH(B158, "Gelatos de Leite", 8, "Sorbets", 11, "Gelatos de Leite com Fruta", 14, "Chocolate base água", 17, "Vegano", 20, "Alcoólicos", 23, "Zero", 26, "Gelatos Proteicos", 29, 8), 3)) + (ROUND(L158,4) &lt; INDEX('Tabela de ingredientes'!$O$1:$V$30, SWITCH(B158, "Gelatos de Leite", 7, "Sorbets", 10, "Gelatos de Leite com Fruta", 13, "Chocolate base água", 16, "Vegano", 19, "Alcoólicos", 22, "Zero", 25, "Gelatos Proteicos", 28, 7), 4)) + (ROUND(L158,4) &gt; INDEX('Tabela de ingredientes'!$O$1:$V$30, SWITCH(B158, "Gelatos de Leite", 8, "Sorbets", 11, "Gelatos de Leite com Fruta", 14, "Chocolate base água", 17, "Vegano", 20, "Alcoólicos", 23, "Zero", 26, "Gelatos Proteicos", 29, 8), 4)) + (ROUND(M158,4) &lt; INDEX('Tabela de ingredientes'!$O$1:$V$30, SWITCH(B158, "Gelatos de Leite", 7, "Sorbets", 10, "Gelatos de Leite com Fruta", 13, "Chocolate base água", 16, "Vegano", 19, "Alcoólicos", 22, "Zero", 25, "Gelatos Proteicos", 28, 7), 5)) + (ROUND(M158,4) &gt; INDEX('Tabela de ingredientes'!$O$1:$V$30, SWITCH(B158, "Gelatos de Leite", 8, "Sorbets", 11, "Gelatos de Leite com Fruta", 14, "Chocolate base água", 17, "Vegano", 20, "Alcoólicos", 23, "Zero", 26, "Gelatos Proteicos", 29, 8), 5)) + (ROUND(N158,4) &lt; INDEX('Tabela de ingredientes'!$O$1:$V$30, SWITCH(B158, "Gelatos de Leite", 7, "Sorbets", 10, "Gelatos de Leite com Fruta", 13, "Chocolate base água", 16, "Vegano", 19, "Alcoólicos", 22, "Zero", 25, "Gelatos Proteicos", 28, 7), 6)) + (ROUND(N158,4) &gt; INDEX('Tabela de ingredientes'!$O$1:$V$30, SWITCH(B158, "Gelatos de Leite", 8, "Sorbets", 11, "Gelatos de Leite com Fruta", 14, "Chocolate base água", 17, "Vegano", 20, "Alcoólicos", 23, "Zero", 26, "Gelatos Proteicos", 29, 8), 6)) + (ROUND(O158,4) &lt; INDEX('Tabela de ingredientes'!$O$1:$V$30, SWITCH(B158, "Gelatos de Leite", 7, "Sorbets", 10, "Gelatos de Leite com Fruta", 13, "Chocolate base água", 16, "Vegano", 19, "Alcoólicos", 22, "Zero", 25, "Gelatos Proteicos", 28, 7), 7)) + (ROUND(O158,4) &gt; INDEX('Tabela de ingredientes'!$O$1:$V$30, SWITCH(B158, "Gelatos de Leite", 8, "Sorbets", 11, "Gelatos de Leite com Fruta", 14, "Chocolate base água", 17, "Vegano", 20, "Alcoólicos", 23, "Zero", 26, "Gelatos Proteicos", 29, 8), 7)) + (ROUND(P158,4) &lt; INDEX('Tabela de ingredientes'!$O$1:$V$30, SWITCH(B158, "Gelatos de Leite", 7, "Sorbets", 10, "Gelatos de Leite com Fruta", 13, "Chocolate base água", 16, "Vegano", 19, "Alcoólicos", 22, "Zero", 25, "Gelatos Proteicos", 28, 7), 8)) + (ROUND(P158,4) &gt; INDEX('Tabela de ingredientes'!$O$1:$V$30, SWITCH(B158, "Gelatos de Leite", 8, "Sorbets", 11, "Gelatos de Leite com Fruta", 14, "Chocolate base água", 17, "Vegano", 20, "Alcoólicos", 23, "Zero", 26, "Gelatos Proteicos", 29, 8), 8)) + IF(B158="Gelatos Proteicos", (ROUND(Q158,4)&lt;'Tabela de ingredientes'!$W$28)+(ROUND(Q158,4)&gt;'Tabela de ingredientes'!$W$29), 0) = 0, "Ok", "Revisar"))</f>
        <v>Ok</v>
      </c>
    </row>
    <row r="159">
      <c r="A159" s="39" t="str">
        <f>IFERROR(__xludf.DUMMYFUNCTION("""COMPUTED_VALUE"""),"Fior di Latte 17% - Polióis (Sem Açúcar)")</f>
        <v>Fior di Latte 17% - Polióis (Sem Açúcar)</v>
      </c>
      <c r="B159" s="39" t="s">
        <v>109</v>
      </c>
      <c r="C159" s="39">
        <v>7.0</v>
      </c>
      <c r="D159" s="39">
        <v>880.0</v>
      </c>
      <c r="E159" s="39" t="s">
        <v>638</v>
      </c>
      <c r="F159" s="69">
        <v>14.14602272727273</v>
      </c>
      <c r="G159" s="69">
        <v>0.8487613636363638</v>
      </c>
      <c r="H159" s="69">
        <v>34.061277092113194</v>
      </c>
      <c r="I159" s="59">
        <v>0.1534090909090909</v>
      </c>
      <c r="J159" s="59">
        <v>0.08153409090909093</v>
      </c>
      <c r="K159" s="59">
        <v>0.10772727272727273</v>
      </c>
      <c r="L159" s="59">
        <v>0.005681818181818182</v>
      </c>
      <c r="M159" s="59">
        <v>0.34835227272727276</v>
      </c>
      <c r="N159" s="59">
        <v>0.6516477272727272</v>
      </c>
      <c r="O159" s="39">
        <v>116.2727272727273</v>
      </c>
      <c r="P159" s="39">
        <v>258.52272727272725</v>
      </c>
      <c r="Q159" s="59">
        <v>0.03982954545454545</v>
      </c>
      <c r="R159" s="39">
        <v>10.34090909090909</v>
      </c>
      <c r="S159" s="97" t="str">
        <f t="array" ref="S159">IF(A159="","", IF( (ROUND(I159,4) &lt; INDEX('Tabela de ingredientes'!$O$1:$V$30, SWITCH(B159, "Gelatos de Leite", 7, "Sorbets", 10, "Gelatos de Leite com Fruta", 13, "Chocolate base água", 16, "Vegano", 19, "Alcoólicos", 22, "Zero", 25, "Gelatos Proteicos", 28, 7), 1)) + (ROUND(I159,4) &gt; INDEX('Tabela de ingredientes'!$O$1:$V$30, SWITCH(B159, "Gelatos de Leite", 8, "Sorbets", 11, "Gelatos de Leite com Fruta", 14, "Chocolate base água", 17, "Vegano", 20, "Alcoólicos", 23, "Zero", 26, "Gelatos Proteicos", 29, 8), 1)) + (ROUND(J159,4) &lt; INDEX('Tabela de ingredientes'!$O$1:$V$30, SWITCH(B159, "Gelatos de Leite", 7, "Sorbets", 10, "Gelatos de Leite com Fruta", 13, "Chocolate base água", 16, "Vegano", 19, "Alcoólicos", 22, "Zero", 25, "Gelatos Proteicos", 28, 7), 2)) + (ROUND(J159,4) &gt; INDEX('Tabela de ingredientes'!$O$1:$V$30, SWITCH(B159, "Gelatos de Leite", 8, "Sorbets", 11, "Gelatos de Leite com Fruta", 14, "Chocolate base água", 17, "Vegano", 20, "Alcoólicos", 23, "Zero", 26, "Gelatos Proteicos", 29, 8), 2)) + (ROUND(K159,4) &lt; INDEX('Tabela de ingredientes'!$O$1:$V$30, SWITCH(B159, "Gelatos de Leite", 7, "Sorbets", 10, "Gelatos de Leite com Fruta", 13, "Chocolate base água", 16, "Vegano", 19, "Alcoólicos", 22, "Zero", 25, "Gelatos Proteicos", 28, 7), 3)) + (ROUND(K159,4) &gt; INDEX('Tabela de ingredientes'!$O$1:$V$30, SWITCH(B159, "Gelatos de Leite", 8, "Sorbets", 11, "Gelatos de Leite com Fruta", 14, "Chocolate base água", 17, "Vegano", 20, "Alcoólicos", 23, "Zero", 26, "Gelatos Proteicos", 29, 8), 3)) + (ROUND(L159,4) &lt; INDEX('Tabela de ingredientes'!$O$1:$V$30, SWITCH(B159, "Gelatos de Leite", 7, "Sorbets", 10, "Gelatos de Leite com Fruta", 13, "Chocolate base água", 16, "Vegano", 19, "Alcoólicos", 22, "Zero", 25, "Gelatos Proteicos", 28, 7), 4)) + (ROUND(L159,4) &gt; INDEX('Tabela de ingredientes'!$O$1:$V$30, SWITCH(B159, "Gelatos de Leite", 8, "Sorbets", 11, "Gelatos de Leite com Fruta", 14, "Chocolate base água", 17, "Vegano", 20, "Alcoólicos", 23, "Zero", 26, "Gelatos Proteicos", 29, 8), 4)) + (ROUND(M159,4) &lt; INDEX('Tabela de ingredientes'!$O$1:$V$30, SWITCH(B159, "Gelatos de Leite", 7, "Sorbets", 10, "Gelatos de Leite com Fruta", 13, "Chocolate base água", 16, "Vegano", 19, "Alcoólicos", 22, "Zero", 25, "Gelatos Proteicos", 28, 7), 5)) + (ROUND(M159,4) &gt; INDEX('Tabela de ingredientes'!$O$1:$V$30, SWITCH(B159, "Gelatos de Leite", 8, "Sorbets", 11, "Gelatos de Leite com Fruta", 14, "Chocolate base água", 17, "Vegano", 20, "Alcoólicos", 23, "Zero", 26, "Gelatos Proteicos", 29, 8), 5)) + (ROUND(N159,4) &lt; INDEX('Tabela de ingredientes'!$O$1:$V$30, SWITCH(B159, "Gelatos de Leite", 7, "Sorbets", 10, "Gelatos de Leite com Fruta", 13, "Chocolate base água", 16, "Vegano", 19, "Alcoólicos", 22, "Zero", 25, "Gelatos Proteicos", 28, 7), 6)) + (ROUND(N159,4) &gt; INDEX('Tabela de ingredientes'!$O$1:$V$30, SWITCH(B159, "Gelatos de Leite", 8, "Sorbets", 11, "Gelatos de Leite com Fruta", 14, "Chocolate base água", 17, "Vegano", 20, "Alcoólicos", 23, "Zero", 26, "Gelatos Proteicos", 29, 8), 6)) + (ROUND(O159,4) &lt; INDEX('Tabela de ingredientes'!$O$1:$V$30, SWITCH(B159, "Gelatos de Leite", 7, "Sorbets", 10, "Gelatos de Leite com Fruta", 13, "Chocolate base água", 16, "Vegano", 19, "Alcoólicos", 22, "Zero", 25, "Gelatos Proteicos", 28, 7), 7)) + (ROUND(O159,4) &gt; INDEX('Tabela de ingredientes'!$O$1:$V$30, SWITCH(B159, "Gelatos de Leite", 8, "Sorbets", 11, "Gelatos de Leite com Fruta", 14, "Chocolate base água", 17, "Vegano", 20, "Alcoólicos", 23, "Zero", 26, "Gelatos Proteicos", 29, 8), 7)) + (ROUND(P159,4) &lt; INDEX('Tabela de ingredientes'!$O$1:$V$30, SWITCH(B159, "Gelatos de Leite", 7, "Sorbets", 10, "Gelatos de Leite com Fruta", 13, "Chocolate base água", 16, "Vegano", 19, "Alcoólicos", 22, "Zero", 25, "Gelatos Proteicos", 28, 7), 8)) + (ROUND(P159,4) &gt; INDEX('Tabela de ingredientes'!$O$1:$V$30, SWITCH(B159, "Gelatos de Leite", 8, "Sorbets", 11, "Gelatos de Leite com Fruta", 14, "Chocolate base água", 17, "Vegano", 20, "Alcoólicos", 23, "Zero", 26, "Gelatos Proteicos", 29, 8), 8)) + IF(B159="Gelatos Proteicos", (ROUND(Q159,4)&lt;'Tabela de ingredientes'!$W$28)+(ROUND(Q159,4)&gt;'Tabela de ingredientes'!$W$29), 0) = 0, "Ok", "Revisar"))</f>
        <v>Revisar</v>
      </c>
    </row>
    <row r="160">
      <c r="A160" s="39" t="str">
        <f>IFERROR(__xludf.DUMMYFUNCTION("""COMPUTED_VALUE"""),"Fior di Latte 17% - Menos Polióis (Sem Açúcar)")</f>
        <v>Fior di Latte 17% - Menos Polióis (Sem Açúcar)</v>
      </c>
      <c r="B160" s="39" t="s">
        <v>109</v>
      </c>
      <c r="C160" s="39">
        <v>8.0</v>
      </c>
      <c r="D160" s="39">
        <v>892.0</v>
      </c>
      <c r="E160" s="39" t="s">
        <v>639</v>
      </c>
      <c r="F160" s="69">
        <v>16.074551569506728</v>
      </c>
      <c r="G160" s="69">
        <v>0.9644730941704036</v>
      </c>
      <c r="H160" s="69">
        <v>35.657741365485705</v>
      </c>
      <c r="I160" s="59">
        <v>0.05044843049327354</v>
      </c>
      <c r="J160" s="59">
        <v>0.08043721973094171</v>
      </c>
      <c r="K160" s="59">
        <v>0.10627802690582959</v>
      </c>
      <c r="L160" s="59">
        <v>0.11434977578475336</v>
      </c>
      <c r="M160" s="59">
        <v>0.3515134529147982</v>
      </c>
      <c r="N160" s="59">
        <v>0.6484865470852018</v>
      </c>
      <c r="O160" s="39">
        <v>120.31390134529148</v>
      </c>
      <c r="P160" s="39">
        <v>261.7713004484305</v>
      </c>
      <c r="Q160" s="59">
        <v>0.039293721973094164</v>
      </c>
      <c r="R160" s="39">
        <v>10.47085201793722</v>
      </c>
      <c r="S160" s="97" t="str">
        <f t="array" ref="S160">IF(A160="","", IF( (ROUND(I160,4) &lt; INDEX('Tabela de ingredientes'!$O$1:$V$30, SWITCH(B160, "Gelatos de Leite", 7, "Sorbets", 10, "Gelatos de Leite com Fruta", 13, "Chocolate base água", 16, "Vegano", 19, "Alcoólicos", 22, "Zero", 25, "Gelatos Proteicos", 28, 7), 1)) + (ROUND(I160,4) &gt; INDEX('Tabela de ingredientes'!$O$1:$V$30, SWITCH(B160, "Gelatos de Leite", 8, "Sorbets", 11, "Gelatos de Leite com Fruta", 14, "Chocolate base água", 17, "Vegano", 20, "Alcoólicos", 23, "Zero", 26, "Gelatos Proteicos", 29, 8), 1)) + (ROUND(J160,4) &lt; INDEX('Tabela de ingredientes'!$O$1:$V$30, SWITCH(B160, "Gelatos de Leite", 7, "Sorbets", 10, "Gelatos de Leite com Fruta", 13, "Chocolate base água", 16, "Vegano", 19, "Alcoólicos", 22, "Zero", 25, "Gelatos Proteicos", 28, 7), 2)) + (ROUND(J160,4) &gt; INDEX('Tabela de ingredientes'!$O$1:$V$30, SWITCH(B160, "Gelatos de Leite", 8, "Sorbets", 11, "Gelatos de Leite com Fruta", 14, "Chocolate base água", 17, "Vegano", 20, "Alcoólicos", 23, "Zero", 26, "Gelatos Proteicos", 29, 8), 2)) + (ROUND(K160,4) &lt; INDEX('Tabela de ingredientes'!$O$1:$V$30, SWITCH(B160, "Gelatos de Leite", 7, "Sorbets", 10, "Gelatos de Leite com Fruta", 13, "Chocolate base água", 16, "Vegano", 19, "Alcoólicos", 22, "Zero", 25, "Gelatos Proteicos", 28, 7), 3)) + (ROUND(K160,4) &gt; INDEX('Tabela de ingredientes'!$O$1:$V$30, SWITCH(B160, "Gelatos de Leite", 8, "Sorbets", 11, "Gelatos de Leite com Fruta", 14, "Chocolate base água", 17, "Vegano", 20, "Alcoólicos", 23, "Zero", 26, "Gelatos Proteicos", 29, 8), 3)) + (ROUND(L160,4) &lt; INDEX('Tabela de ingredientes'!$O$1:$V$30, SWITCH(B160, "Gelatos de Leite", 7, "Sorbets", 10, "Gelatos de Leite com Fruta", 13, "Chocolate base água", 16, "Vegano", 19, "Alcoólicos", 22, "Zero", 25, "Gelatos Proteicos", 28, 7), 4)) + (ROUND(L160,4) &gt; INDEX('Tabela de ingredientes'!$O$1:$V$30, SWITCH(B160, "Gelatos de Leite", 8, "Sorbets", 11, "Gelatos de Leite com Fruta", 14, "Chocolate base água", 17, "Vegano", 20, "Alcoólicos", 23, "Zero", 26, "Gelatos Proteicos", 29, 8), 4)) + (ROUND(M160,4) &lt; INDEX('Tabela de ingredientes'!$O$1:$V$30, SWITCH(B160, "Gelatos de Leite", 7, "Sorbets", 10, "Gelatos de Leite com Fruta", 13, "Chocolate base água", 16, "Vegano", 19, "Alcoólicos", 22, "Zero", 25, "Gelatos Proteicos", 28, 7), 5)) + (ROUND(M160,4) &gt; INDEX('Tabela de ingredientes'!$O$1:$V$30, SWITCH(B160, "Gelatos de Leite", 8, "Sorbets", 11, "Gelatos de Leite com Fruta", 14, "Chocolate base água", 17, "Vegano", 20, "Alcoólicos", 23, "Zero", 26, "Gelatos Proteicos", 29, 8), 5)) + (ROUND(N160,4) &lt; INDEX('Tabela de ingredientes'!$O$1:$V$30, SWITCH(B160, "Gelatos de Leite", 7, "Sorbets", 10, "Gelatos de Leite com Fruta", 13, "Chocolate base água", 16, "Vegano", 19, "Alcoólicos", 22, "Zero", 25, "Gelatos Proteicos", 28, 7), 6)) + (ROUND(N160,4) &gt; INDEX('Tabela de ingredientes'!$O$1:$V$30, SWITCH(B160, "Gelatos de Leite", 8, "Sorbets", 11, "Gelatos de Leite com Fruta", 14, "Chocolate base água", 17, "Vegano", 20, "Alcoólicos", 23, "Zero", 26, "Gelatos Proteicos", 29, 8), 6)) + (ROUND(O160,4) &lt; INDEX('Tabela de ingredientes'!$O$1:$V$30, SWITCH(B160, "Gelatos de Leite", 7, "Sorbets", 10, "Gelatos de Leite com Fruta", 13, "Chocolate base água", 16, "Vegano", 19, "Alcoólicos", 22, "Zero", 25, "Gelatos Proteicos", 28, 7), 7)) + (ROUND(O160,4) &gt; INDEX('Tabela de ingredientes'!$O$1:$V$30, SWITCH(B160, "Gelatos de Leite", 8, "Sorbets", 11, "Gelatos de Leite com Fruta", 14, "Chocolate base água", 17, "Vegano", 20, "Alcoólicos", 23, "Zero", 26, "Gelatos Proteicos", 29, 8), 7)) + (ROUND(P160,4) &lt; INDEX('Tabela de ingredientes'!$O$1:$V$30, SWITCH(B160, "Gelatos de Leite", 7, "Sorbets", 10, "Gelatos de Leite com Fruta", 13, "Chocolate base água", 16, "Vegano", 19, "Alcoólicos", 22, "Zero", 25, "Gelatos Proteicos", 28, 7), 8)) + (ROUND(P160,4) &gt; INDEX('Tabela de ingredientes'!$O$1:$V$30, SWITCH(B160, "Gelatos de Leite", 8, "Sorbets", 11, "Gelatos de Leite com Fruta", 14, "Chocolate base água", 17, "Vegano", 20, "Alcoólicos", 23, "Zero", 26, "Gelatos Proteicos", 29, 8), 8)) + IF(B160="Gelatos Proteicos", (ROUND(Q160,4)&lt;'Tabela de ingredientes'!$W$28)+(ROUND(Q160,4)&gt;'Tabela de ingredientes'!$W$29), 0) = 0, "Ok", "Revisar"))</f>
        <v>Ok</v>
      </c>
    </row>
    <row r="161">
      <c r="A161" s="39" t="str">
        <f>IFERROR(__xludf.DUMMYFUNCTION("""COMPUTED_VALUE"""),"Chocolate 17% - Polióis (Sem Açúcar)")</f>
        <v>Chocolate 17% - Polióis (Sem Açúcar)</v>
      </c>
      <c r="B161" s="39" t="s">
        <v>109</v>
      </c>
      <c r="C161" s="39">
        <v>10.0</v>
      </c>
      <c r="D161" s="39">
        <v>964.0</v>
      </c>
      <c r="E161" s="39" t="s">
        <v>640</v>
      </c>
      <c r="F161" s="69">
        <v>13.461099585062243</v>
      </c>
      <c r="G161" s="69">
        <v>0.8076659751037345</v>
      </c>
      <c r="H161" s="69">
        <v>33.49428773597869</v>
      </c>
      <c r="I161" s="59">
        <v>0.1504149377593361</v>
      </c>
      <c r="J161" s="59">
        <v>0.07095435684647304</v>
      </c>
      <c r="K161" s="59">
        <v>0.07479253112033195</v>
      </c>
      <c r="L161" s="59">
        <v>0.05176348547717842</v>
      </c>
      <c r="M161" s="59">
        <v>0.3479253112033195</v>
      </c>
      <c r="N161" s="59">
        <v>0.6520746887966805</v>
      </c>
      <c r="O161" s="39">
        <v>111.54979253112032</v>
      </c>
      <c r="P161" s="39">
        <v>253.31950207468878</v>
      </c>
      <c r="Q161" s="59">
        <v>0.043931535269709554</v>
      </c>
      <c r="R161" s="39">
        <v>10.132780082987551</v>
      </c>
      <c r="S161" s="97" t="str">
        <f t="array" ref="S161">IF(A161="","", IF( (ROUND(I161,4) &lt; INDEX('Tabela de ingredientes'!$O$1:$V$30, SWITCH(B161, "Gelatos de Leite", 7, "Sorbets", 10, "Gelatos de Leite com Fruta", 13, "Chocolate base água", 16, "Vegano", 19, "Alcoólicos", 22, "Zero", 25, "Gelatos Proteicos", 28, 7), 1)) + (ROUND(I161,4) &gt; INDEX('Tabela de ingredientes'!$O$1:$V$30, SWITCH(B161, "Gelatos de Leite", 8, "Sorbets", 11, "Gelatos de Leite com Fruta", 14, "Chocolate base água", 17, "Vegano", 20, "Alcoólicos", 23, "Zero", 26, "Gelatos Proteicos", 29, 8), 1)) + (ROUND(J161,4) &lt; INDEX('Tabela de ingredientes'!$O$1:$V$30, SWITCH(B161, "Gelatos de Leite", 7, "Sorbets", 10, "Gelatos de Leite com Fruta", 13, "Chocolate base água", 16, "Vegano", 19, "Alcoólicos", 22, "Zero", 25, "Gelatos Proteicos", 28, 7), 2)) + (ROUND(J161,4) &gt; INDEX('Tabela de ingredientes'!$O$1:$V$30, SWITCH(B161, "Gelatos de Leite", 8, "Sorbets", 11, "Gelatos de Leite com Fruta", 14, "Chocolate base água", 17, "Vegano", 20, "Alcoólicos", 23, "Zero", 26, "Gelatos Proteicos", 29, 8), 2)) + (ROUND(K161,4) &lt; INDEX('Tabela de ingredientes'!$O$1:$V$30, SWITCH(B161, "Gelatos de Leite", 7, "Sorbets", 10, "Gelatos de Leite com Fruta", 13, "Chocolate base água", 16, "Vegano", 19, "Alcoólicos", 22, "Zero", 25, "Gelatos Proteicos", 28, 7), 3)) + (ROUND(K161,4) &gt; INDEX('Tabela de ingredientes'!$O$1:$V$30, SWITCH(B161, "Gelatos de Leite", 8, "Sorbets", 11, "Gelatos de Leite com Fruta", 14, "Chocolate base água", 17, "Vegano", 20, "Alcoólicos", 23, "Zero", 26, "Gelatos Proteicos", 29, 8), 3)) + (ROUND(L161,4) &lt; INDEX('Tabela de ingredientes'!$O$1:$V$30, SWITCH(B161, "Gelatos de Leite", 7, "Sorbets", 10, "Gelatos de Leite com Fruta", 13, "Chocolate base água", 16, "Vegano", 19, "Alcoólicos", 22, "Zero", 25, "Gelatos Proteicos", 28, 7), 4)) + (ROUND(L161,4) &gt; INDEX('Tabela de ingredientes'!$O$1:$V$30, SWITCH(B161, "Gelatos de Leite", 8, "Sorbets", 11, "Gelatos de Leite com Fruta", 14, "Chocolate base água", 17, "Vegano", 20, "Alcoólicos", 23, "Zero", 26, "Gelatos Proteicos", 29, 8), 4)) + (ROUND(M161,4) &lt; INDEX('Tabela de ingredientes'!$O$1:$V$30, SWITCH(B161, "Gelatos de Leite", 7, "Sorbets", 10, "Gelatos de Leite com Fruta", 13, "Chocolate base água", 16, "Vegano", 19, "Alcoólicos", 22, "Zero", 25, "Gelatos Proteicos", 28, 7), 5)) + (ROUND(M161,4) &gt; INDEX('Tabela de ingredientes'!$O$1:$V$30, SWITCH(B161, "Gelatos de Leite", 8, "Sorbets", 11, "Gelatos de Leite com Fruta", 14, "Chocolate base água", 17, "Vegano", 20, "Alcoólicos", 23, "Zero", 26, "Gelatos Proteicos", 29, 8), 5)) + (ROUND(N161,4) &lt; INDEX('Tabela de ingredientes'!$O$1:$V$30, SWITCH(B161, "Gelatos de Leite", 7, "Sorbets", 10, "Gelatos de Leite com Fruta", 13, "Chocolate base água", 16, "Vegano", 19, "Alcoólicos", 22, "Zero", 25, "Gelatos Proteicos", 28, 7), 6)) + (ROUND(N161,4) &gt; INDEX('Tabela de ingredientes'!$O$1:$V$30, SWITCH(B161, "Gelatos de Leite", 8, "Sorbets", 11, "Gelatos de Leite com Fruta", 14, "Chocolate base água", 17, "Vegano", 20, "Alcoólicos", 23, "Zero", 26, "Gelatos Proteicos", 29, 8), 6)) + (ROUND(O161,4) &lt; INDEX('Tabela de ingredientes'!$O$1:$V$30, SWITCH(B161, "Gelatos de Leite", 7, "Sorbets", 10, "Gelatos de Leite com Fruta", 13, "Chocolate base água", 16, "Vegano", 19, "Alcoólicos", 22, "Zero", 25, "Gelatos Proteicos", 28, 7), 7)) + (ROUND(O161,4) &gt; INDEX('Tabela de ingredientes'!$O$1:$V$30, SWITCH(B161, "Gelatos de Leite", 8, "Sorbets", 11, "Gelatos de Leite com Fruta", 14, "Chocolate base água", 17, "Vegano", 20, "Alcoólicos", 23, "Zero", 26, "Gelatos Proteicos", 29, 8), 7)) + (ROUND(P161,4) &lt; INDEX('Tabela de ingredientes'!$O$1:$V$30, SWITCH(B161, "Gelatos de Leite", 7, "Sorbets", 10, "Gelatos de Leite com Fruta", 13, "Chocolate base água", 16, "Vegano", 19, "Alcoólicos", 22, "Zero", 25, "Gelatos Proteicos", 28, 7), 8)) + (ROUND(P161,4) &gt; INDEX('Tabela de ingredientes'!$O$1:$V$30, SWITCH(B161, "Gelatos de Leite", 8, "Sorbets", 11, "Gelatos de Leite com Fruta", 14, "Chocolate base água", 17, "Vegano", 20, "Alcoólicos", 23, "Zero", 26, "Gelatos Proteicos", 29, 8), 8)) + IF(B161="Gelatos Proteicos", (ROUND(Q161,4)&lt;'Tabela de ingredientes'!$W$28)+(ROUND(Q161,4)&gt;'Tabela de ingredientes'!$W$29), 0) = 0, "Ok", "Revisar"))</f>
        <v>Ok</v>
      </c>
    </row>
    <row r="162">
      <c r="A162" s="39" t="str">
        <f>IFERROR(__xludf.DUMMYFUNCTION("""COMPUTED_VALUE"""),"Chocolate 17% - Redução Polióis (Sem Açúcar)")</f>
        <v>Chocolate 17% - Redução Polióis (Sem Açúcar)</v>
      </c>
      <c r="B162" s="39" t="s">
        <v>109</v>
      </c>
      <c r="C162" s="39">
        <v>11.0</v>
      </c>
      <c r="D162" s="39">
        <v>976.0</v>
      </c>
      <c r="E162" s="39" t="s">
        <v>641</v>
      </c>
      <c r="F162" s="69">
        <v>15.098872950819674</v>
      </c>
      <c r="G162" s="69">
        <v>0.9059323770491804</v>
      </c>
      <c r="H162" s="69">
        <v>34.85006038975139</v>
      </c>
      <c r="I162" s="59">
        <v>0.05635245901639344</v>
      </c>
      <c r="J162" s="59">
        <v>0.07336065573770491</v>
      </c>
      <c r="K162" s="59">
        <v>0.07387295081967213</v>
      </c>
      <c r="L162" s="59">
        <v>0.1426229508196721</v>
      </c>
      <c r="M162" s="59">
        <v>0.3462090163934426</v>
      </c>
      <c r="N162" s="59">
        <v>0.6537909836065574</v>
      </c>
      <c r="O162" s="39">
        <v>114.4815573770492</v>
      </c>
      <c r="P162" s="39">
        <v>250.20491803278688</v>
      </c>
      <c r="Q162" s="59">
        <v>0.045030737704918035</v>
      </c>
      <c r="R162" s="39">
        <v>10.008196721311474</v>
      </c>
      <c r="S162" s="97" t="str">
        <f t="array" ref="S162">IF(A162="","", IF( (ROUND(I162,4) &lt; INDEX('Tabela de ingredientes'!$O$1:$V$30, SWITCH(B162, "Gelatos de Leite", 7, "Sorbets", 10, "Gelatos de Leite com Fruta", 13, "Chocolate base água", 16, "Vegano", 19, "Alcoólicos", 22, "Zero", 25, "Gelatos Proteicos", 28, 7), 1)) + (ROUND(I162,4) &gt; INDEX('Tabela de ingredientes'!$O$1:$V$30, SWITCH(B162, "Gelatos de Leite", 8, "Sorbets", 11, "Gelatos de Leite com Fruta", 14, "Chocolate base água", 17, "Vegano", 20, "Alcoólicos", 23, "Zero", 26, "Gelatos Proteicos", 29, 8), 1)) + (ROUND(J162,4) &lt; INDEX('Tabela de ingredientes'!$O$1:$V$30, SWITCH(B162, "Gelatos de Leite", 7, "Sorbets", 10, "Gelatos de Leite com Fruta", 13, "Chocolate base água", 16, "Vegano", 19, "Alcoólicos", 22, "Zero", 25, "Gelatos Proteicos", 28, 7), 2)) + (ROUND(J162,4) &gt; INDEX('Tabela de ingredientes'!$O$1:$V$30, SWITCH(B162, "Gelatos de Leite", 8, "Sorbets", 11, "Gelatos de Leite com Fruta", 14, "Chocolate base água", 17, "Vegano", 20, "Alcoólicos", 23, "Zero", 26, "Gelatos Proteicos", 29, 8), 2)) + (ROUND(K162,4) &lt; INDEX('Tabela de ingredientes'!$O$1:$V$30, SWITCH(B162, "Gelatos de Leite", 7, "Sorbets", 10, "Gelatos de Leite com Fruta", 13, "Chocolate base água", 16, "Vegano", 19, "Alcoólicos", 22, "Zero", 25, "Gelatos Proteicos", 28, 7), 3)) + (ROUND(K162,4) &gt; INDEX('Tabela de ingredientes'!$O$1:$V$30, SWITCH(B162, "Gelatos de Leite", 8, "Sorbets", 11, "Gelatos de Leite com Fruta", 14, "Chocolate base água", 17, "Vegano", 20, "Alcoólicos", 23, "Zero", 26, "Gelatos Proteicos", 29, 8), 3)) + (ROUND(L162,4) &lt; INDEX('Tabela de ingredientes'!$O$1:$V$30, SWITCH(B162, "Gelatos de Leite", 7, "Sorbets", 10, "Gelatos de Leite com Fruta", 13, "Chocolate base água", 16, "Vegano", 19, "Alcoólicos", 22, "Zero", 25, "Gelatos Proteicos", 28, 7), 4)) + (ROUND(L162,4) &gt; INDEX('Tabela de ingredientes'!$O$1:$V$30, SWITCH(B162, "Gelatos de Leite", 8, "Sorbets", 11, "Gelatos de Leite com Fruta", 14, "Chocolate base água", 17, "Vegano", 20, "Alcoólicos", 23, "Zero", 26, "Gelatos Proteicos", 29, 8), 4)) + (ROUND(M162,4) &lt; INDEX('Tabela de ingredientes'!$O$1:$V$30, SWITCH(B162, "Gelatos de Leite", 7, "Sorbets", 10, "Gelatos de Leite com Fruta", 13, "Chocolate base água", 16, "Vegano", 19, "Alcoólicos", 22, "Zero", 25, "Gelatos Proteicos", 28, 7), 5)) + (ROUND(M162,4) &gt; INDEX('Tabela de ingredientes'!$O$1:$V$30, SWITCH(B162, "Gelatos de Leite", 8, "Sorbets", 11, "Gelatos de Leite com Fruta", 14, "Chocolate base água", 17, "Vegano", 20, "Alcoólicos", 23, "Zero", 26, "Gelatos Proteicos", 29, 8), 5)) + (ROUND(N162,4) &lt; INDEX('Tabela de ingredientes'!$O$1:$V$30, SWITCH(B162, "Gelatos de Leite", 7, "Sorbets", 10, "Gelatos de Leite com Fruta", 13, "Chocolate base água", 16, "Vegano", 19, "Alcoólicos", 22, "Zero", 25, "Gelatos Proteicos", 28, 7), 6)) + (ROUND(N162,4) &gt; INDEX('Tabela de ingredientes'!$O$1:$V$30, SWITCH(B162, "Gelatos de Leite", 8, "Sorbets", 11, "Gelatos de Leite com Fruta", 14, "Chocolate base água", 17, "Vegano", 20, "Alcoólicos", 23, "Zero", 26, "Gelatos Proteicos", 29, 8), 6)) + (ROUND(O162,4) &lt; INDEX('Tabela de ingredientes'!$O$1:$V$30, SWITCH(B162, "Gelatos de Leite", 7, "Sorbets", 10, "Gelatos de Leite com Fruta", 13, "Chocolate base água", 16, "Vegano", 19, "Alcoólicos", 22, "Zero", 25, "Gelatos Proteicos", 28, 7), 7)) + (ROUND(O162,4) &gt; INDEX('Tabela de ingredientes'!$O$1:$V$30, SWITCH(B162, "Gelatos de Leite", 8, "Sorbets", 11, "Gelatos de Leite com Fruta", 14, "Chocolate base água", 17, "Vegano", 20, "Alcoólicos", 23, "Zero", 26, "Gelatos Proteicos", 29, 8), 7)) + (ROUND(P162,4) &lt; INDEX('Tabela de ingredientes'!$O$1:$V$30, SWITCH(B162, "Gelatos de Leite", 7, "Sorbets", 10, "Gelatos de Leite com Fruta", 13, "Chocolate base água", 16, "Vegano", 19, "Alcoólicos", 22, "Zero", 25, "Gelatos Proteicos", 28, 7), 8)) + (ROUND(P162,4) &gt; INDEX('Tabela de ingredientes'!$O$1:$V$30, SWITCH(B162, "Gelatos de Leite", 8, "Sorbets", 11, "Gelatos de Leite com Fruta", 14, "Chocolate base água", 17, "Vegano", 20, "Alcoólicos", 23, "Zero", 26, "Gelatos Proteicos", 29, 8), 8)) + IF(B162="Gelatos Proteicos", (ROUND(Q162,4)&lt;'Tabela de ingredientes'!$W$28)+(ROUND(Q162,4)&gt;'Tabela de ingredientes'!$W$29), 0) = 0, "Ok", "Revisar"))</f>
        <v>Ok</v>
      </c>
    </row>
    <row r="163">
      <c r="A163" s="39" t="str">
        <f>IFERROR(__xludf.DUMMYFUNCTION("""COMPUTED_VALUE"""),"Fragola / Morango ao Leite - Polióis (Sem Açúcar)")</f>
        <v>Fragola / Morango ao Leite - Polióis (Sem Açúcar)</v>
      </c>
      <c r="B163" s="39" t="s">
        <v>109</v>
      </c>
      <c r="C163" s="39">
        <v>8.0</v>
      </c>
      <c r="D163" s="39">
        <v>999.0</v>
      </c>
      <c r="E163" s="39" t="s">
        <v>525</v>
      </c>
      <c r="F163" s="69">
        <v>21.094594594594597</v>
      </c>
      <c r="G163" s="69">
        <v>1.2656756756756757</v>
      </c>
      <c r="H163" s="69">
        <v>39.813406121353154</v>
      </c>
      <c r="I163" s="59">
        <v>0.17517517517517517</v>
      </c>
      <c r="J163" s="59">
        <v>0.05455455455455456</v>
      </c>
      <c r="K163" s="59">
        <v>0.06886886886886887</v>
      </c>
      <c r="L163" s="59">
        <v>0.02002002002002002</v>
      </c>
      <c r="M163" s="59">
        <v>0.3186186186186186</v>
      </c>
      <c r="N163" s="59">
        <v>0.6813813813813814</v>
      </c>
      <c r="O163" s="39">
        <v>152.65265265265262</v>
      </c>
      <c r="P163" s="39">
        <v>318.7187187187187</v>
      </c>
      <c r="Q163" s="59">
        <v>0.029129129129129128</v>
      </c>
      <c r="R163" s="39">
        <v>12.74874874874875</v>
      </c>
      <c r="S163" s="97" t="str">
        <f t="array" ref="S163">IF(A163="","", IF( (ROUND(I163,4) &lt; INDEX('Tabela de ingredientes'!$O$1:$V$30, SWITCH(B163, "Gelatos de Leite", 7, "Sorbets", 10, "Gelatos de Leite com Fruta", 13, "Chocolate base água", 16, "Vegano", 19, "Alcoólicos", 22, "Zero", 25, "Gelatos Proteicos", 28, 7), 1)) + (ROUND(I163,4) &gt; INDEX('Tabela de ingredientes'!$O$1:$V$30, SWITCH(B163, "Gelatos de Leite", 8, "Sorbets", 11, "Gelatos de Leite com Fruta", 14, "Chocolate base água", 17, "Vegano", 20, "Alcoólicos", 23, "Zero", 26, "Gelatos Proteicos", 29, 8), 1)) + (ROUND(J163,4) &lt; INDEX('Tabela de ingredientes'!$O$1:$V$30, SWITCH(B163, "Gelatos de Leite", 7, "Sorbets", 10, "Gelatos de Leite com Fruta", 13, "Chocolate base água", 16, "Vegano", 19, "Alcoólicos", 22, "Zero", 25, "Gelatos Proteicos", 28, 7), 2)) + (ROUND(J163,4) &gt; INDEX('Tabela de ingredientes'!$O$1:$V$30, SWITCH(B163, "Gelatos de Leite", 8, "Sorbets", 11, "Gelatos de Leite com Fruta", 14, "Chocolate base água", 17, "Vegano", 20, "Alcoólicos", 23, "Zero", 26, "Gelatos Proteicos", 29, 8), 2)) + (ROUND(K163,4) &lt; INDEX('Tabela de ingredientes'!$O$1:$V$30, SWITCH(B163, "Gelatos de Leite", 7, "Sorbets", 10, "Gelatos de Leite com Fruta", 13, "Chocolate base água", 16, "Vegano", 19, "Alcoólicos", 22, "Zero", 25, "Gelatos Proteicos", 28, 7), 3)) + (ROUND(K163,4) &gt; INDEX('Tabela de ingredientes'!$O$1:$V$30, SWITCH(B163, "Gelatos de Leite", 8, "Sorbets", 11, "Gelatos de Leite com Fruta", 14, "Chocolate base água", 17, "Vegano", 20, "Alcoólicos", 23, "Zero", 26, "Gelatos Proteicos", 29, 8), 3)) + (ROUND(L163,4) &lt; INDEX('Tabela de ingredientes'!$O$1:$V$30, SWITCH(B163, "Gelatos de Leite", 7, "Sorbets", 10, "Gelatos de Leite com Fruta", 13, "Chocolate base água", 16, "Vegano", 19, "Alcoólicos", 22, "Zero", 25, "Gelatos Proteicos", 28, 7), 4)) + (ROUND(L163,4) &gt; INDEX('Tabela de ingredientes'!$O$1:$V$30, SWITCH(B163, "Gelatos de Leite", 8, "Sorbets", 11, "Gelatos de Leite com Fruta", 14, "Chocolate base água", 17, "Vegano", 20, "Alcoólicos", 23, "Zero", 26, "Gelatos Proteicos", 29, 8), 4)) + (ROUND(M163,4) &lt; INDEX('Tabela de ingredientes'!$O$1:$V$30, SWITCH(B163, "Gelatos de Leite", 7, "Sorbets", 10, "Gelatos de Leite com Fruta", 13, "Chocolate base água", 16, "Vegano", 19, "Alcoólicos", 22, "Zero", 25, "Gelatos Proteicos", 28, 7), 5)) + (ROUND(M163,4) &gt; INDEX('Tabela de ingredientes'!$O$1:$V$30, SWITCH(B163, "Gelatos de Leite", 8, "Sorbets", 11, "Gelatos de Leite com Fruta", 14, "Chocolate base água", 17, "Vegano", 20, "Alcoólicos", 23, "Zero", 26, "Gelatos Proteicos", 29, 8), 5)) + (ROUND(N163,4) &lt; INDEX('Tabela de ingredientes'!$O$1:$V$30, SWITCH(B163, "Gelatos de Leite", 7, "Sorbets", 10, "Gelatos de Leite com Fruta", 13, "Chocolate base água", 16, "Vegano", 19, "Alcoólicos", 22, "Zero", 25, "Gelatos Proteicos", 28, 7), 6)) + (ROUND(N163,4) &gt; INDEX('Tabela de ingredientes'!$O$1:$V$30, SWITCH(B163, "Gelatos de Leite", 8, "Sorbets", 11, "Gelatos de Leite com Fruta", 14, "Chocolate base água", 17, "Vegano", 20, "Alcoólicos", 23, "Zero", 26, "Gelatos Proteicos", 29, 8), 6)) + (ROUND(O163,4) &lt; INDEX('Tabela de ingredientes'!$O$1:$V$30, SWITCH(B163, "Gelatos de Leite", 7, "Sorbets", 10, "Gelatos de Leite com Fruta", 13, "Chocolate base água", 16, "Vegano", 19, "Alcoólicos", 22, "Zero", 25, "Gelatos Proteicos", 28, 7), 7)) + (ROUND(O163,4) &gt; INDEX('Tabela de ingredientes'!$O$1:$V$30, SWITCH(B163, "Gelatos de Leite", 8, "Sorbets", 11, "Gelatos de Leite com Fruta", 14, "Chocolate base água", 17, "Vegano", 20, "Alcoólicos", 23, "Zero", 26, "Gelatos Proteicos", 29, 8), 7)) + (ROUND(P163,4) &lt; INDEX('Tabela de ingredientes'!$O$1:$V$30, SWITCH(B163, "Gelatos de Leite", 7, "Sorbets", 10, "Gelatos de Leite com Fruta", 13, "Chocolate base água", 16, "Vegano", 19, "Alcoólicos", 22, "Zero", 25, "Gelatos Proteicos", 28, 7), 8)) + (ROUND(P163,4) &gt; INDEX('Tabela de ingredientes'!$O$1:$V$30, SWITCH(B163, "Gelatos de Leite", 8, "Sorbets", 11, "Gelatos de Leite com Fruta", 14, "Chocolate base água", 17, "Vegano", 20, "Alcoólicos", 23, "Zero", 26, "Gelatos Proteicos", 29, 8), 8)) + IF(B163="Gelatos Proteicos", (ROUND(Q163,4)&lt;'Tabela de ingredientes'!$W$28)+(ROUND(Q163,4)&gt;'Tabela de ingredientes'!$W$29), 0) = 0, "Ok", "Revisar"))</f>
        <v>Ok</v>
      </c>
    </row>
    <row r="164">
      <c r="A164" s="39" t="str">
        <f>IFERROR(__xludf.DUMMYFUNCTION("""COMPUTED_VALUE"""),"Fragola / Morango ao Leite - Redução Polióis (Sem Açúcar)")</f>
        <v>Fragola / Morango ao Leite - Redução Polióis (Sem Açúcar)</v>
      </c>
      <c r="B164" s="39" t="s">
        <v>109</v>
      </c>
      <c r="C164" s="39">
        <v>9.0</v>
      </c>
      <c r="D164" s="39">
        <v>1001.0</v>
      </c>
      <c r="E164" s="39" t="s">
        <v>161</v>
      </c>
      <c r="F164" s="69">
        <v>22.640859140859142</v>
      </c>
      <c r="G164" s="69">
        <v>1.3584515484515485</v>
      </c>
      <c r="H164" s="69">
        <v>41.09342644110857</v>
      </c>
      <c r="I164" s="59">
        <v>0.07492507492507493</v>
      </c>
      <c r="J164" s="59">
        <v>0.054445554445554455</v>
      </c>
      <c r="K164" s="59">
        <v>0.06873126873126872</v>
      </c>
      <c r="L164" s="59">
        <v>0.11688311688311688</v>
      </c>
      <c r="M164" s="59">
        <v>0.31498501498501497</v>
      </c>
      <c r="N164" s="59">
        <v>0.685014985014985</v>
      </c>
      <c r="O164" s="39">
        <v>150.34965034965035</v>
      </c>
      <c r="P164" s="39">
        <v>296.1038961038961</v>
      </c>
      <c r="Q164" s="59">
        <v>0.02907092907092907</v>
      </c>
      <c r="R164" s="39">
        <v>11.844155844155843</v>
      </c>
      <c r="S164" s="97" t="str">
        <f t="array" ref="S164">IF(A164="","", IF( (ROUND(I164,4) &lt; INDEX('Tabela de ingredientes'!$O$1:$V$30, SWITCH(B164, "Gelatos de Leite", 7, "Sorbets", 10, "Gelatos de Leite com Fruta", 13, "Chocolate base água", 16, "Vegano", 19, "Alcoólicos", 22, "Zero", 25, "Gelatos Proteicos", 28, 7), 1)) + (ROUND(I164,4) &gt; INDEX('Tabela de ingredientes'!$O$1:$V$30, SWITCH(B164, "Gelatos de Leite", 8, "Sorbets", 11, "Gelatos de Leite com Fruta", 14, "Chocolate base água", 17, "Vegano", 20, "Alcoólicos", 23, "Zero", 26, "Gelatos Proteicos", 29, 8), 1)) + (ROUND(J164,4) &lt; INDEX('Tabela de ingredientes'!$O$1:$V$30, SWITCH(B164, "Gelatos de Leite", 7, "Sorbets", 10, "Gelatos de Leite com Fruta", 13, "Chocolate base água", 16, "Vegano", 19, "Alcoólicos", 22, "Zero", 25, "Gelatos Proteicos", 28, 7), 2)) + (ROUND(J164,4) &gt; INDEX('Tabela de ingredientes'!$O$1:$V$30, SWITCH(B164, "Gelatos de Leite", 8, "Sorbets", 11, "Gelatos de Leite com Fruta", 14, "Chocolate base água", 17, "Vegano", 20, "Alcoólicos", 23, "Zero", 26, "Gelatos Proteicos", 29, 8), 2)) + (ROUND(K164,4) &lt; INDEX('Tabela de ingredientes'!$O$1:$V$30, SWITCH(B164, "Gelatos de Leite", 7, "Sorbets", 10, "Gelatos de Leite com Fruta", 13, "Chocolate base água", 16, "Vegano", 19, "Alcoólicos", 22, "Zero", 25, "Gelatos Proteicos", 28, 7), 3)) + (ROUND(K164,4) &gt; INDEX('Tabela de ingredientes'!$O$1:$V$30, SWITCH(B164, "Gelatos de Leite", 8, "Sorbets", 11, "Gelatos de Leite com Fruta", 14, "Chocolate base água", 17, "Vegano", 20, "Alcoólicos", 23, "Zero", 26, "Gelatos Proteicos", 29, 8), 3)) + (ROUND(L164,4) &lt; INDEX('Tabela de ingredientes'!$O$1:$V$30, SWITCH(B164, "Gelatos de Leite", 7, "Sorbets", 10, "Gelatos de Leite com Fruta", 13, "Chocolate base água", 16, "Vegano", 19, "Alcoólicos", 22, "Zero", 25, "Gelatos Proteicos", 28, 7), 4)) + (ROUND(L164,4) &gt; INDEX('Tabela de ingredientes'!$O$1:$V$30, SWITCH(B164, "Gelatos de Leite", 8, "Sorbets", 11, "Gelatos de Leite com Fruta", 14, "Chocolate base água", 17, "Vegano", 20, "Alcoólicos", 23, "Zero", 26, "Gelatos Proteicos", 29, 8), 4)) + (ROUND(M164,4) &lt; INDEX('Tabela de ingredientes'!$O$1:$V$30, SWITCH(B164, "Gelatos de Leite", 7, "Sorbets", 10, "Gelatos de Leite com Fruta", 13, "Chocolate base água", 16, "Vegano", 19, "Alcoólicos", 22, "Zero", 25, "Gelatos Proteicos", 28, 7), 5)) + (ROUND(M164,4) &gt; INDEX('Tabela de ingredientes'!$O$1:$V$30, SWITCH(B164, "Gelatos de Leite", 8, "Sorbets", 11, "Gelatos de Leite com Fruta", 14, "Chocolate base água", 17, "Vegano", 20, "Alcoólicos", 23, "Zero", 26, "Gelatos Proteicos", 29, 8), 5)) + (ROUND(N164,4) &lt; INDEX('Tabela de ingredientes'!$O$1:$V$30, SWITCH(B164, "Gelatos de Leite", 7, "Sorbets", 10, "Gelatos de Leite com Fruta", 13, "Chocolate base água", 16, "Vegano", 19, "Alcoólicos", 22, "Zero", 25, "Gelatos Proteicos", 28, 7), 6)) + (ROUND(N164,4) &gt; INDEX('Tabela de ingredientes'!$O$1:$V$30, SWITCH(B164, "Gelatos de Leite", 8, "Sorbets", 11, "Gelatos de Leite com Fruta", 14, "Chocolate base água", 17, "Vegano", 20, "Alcoólicos", 23, "Zero", 26, "Gelatos Proteicos", 29, 8), 6)) + (ROUND(O164,4) &lt; INDEX('Tabela de ingredientes'!$O$1:$V$30, SWITCH(B164, "Gelatos de Leite", 7, "Sorbets", 10, "Gelatos de Leite com Fruta", 13, "Chocolate base água", 16, "Vegano", 19, "Alcoólicos", 22, "Zero", 25, "Gelatos Proteicos", 28, 7), 7)) + (ROUND(O164,4) &gt; INDEX('Tabela de ingredientes'!$O$1:$V$30, SWITCH(B164, "Gelatos de Leite", 8, "Sorbets", 11, "Gelatos de Leite com Fruta", 14, "Chocolate base água", 17, "Vegano", 20, "Alcoólicos", 23, "Zero", 26, "Gelatos Proteicos", 29, 8), 7)) + (ROUND(P164,4) &lt; INDEX('Tabela de ingredientes'!$O$1:$V$30, SWITCH(B164, "Gelatos de Leite", 7, "Sorbets", 10, "Gelatos de Leite com Fruta", 13, "Chocolate base água", 16, "Vegano", 19, "Alcoólicos", 22, "Zero", 25, "Gelatos Proteicos", 28, 7), 8)) + (ROUND(P164,4) &gt; INDEX('Tabela de ingredientes'!$O$1:$V$30, SWITCH(B164, "Gelatos de Leite", 8, "Sorbets", 11, "Gelatos de Leite com Fruta", 14, "Chocolate base água", 17, "Vegano", 20, "Alcoólicos", 23, "Zero", 26, "Gelatos Proteicos", 29, 8), 8)) + IF(B164="Gelatos Proteicos", (ROUND(Q164,4)&lt;'Tabela de ingredientes'!$W$28)+(ROUND(Q164,4)&gt;'Tabela de ingredientes'!$W$29), 0) = 0, "Ok", "Revisar"))</f>
        <v>Ok</v>
      </c>
    </row>
    <row r="165">
      <c r="A165" s="39" t="str">
        <f>IFERROR(__xludf.DUMMYFUNCTION("""COMPUTED_VALUE"""),"Gelato de Coco - Polióis (Sem Açúcar)")</f>
        <v>Gelato de Coco - Polióis (Sem Açúcar)</v>
      </c>
      <c r="B165" s="39" t="s">
        <v>109</v>
      </c>
      <c r="C165" s="39">
        <v>7.0</v>
      </c>
      <c r="D165" s="39">
        <v>901.0</v>
      </c>
      <c r="E165" s="39" t="s">
        <v>642</v>
      </c>
      <c r="F165" s="69">
        <v>15.675360710321865</v>
      </c>
      <c r="G165" s="69">
        <v>0.9405216426193118</v>
      </c>
      <c r="H165" s="69">
        <v>35.32728535622672</v>
      </c>
      <c r="I165" s="59">
        <v>0.17980022197558268</v>
      </c>
      <c r="J165" s="59">
        <v>0.09128745837957825</v>
      </c>
      <c r="K165" s="59">
        <v>0.07802441731409544</v>
      </c>
      <c r="L165" s="59">
        <v>0.008601553829078802</v>
      </c>
      <c r="M165" s="59">
        <v>0.3577136514983352</v>
      </c>
      <c r="N165" s="59">
        <v>0.6422863485016648</v>
      </c>
      <c r="O165" s="39">
        <v>127.0033296337403</v>
      </c>
      <c r="P165" s="39">
        <v>310.7658157602664</v>
      </c>
      <c r="Q165" s="59">
        <v>0.02957824639289678</v>
      </c>
      <c r="R165" s="39">
        <v>12.430632630410654</v>
      </c>
      <c r="S165" s="97" t="str">
        <f t="array" ref="S165">IF(A165="","", IF( (ROUND(I165,4) &lt; INDEX('Tabela de ingredientes'!$O$1:$V$30, SWITCH(B165, "Gelatos de Leite", 7, "Sorbets", 10, "Gelatos de Leite com Fruta", 13, "Chocolate base água", 16, "Vegano", 19, "Alcoólicos", 22, "Zero", 25, "Gelatos Proteicos", 28, 7), 1)) + (ROUND(I165,4) &gt; INDEX('Tabela de ingredientes'!$O$1:$V$30, SWITCH(B165, "Gelatos de Leite", 8, "Sorbets", 11, "Gelatos de Leite com Fruta", 14, "Chocolate base água", 17, "Vegano", 20, "Alcoólicos", 23, "Zero", 26, "Gelatos Proteicos", 29, 8), 1)) + (ROUND(J165,4) &lt; INDEX('Tabela de ingredientes'!$O$1:$V$30, SWITCH(B165, "Gelatos de Leite", 7, "Sorbets", 10, "Gelatos de Leite com Fruta", 13, "Chocolate base água", 16, "Vegano", 19, "Alcoólicos", 22, "Zero", 25, "Gelatos Proteicos", 28, 7), 2)) + (ROUND(J165,4) &gt; INDEX('Tabela de ingredientes'!$O$1:$V$30, SWITCH(B165, "Gelatos de Leite", 8, "Sorbets", 11, "Gelatos de Leite com Fruta", 14, "Chocolate base água", 17, "Vegano", 20, "Alcoólicos", 23, "Zero", 26, "Gelatos Proteicos", 29, 8), 2)) + (ROUND(K165,4) &lt; INDEX('Tabela de ingredientes'!$O$1:$V$30, SWITCH(B165, "Gelatos de Leite", 7, "Sorbets", 10, "Gelatos de Leite com Fruta", 13, "Chocolate base água", 16, "Vegano", 19, "Alcoólicos", 22, "Zero", 25, "Gelatos Proteicos", 28, 7), 3)) + (ROUND(K165,4) &gt; INDEX('Tabela de ingredientes'!$O$1:$V$30, SWITCH(B165, "Gelatos de Leite", 8, "Sorbets", 11, "Gelatos de Leite com Fruta", 14, "Chocolate base água", 17, "Vegano", 20, "Alcoólicos", 23, "Zero", 26, "Gelatos Proteicos", 29, 8), 3)) + (ROUND(L165,4) &lt; INDEX('Tabela de ingredientes'!$O$1:$V$30, SWITCH(B165, "Gelatos de Leite", 7, "Sorbets", 10, "Gelatos de Leite com Fruta", 13, "Chocolate base água", 16, "Vegano", 19, "Alcoólicos", 22, "Zero", 25, "Gelatos Proteicos", 28, 7), 4)) + (ROUND(L165,4) &gt; INDEX('Tabela de ingredientes'!$O$1:$V$30, SWITCH(B165, "Gelatos de Leite", 8, "Sorbets", 11, "Gelatos de Leite com Fruta", 14, "Chocolate base água", 17, "Vegano", 20, "Alcoólicos", 23, "Zero", 26, "Gelatos Proteicos", 29, 8), 4)) + (ROUND(M165,4) &lt; INDEX('Tabela de ingredientes'!$O$1:$V$30, SWITCH(B165, "Gelatos de Leite", 7, "Sorbets", 10, "Gelatos de Leite com Fruta", 13, "Chocolate base água", 16, "Vegano", 19, "Alcoólicos", 22, "Zero", 25, "Gelatos Proteicos", 28, 7), 5)) + (ROUND(M165,4) &gt; INDEX('Tabela de ingredientes'!$O$1:$V$30, SWITCH(B165, "Gelatos de Leite", 8, "Sorbets", 11, "Gelatos de Leite com Fruta", 14, "Chocolate base água", 17, "Vegano", 20, "Alcoólicos", 23, "Zero", 26, "Gelatos Proteicos", 29, 8), 5)) + (ROUND(N165,4) &lt; INDEX('Tabela de ingredientes'!$O$1:$V$30, SWITCH(B165, "Gelatos de Leite", 7, "Sorbets", 10, "Gelatos de Leite com Fruta", 13, "Chocolate base água", 16, "Vegano", 19, "Alcoólicos", 22, "Zero", 25, "Gelatos Proteicos", 28, 7), 6)) + (ROUND(N165,4) &gt; INDEX('Tabela de ingredientes'!$O$1:$V$30, SWITCH(B165, "Gelatos de Leite", 8, "Sorbets", 11, "Gelatos de Leite com Fruta", 14, "Chocolate base água", 17, "Vegano", 20, "Alcoólicos", 23, "Zero", 26, "Gelatos Proteicos", 29, 8), 6)) + (ROUND(O165,4) &lt; INDEX('Tabela de ingredientes'!$O$1:$V$30, SWITCH(B165, "Gelatos de Leite", 7, "Sorbets", 10, "Gelatos de Leite com Fruta", 13, "Chocolate base água", 16, "Vegano", 19, "Alcoólicos", 22, "Zero", 25, "Gelatos Proteicos", 28, 7), 7)) + (ROUND(O165,4) &gt; INDEX('Tabela de ingredientes'!$O$1:$V$30, SWITCH(B165, "Gelatos de Leite", 8, "Sorbets", 11, "Gelatos de Leite com Fruta", 14, "Chocolate base água", 17, "Vegano", 20, "Alcoólicos", 23, "Zero", 26, "Gelatos Proteicos", 29, 8), 7)) + (ROUND(P165,4) &lt; INDEX('Tabela de ingredientes'!$O$1:$V$30, SWITCH(B165, "Gelatos de Leite", 7, "Sorbets", 10, "Gelatos de Leite com Fruta", 13, "Chocolate base água", 16, "Vegano", 19, "Alcoólicos", 22, "Zero", 25, "Gelatos Proteicos", 28, 7), 8)) + (ROUND(P165,4) &gt; INDEX('Tabela de ingredientes'!$O$1:$V$30, SWITCH(B165, "Gelatos de Leite", 8, "Sorbets", 11, "Gelatos de Leite com Fruta", 14, "Chocolate base água", 17, "Vegano", 20, "Alcoólicos", 23, "Zero", 26, "Gelatos Proteicos", 29, 8), 8)) + IF(B165="Gelatos Proteicos", (ROUND(Q165,4)&lt;'Tabela de ingredientes'!$W$28)+(ROUND(Q165,4)&gt;'Tabela de ingredientes'!$W$29), 0) = 0, "Ok", "Revisar"))</f>
        <v>Revisar</v>
      </c>
    </row>
    <row r="166">
      <c r="A166" s="39" t="str">
        <f>IFERROR(__xludf.DUMMYFUNCTION("""COMPUTED_VALUE"""),"Gelato de Coco - Menos Polióis (Sem Açúcar)")</f>
        <v>Gelato de Coco - Menos Polióis (Sem Açúcar)</v>
      </c>
      <c r="B166" s="39" t="s">
        <v>109</v>
      </c>
      <c r="C166" s="39">
        <v>8.0</v>
      </c>
      <c r="D166" s="39">
        <v>892.5</v>
      </c>
      <c r="E166" s="39" t="s">
        <v>643</v>
      </c>
      <c r="F166" s="69">
        <v>17.20280112044818</v>
      </c>
      <c r="G166" s="69">
        <v>1.0321680672268907</v>
      </c>
      <c r="H166" s="69">
        <v>36.59172278182797</v>
      </c>
      <c r="I166" s="59">
        <v>0.05826330532212885</v>
      </c>
      <c r="J166" s="59">
        <v>0.09215686274509804</v>
      </c>
      <c r="K166" s="59">
        <v>0.07876750700280112</v>
      </c>
      <c r="L166" s="59">
        <v>0.11680672268907563</v>
      </c>
      <c r="M166" s="59">
        <v>0.3459943977591037</v>
      </c>
      <c r="N166" s="59">
        <v>0.6540056022408963</v>
      </c>
      <c r="O166" s="39">
        <v>101.32212885154061</v>
      </c>
      <c r="P166" s="39">
        <v>257.703081232493</v>
      </c>
      <c r="Q166" s="59">
        <v>0.029859943977591036</v>
      </c>
      <c r="R166" s="39">
        <v>10.308123249299719</v>
      </c>
      <c r="S166" s="97" t="str">
        <f t="array" ref="S166">IF(A166="","", IF( (ROUND(I166,4) &lt; INDEX('Tabela de ingredientes'!$O$1:$V$30, SWITCH(B166, "Gelatos de Leite", 7, "Sorbets", 10, "Gelatos de Leite com Fruta", 13, "Chocolate base água", 16, "Vegano", 19, "Alcoólicos", 22, "Zero", 25, "Gelatos Proteicos", 28, 7), 1)) + (ROUND(I166,4) &gt; INDEX('Tabela de ingredientes'!$O$1:$V$30, SWITCH(B166, "Gelatos de Leite", 8, "Sorbets", 11, "Gelatos de Leite com Fruta", 14, "Chocolate base água", 17, "Vegano", 20, "Alcoólicos", 23, "Zero", 26, "Gelatos Proteicos", 29, 8), 1)) + (ROUND(J166,4) &lt; INDEX('Tabela de ingredientes'!$O$1:$V$30, SWITCH(B166, "Gelatos de Leite", 7, "Sorbets", 10, "Gelatos de Leite com Fruta", 13, "Chocolate base água", 16, "Vegano", 19, "Alcoólicos", 22, "Zero", 25, "Gelatos Proteicos", 28, 7), 2)) + (ROUND(J166,4) &gt; INDEX('Tabela de ingredientes'!$O$1:$V$30, SWITCH(B166, "Gelatos de Leite", 8, "Sorbets", 11, "Gelatos de Leite com Fruta", 14, "Chocolate base água", 17, "Vegano", 20, "Alcoólicos", 23, "Zero", 26, "Gelatos Proteicos", 29, 8), 2)) + (ROUND(K166,4) &lt; INDEX('Tabela de ingredientes'!$O$1:$V$30, SWITCH(B166, "Gelatos de Leite", 7, "Sorbets", 10, "Gelatos de Leite com Fruta", 13, "Chocolate base água", 16, "Vegano", 19, "Alcoólicos", 22, "Zero", 25, "Gelatos Proteicos", 28, 7), 3)) + (ROUND(K166,4) &gt; INDEX('Tabela de ingredientes'!$O$1:$V$30, SWITCH(B166, "Gelatos de Leite", 8, "Sorbets", 11, "Gelatos de Leite com Fruta", 14, "Chocolate base água", 17, "Vegano", 20, "Alcoólicos", 23, "Zero", 26, "Gelatos Proteicos", 29, 8), 3)) + (ROUND(L166,4) &lt; INDEX('Tabela de ingredientes'!$O$1:$V$30, SWITCH(B166, "Gelatos de Leite", 7, "Sorbets", 10, "Gelatos de Leite com Fruta", 13, "Chocolate base água", 16, "Vegano", 19, "Alcoólicos", 22, "Zero", 25, "Gelatos Proteicos", 28, 7), 4)) + (ROUND(L166,4) &gt; INDEX('Tabela de ingredientes'!$O$1:$V$30, SWITCH(B166, "Gelatos de Leite", 8, "Sorbets", 11, "Gelatos de Leite com Fruta", 14, "Chocolate base água", 17, "Vegano", 20, "Alcoólicos", 23, "Zero", 26, "Gelatos Proteicos", 29, 8), 4)) + (ROUND(M166,4) &lt; INDEX('Tabela de ingredientes'!$O$1:$V$30, SWITCH(B166, "Gelatos de Leite", 7, "Sorbets", 10, "Gelatos de Leite com Fruta", 13, "Chocolate base água", 16, "Vegano", 19, "Alcoólicos", 22, "Zero", 25, "Gelatos Proteicos", 28, 7), 5)) + (ROUND(M166,4) &gt; INDEX('Tabela de ingredientes'!$O$1:$V$30, SWITCH(B166, "Gelatos de Leite", 8, "Sorbets", 11, "Gelatos de Leite com Fruta", 14, "Chocolate base água", 17, "Vegano", 20, "Alcoólicos", 23, "Zero", 26, "Gelatos Proteicos", 29, 8), 5)) + (ROUND(N166,4) &lt; INDEX('Tabela de ingredientes'!$O$1:$V$30, SWITCH(B166, "Gelatos de Leite", 7, "Sorbets", 10, "Gelatos de Leite com Fruta", 13, "Chocolate base água", 16, "Vegano", 19, "Alcoólicos", 22, "Zero", 25, "Gelatos Proteicos", 28, 7), 6)) + (ROUND(N166,4) &gt; INDEX('Tabela de ingredientes'!$O$1:$V$30, SWITCH(B166, "Gelatos de Leite", 8, "Sorbets", 11, "Gelatos de Leite com Fruta", 14, "Chocolate base água", 17, "Vegano", 20, "Alcoólicos", 23, "Zero", 26, "Gelatos Proteicos", 29, 8), 6)) + (ROUND(O166,4) &lt; INDEX('Tabela de ingredientes'!$O$1:$V$30, SWITCH(B166, "Gelatos de Leite", 7, "Sorbets", 10, "Gelatos de Leite com Fruta", 13, "Chocolate base água", 16, "Vegano", 19, "Alcoólicos", 22, "Zero", 25, "Gelatos Proteicos", 28, 7), 7)) + (ROUND(O166,4) &gt; INDEX('Tabela de ingredientes'!$O$1:$V$30, SWITCH(B166, "Gelatos de Leite", 8, "Sorbets", 11, "Gelatos de Leite com Fruta", 14, "Chocolate base água", 17, "Vegano", 20, "Alcoólicos", 23, "Zero", 26, "Gelatos Proteicos", 29, 8), 7)) + (ROUND(P166,4) &lt; INDEX('Tabela de ingredientes'!$O$1:$V$30, SWITCH(B166, "Gelatos de Leite", 7, "Sorbets", 10, "Gelatos de Leite com Fruta", 13, "Chocolate base água", 16, "Vegano", 19, "Alcoólicos", 22, "Zero", 25, "Gelatos Proteicos", 28, 7), 8)) + (ROUND(P166,4) &gt; INDEX('Tabela de ingredientes'!$O$1:$V$30, SWITCH(B166, "Gelatos de Leite", 8, "Sorbets", 11, "Gelatos de Leite com Fruta", 14, "Chocolate base água", 17, "Vegano", 20, "Alcoólicos", 23, "Zero", 26, "Gelatos Proteicos", 29, 8), 8)) + IF(B166="Gelatos Proteicos", (ROUND(Q166,4)&lt;'Tabela de ingredientes'!$W$28)+(ROUND(Q166,4)&gt;'Tabela de ingredientes'!$W$29), 0) = 0, "Ok", "Revisar"))</f>
        <v>Ok</v>
      </c>
    </row>
    <row r="167">
      <c r="A167" s="39" t="str">
        <f>IFERROR(__xludf.DUMMYFUNCTION("""COMPUTED_VALUE"""),"Gelato de Coco Vegano - Polióis (Sem Açúcar)")</f>
        <v>Gelato de Coco Vegano - Polióis (Sem Açúcar)</v>
      </c>
      <c r="B167" s="39" t="s">
        <v>109</v>
      </c>
      <c r="C167" s="39">
        <v>8.0</v>
      </c>
      <c r="D167" s="39">
        <v>933.0</v>
      </c>
      <c r="E167" s="39" t="s">
        <v>644</v>
      </c>
      <c r="F167" s="69">
        <v>17.497320471597</v>
      </c>
      <c r="G167" s="69">
        <v>1.04983922829582</v>
      </c>
      <c r="H167" s="69">
        <v>36.83553019171938</v>
      </c>
      <c r="I167" s="59">
        <v>0.19785637727759914</v>
      </c>
      <c r="J167" s="59">
        <v>0.09410503751339763</v>
      </c>
      <c r="K167" s="59">
        <v>0.0</v>
      </c>
      <c r="L167" s="59">
        <v>0.03922829581993569</v>
      </c>
      <c r="M167" s="59">
        <v>0.3311897106109325</v>
      </c>
      <c r="N167" s="59">
        <v>0.6688102893890675</v>
      </c>
      <c r="O167" s="39">
        <v>120.04287245444802</v>
      </c>
      <c r="P167" s="39">
        <v>280.5573419078242</v>
      </c>
      <c r="Q167" s="59">
        <v>0.001714898177920686</v>
      </c>
      <c r="R167" s="39">
        <v>11.222293676312967</v>
      </c>
      <c r="S167" s="97" t="str">
        <f t="array" ref="S167">IF(A167="","", IF( (ROUND(I167,4) &lt; INDEX('Tabela de ingredientes'!$O$1:$V$30, SWITCH(B167, "Gelatos de Leite", 7, "Sorbets", 10, "Gelatos de Leite com Fruta", 13, "Chocolate base água", 16, "Vegano", 19, "Alcoólicos", 22, "Zero", 25, "Gelatos Proteicos", 28, 7), 1)) + (ROUND(I167,4) &gt; INDEX('Tabela de ingredientes'!$O$1:$V$30, SWITCH(B167, "Gelatos de Leite", 8, "Sorbets", 11, "Gelatos de Leite com Fruta", 14, "Chocolate base água", 17, "Vegano", 20, "Alcoólicos", 23, "Zero", 26, "Gelatos Proteicos", 29, 8), 1)) + (ROUND(J167,4) &lt; INDEX('Tabela de ingredientes'!$O$1:$V$30, SWITCH(B167, "Gelatos de Leite", 7, "Sorbets", 10, "Gelatos de Leite com Fruta", 13, "Chocolate base água", 16, "Vegano", 19, "Alcoólicos", 22, "Zero", 25, "Gelatos Proteicos", 28, 7), 2)) + (ROUND(J167,4) &gt; INDEX('Tabela de ingredientes'!$O$1:$V$30, SWITCH(B167, "Gelatos de Leite", 8, "Sorbets", 11, "Gelatos de Leite com Fruta", 14, "Chocolate base água", 17, "Vegano", 20, "Alcoólicos", 23, "Zero", 26, "Gelatos Proteicos", 29, 8), 2)) + (ROUND(K167,4) &lt; INDEX('Tabela de ingredientes'!$O$1:$V$30, SWITCH(B167, "Gelatos de Leite", 7, "Sorbets", 10, "Gelatos de Leite com Fruta", 13, "Chocolate base água", 16, "Vegano", 19, "Alcoólicos", 22, "Zero", 25, "Gelatos Proteicos", 28, 7), 3)) + (ROUND(K167,4) &gt; INDEX('Tabela de ingredientes'!$O$1:$V$30, SWITCH(B167, "Gelatos de Leite", 8, "Sorbets", 11, "Gelatos de Leite com Fruta", 14, "Chocolate base água", 17, "Vegano", 20, "Alcoólicos", 23, "Zero", 26, "Gelatos Proteicos", 29, 8), 3)) + (ROUND(L167,4) &lt; INDEX('Tabela de ingredientes'!$O$1:$V$30, SWITCH(B167, "Gelatos de Leite", 7, "Sorbets", 10, "Gelatos de Leite com Fruta", 13, "Chocolate base água", 16, "Vegano", 19, "Alcoólicos", 22, "Zero", 25, "Gelatos Proteicos", 28, 7), 4)) + (ROUND(L167,4) &gt; INDEX('Tabela de ingredientes'!$O$1:$V$30, SWITCH(B167, "Gelatos de Leite", 8, "Sorbets", 11, "Gelatos de Leite com Fruta", 14, "Chocolate base água", 17, "Vegano", 20, "Alcoólicos", 23, "Zero", 26, "Gelatos Proteicos", 29, 8), 4)) + (ROUND(M167,4) &lt; INDEX('Tabela de ingredientes'!$O$1:$V$30, SWITCH(B167, "Gelatos de Leite", 7, "Sorbets", 10, "Gelatos de Leite com Fruta", 13, "Chocolate base água", 16, "Vegano", 19, "Alcoólicos", 22, "Zero", 25, "Gelatos Proteicos", 28, 7), 5)) + (ROUND(M167,4) &gt; INDEX('Tabela de ingredientes'!$O$1:$V$30, SWITCH(B167, "Gelatos de Leite", 8, "Sorbets", 11, "Gelatos de Leite com Fruta", 14, "Chocolate base água", 17, "Vegano", 20, "Alcoólicos", 23, "Zero", 26, "Gelatos Proteicos", 29, 8), 5)) + (ROUND(N167,4) &lt; INDEX('Tabela de ingredientes'!$O$1:$V$30, SWITCH(B167, "Gelatos de Leite", 7, "Sorbets", 10, "Gelatos de Leite com Fruta", 13, "Chocolate base água", 16, "Vegano", 19, "Alcoólicos", 22, "Zero", 25, "Gelatos Proteicos", 28, 7), 6)) + (ROUND(N167,4) &gt; INDEX('Tabela de ingredientes'!$O$1:$V$30, SWITCH(B167, "Gelatos de Leite", 8, "Sorbets", 11, "Gelatos de Leite com Fruta", 14, "Chocolate base água", 17, "Vegano", 20, "Alcoólicos", 23, "Zero", 26, "Gelatos Proteicos", 29, 8), 6)) + (ROUND(O167,4) &lt; INDEX('Tabela de ingredientes'!$O$1:$V$30, SWITCH(B167, "Gelatos de Leite", 7, "Sorbets", 10, "Gelatos de Leite com Fruta", 13, "Chocolate base água", 16, "Vegano", 19, "Alcoólicos", 22, "Zero", 25, "Gelatos Proteicos", 28, 7), 7)) + (ROUND(O167,4) &gt; INDEX('Tabela de ingredientes'!$O$1:$V$30, SWITCH(B167, "Gelatos de Leite", 8, "Sorbets", 11, "Gelatos de Leite com Fruta", 14, "Chocolate base água", 17, "Vegano", 20, "Alcoólicos", 23, "Zero", 26, "Gelatos Proteicos", 29, 8), 7)) + (ROUND(P167,4) &lt; INDEX('Tabela de ingredientes'!$O$1:$V$30, SWITCH(B167, "Gelatos de Leite", 7, "Sorbets", 10, "Gelatos de Leite com Fruta", 13, "Chocolate base água", 16, "Vegano", 19, "Alcoólicos", 22, "Zero", 25, "Gelatos Proteicos", 28, 7), 8)) + (ROUND(P167,4) &gt; INDEX('Tabela de ingredientes'!$O$1:$V$30, SWITCH(B167, "Gelatos de Leite", 8, "Sorbets", 11, "Gelatos de Leite com Fruta", 14, "Chocolate base água", 17, "Vegano", 20, "Alcoólicos", 23, "Zero", 26, "Gelatos Proteicos", 29, 8), 8)) + IF(B167="Gelatos Proteicos", (ROUND(Q167,4)&lt;'Tabela de ingredientes'!$W$28)+(ROUND(Q167,4)&gt;'Tabela de ingredientes'!$W$29), 0) = 0, "Ok", "Revisar"))</f>
        <v>Ok</v>
      </c>
    </row>
    <row r="168">
      <c r="A168" s="39" t="str">
        <f>IFERROR(__xludf.DUMMYFUNCTION("""COMPUTED_VALUE"""),"Gelato de Coco Vegano - Menos Polióis (Sem Açúcar)")</f>
        <v>Gelato de Coco Vegano - Menos Polióis (Sem Açúcar)</v>
      </c>
      <c r="B168" s="39" t="s">
        <v>109</v>
      </c>
      <c r="C168" s="39">
        <v>8.0</v>
      </c>
      <c r="D168" s="39">
        <v>924.5</v>
      </c>
      <c r="E168" s="39" t="s">
        <v>479</v>
      </c>
      <c r="F168" s="69">
        <v>18.063818280151434</v>
      </c>
      <c r="G168" s="69">
        <v>1.083829096809086</v>
      </c>
      <c r="H168" s="69">
        <v>37.3044853312512</v>
      </c>
      <c r="I168" s="59">
        <v>0.08069226608977825</v>
      </c>
      <c r="J168" s="59">
        <v>0.09497025419145484</v>
      </c>
      <c r="K168" s="59">
        <v>0.0</v>
      </c>
      <c r="L168" s="59">
        <v>0.1439697133585722</v>
      </c>
      <c r="M168" s="59">
        <v>0.3196322336398053</v>
      </c>
      <c r="N168" s="59">
        <v>0.6803677663601947</v>
      </c>
      <c r="O168" s="39">
        <v>96.48458626284479</v>
      </c>
      <c r="P168" s="39">
        <v>235.54353704705247</v>
      </c>
      <c r="Q168" s="59">
        <v>0.0017306652244456465</v>
      </c>
      <c r="R168" s="39">
        <v>9.4217414818821</v>
      </c>
      <c r="S168" s="97" t="str">
        <f t="array" ref="S168">IF(A168="","", IF( (ROUND(I168,4) &lt; INDEX('Tabela de ingredientes'!$O$1:$V$30, SWITCH(B168, "Gelatos de Leite", 7, "Sorbets", 10, "Gelatos de Leite com Fruta", 13, "Chocolate base água", 16, "Vegano", 19, "Alcoólicos", 22, "Zero", 25, "Gelatos Proteicos", 28, 7), 1)) + (ROUND(I168,4) &gt; INDEX('Tabela de ingredientes'!$O$1:$V$30, SWITCH(B168, "Gelatos de Leite", 8, "Sorbets", 11, "Gelatos de Leite com Fruta", 14, "Chocolate base água", 17, "Vegano", 20, "Alcoólicos", 23, "Zero", 26, "Gelatos Proteicos", 29, 8), 1)) + (ROUND(J168,4) &lt; INDEX('Tabela de ingredientes'!$O$1:$V$30, SWITCH(B168, "Gelatos de Leite", 7, "Sorbets", 10, "Gelatos de Leite com Fruta", 13, "Chocolate base água", 16, "Vegano", 19, "Alcoólicos", 22, "Zero", 25, "Gelatos Proteicos", 28, 7), 2)) + (ROUND(J168,4) &gt; INDEX('Tabela de ingredientes'!$O$1:$V$30, SWITCH(B168, "Gelatos de Leite", 8, "Sorbets", 11, "Gelatos de Leite com Fruta", 14, "Chocolate base água", 17, "Vegano", 20, "Alcoólicos", 23, "Zero", 26, "Gelatos Proteicos", 29, 8), 2)) + (ROUND(K168,4) &lt; INDEX('Tabela de ingredientes'!$O$1:$V$30, SWITCH(B168, "Gelatos de Leite", 7, "Sorbets", 10, "Gelatos de Leite com Fruta", 13, "Chocolate base água", 16, "Vegano", 19, "Alcoólicos", 22, "Zero", 25, "Gelatos Proteicos", 28, 7), 3)) + (ROUND(K168,4) &gt; INDEX('Tabela de ingredientes'!$O$1:$V$30, SWITCH(B168, "Gelatos de Leite", 8, "Sorbets", 11, "Gelatos de Leite com Fruta", 14, "Chocolate base água", 17, "Vegano", 20, "Alcoólicos", 23, "Zero", 26, "Gelatos Proteicos", 29, 8), 3)) + (ROUND(L168,4) &lt; INDEX('Tabela de ingredientes'!$O$1:$V$30, SWITCH(B168, "Gelatos de Leite", 7, "Sorbets", 10, "Gelatos de Leite com Fruta", 13, "Chocolate base água", 16, "Vegano", 19, "Alcoólicos", 22, "Zero", 25, "Gelatos Proteicos", 28, 7), 4)) + (ROUND(L168,4) &gt; INDEX('Tabela de ingredientes'!$O$1:$V$30, SWITCH(B168, "Gelatos de Leite", 8, "Sorbets", 11, "Gelatos de Leite com Fruta", 14, "Chocolate base água", 17, "Vegano", 20, "Alcoólicos", 23, "Zero", 26, "Gelatos Proteicos", 29, 8), 4)) + (ROUND(M168,4) &lt; INDEX('Tabela de ingredientes'!$O$1:$V$30, SWITCH(B168, "Gelatos de Leite", 7, "Sorbets", 10, "Gelatos de Leite com Fruta", 13, "Chocolate base água", 16, "Vegano", 19, "Alcoólicos", 22, "Zero", 25, "Gelatos Proteicos", 28, 7), 5)) + (ROUND(M168,4) &gt; INDEX('Tabela de ingredientes'!$O$1:$V$30, SWITCH(B168, "Gelatos de Leite", 8, "Sorbets", 11, "Gelatos de Leite com Fruta", 14, "Chocolate base água", 17, "Vegano", 20, "Alcoólicos", 23, "Zero", 26, "Gelatos Proteicos", 29, 8), 5)) + (ROUND(N168,4) &lt; INDEX('Tabela de ingredientes'!$O$1:$V$30, SWITCH(B168, "Gelatos de Leite", 7, "Sorbets", 10, "Gelatos de Leite com Fruta", 13, "Chocolate base água", 16, "Vegano", 19, "Alcoólicos", 22, "Zero", 25, "Gelatos Proteicos", 28, 7), 6)) + (ROUND(N168,4) &gt; INDEX('Tabela de ingredientes'!$O$1:$V$30, SWITCH(B168, "Gelatos de Leite", 8, "Sorbets", 11, "Gelatos de Leite com Fruta", 14, "Chocolate base água", 17, "Vegano", 20, "Alcoólicos", 23, "Zero", 26, "Gelatos Proteicos", 29, 8), 6)) + (ROUND(O168,4) &lt; INDEX('Tabela de ingredientes'!$O$1:$V$30, SWITCH(B168, "Gelatos de Leite", 7, "Sorbets", 10, "Gelatos de Leite com Fruta", 13, "Chocolate base água", 16, "Vegano", 19, "Alcoólicos", 22, "Zero", 25, "Gelatos Proteicos", 28, 7), 7)) + (ROUND(O168,4) &gt; INDEX('Tabela de ingredientes'!$O$1:$V$30, SWITCH(B168, "Gelatos de Leite", 8, "Sorbets", 11, "Gelatos de Leite com Fruta", 14, "Chocolate base água", 17, "Vegano", 20, "Alcoólicos", 23, "Zero", 26, "Gelatos Proteicos", 29, 8), 7)) + (ROUND(P168,4) &lt; INDEX('Tabela de ingredientes'!$O$1:$V$30, SWITCH(B168, "Gelatos de Leite", 7, "Sorbets", 10, "Gelatos de Leite com Fruta", 13, "Chocolate base água", 16, "Vegano", 19, "Alcoólicos", 22, "Zero", 25, "Gelatos Proteicos", 28, 7), 8)) + (ROUND(P168,4) &gt; INDEX('Tabela de ingredientes'!$O$1:$V$30, SWITCH(B168, "Gelatos de Leite", 8, "Sorbets", 11, "Gelatos de Leite com Fruta", 14, "Chocolate base água", 17, "Vegano", 20, "Alcoólicos", 23, "Zero", 26, "Gelatos Proteicos", 29, 8), 8)) + IF(B168="Gelatos Proteicos", (ROUND(Q168,4)&lt;'Tabela de ingredientes'!$W$28)+(ROUND(Q168,4)&gt;'Tabela de ingredientes'!$W$29), 0) = 0, "Ok", "Revisar"))</f>
        <v>Ok</v>
      </c>
    </row>
    <row r="169">
      <c r="A169" s="39" t="str">
        <f>IFERROR(__xludf.DUMMYFUNCTION("""COMPUTED_VALUE"""),"Gelato de Pistache - Polióis (Sem Açúcar)")</f>
        <v>Gelato de Pistache - Polióis (Sem Açúcar)</v>
      </c>
      <c r="B169" s="39" t="s">
        <v>109</v>
      </c>
      <c r="C169" s="39">
        <v>8.0</v>
      </c>
      <c r="D169" s="39">
        <v>897.5</v>
      </c>
      <c r="E169" s="39" t="s">
        <v>645</v>
      </c>
      <c r="F169" s="69">
        <v>37.515654596100276</v>
      </c>
      <c r="G169" s="69">
        <v>2.2509392757660165</v>
      </c>
      <c r="H169" s="69">
        <v>53.40699883783137</v>
      </c>
      <c r="I169" s="59">
        <v>0.16557103064066853</v>
      </c>
      <c r="J169" s="59">
        <v>0.0883481894150418</v>
      </c>
      <c r="K169" s="59">
        <v>0.1046183844011142</v>
      </c>
      <c r="L169" s="59">
        <v>0.043008356545961</v>
      </c>
      <c r="M169" s="59">
        <v>0.40154596100278556</v>
      </c>
      <c r="N169" s="59">
        <v>0.5984540389972144</v>
      </c>
      <c r="O169" s="39">
        <v>121.98651810584957</v>
      </c>
      <c r="P169" s="39">
        <v>308.2116991643454</v>
      </c>
      <c r="Q169" s="59">
        <v>0.05153481894150418</v>
      </c>
      <c r="R169" s="39">
        <v>12.328467966573816</v>
      </c>
      <c r="S169" s="97" t="str">
        <f t="array" ref="S169">IF(A169="","", IF( (ROUND(I169,4) &lt; INDEX('Tabela de ingredientes'!$O$1:$V$30, SWITCH(B169, "Gelatos de Leite", 7, "Sorbets", 10, "Gelatos de Leite com Fruta", 13, "Chocolate base água", 16, "Vegano", 19, "Alcoólicos", 22, "Zero", 25, "Gelatos Proteicos", 28, 7), 1)) + (ROUND(I169,4) &gt; INDEX('Tabela de ingredientes'!$O$1:$V$30, SWITCH(B169, "Gelatos de Leite", 8, "Sorbets", 11, "Gelatos de Leite com Fruta", 14, "Chocolate base água", 17, "Vegano", 20, "Alcoólicos", 23, "Zero", 26, "Gelatos Proteicos", 29, 8), 1)) + (ROUND(J169,4) &lt; INDEX('Tabela de ingredientes'!$O$1:$V$30, SWITCH(B169, "Gelatos de Leite", 7, "Sorbets", 10, "Gelatos de Leite com Fruta", 13, "Chocolate base água", 16, "Vegano", 19, "Alcoólicos", 22, "Zero", 25, "Gelatos Proteicos", 28, 7), 2)) + (ROUND(J169,4) &gt; INDEX('Tabela de ingredientes'!$O$1:$V$30, SWITCH(B169, "Gelatos de Leite", 8, "Sorbets", 11, "Gelatos de Leite com Fruta", 14, "Chocolate base água", 17, "Vegano", 20, "Alcoólicos", 23, "Zero", 26, "Gelatos Proteicos", 29, 8), 2)) + (ROUND(K169,4) &lt; INDEX('Tabela de ingredientes'!$O$1:$V$30, SWITCH(B169, "Gelatos de Leite", 7, "Sorbets", 10, "Gelatos de Leite com Fruta", 13, "Chocolate base água", 16, "Vegano", 19, "Alcoólicos", 22, "Zero", 25, "Gelatos Proteicos", 28, 7), 3)) + (ROUND(K169,4) &gt; INDEX('Tabela de ingredientes'!$O$1:$V$30, SWITCH(B169, "Gelatos de Leite", 8, "Sorbets", 11, "Gelatos de Leite com Fruta", 14, "Chocolate base água", 17, "Vegano", 20, "Alcoólicos", 23, "Zero", 26, "Gelatos Proteicos", 29, 8), 3)) + (ROUND(L169,4) &lt; INDEX('Tabela de ingredientes'!$O$1:$V$30, SWITCH(B169, "Gelatos de Leite", 7, "Sorbets", 10, "Gelatos de Leite com Fruta", 13, "Chocolate base água", 16, "Vegano", 19, "Alcoólicos", 22, "Zero", 25, "Gelatos Proteicos", 28, 7), 4)) + (ROUND(L169,4) &gt; INDEX('Tabela de ingredientes'!$O$1:$V$30, SWITCH(B169, "Gelatos de Leite", 8, "Sorbets", 11, "Gelatos de Leite com Fruta", 14, "Chocolate base água", 17, "Vegano", 20, "Alcoólicos", 23, "Zero", 26, "Gelatos Proteicos", 29, 8), 4)) + (ROUND(M169,4) &lt; INDEX('Tabela de ingredientes'!$O$1:$V$30, SWITCH(B169, "Gelatos de Leite", 7, "Sorbets", 10, "Gelatos de Leite com Fruta", 13, "Chocolate base água", 16, "Vegano", 19, "Alcoólicos", 22, "Zero", 25, "Gelatos Proteicos", 28, 7), 5)) + (ROUND(M169,4) &gt; INDEX('Tabela de ingredientes'!$O$1:$V$30, SWITCH(B169, "Gelatos de Leite", 8, "Sorbets", 11, "Gelatos de Leite com Fruta", 14, "Chocolate base água", 17, "Vegano", 20, "Alcoólicos", 23, "Zero", 26, "Gelatos Proteicos", 29, 8), 5)) + (ROUND(N169,4) &lt; INDEX('Tabela de ingredientes'!$O$1:$V$30, SWITCH(B169, "Gelatos de Leite", 7, "Sorbets", 10, "Gelatos de Leite com Fruta", 13, "Chocolate base água", 16, "Vegano", 19, "Alcoólicos", 22, "Zero", 25, "Gelatos Proteicos", 28, 7), 6)) + (ROUND(N169,4) &gt; INDEX('Tabela de ingredientes'!$O$1:$V$30, SWITCH(B169, "Gelatos de Leite", 8, "Sorbets", 11, "Gelatos de Leite com Fruta", 14, "Chocolate base água", 17, "Vegano", 20, "Alcoólicos", 23, "Zero", 26, "Gelatos Proteicos", 29, 8), 6)) + (ROUND(O169,4) &lt; INDEX('Tabela de ingredientes'!$O$1:$V$30, SWITCH(B169, "Gelatos de Leite", 7, "Sorbets", 10, "Gelatos de Leite com Fruta", 13, "Chocolate base água", 16, "Vegano", 19, "Alcoólicos", 22, "Zero", 25, "Gelatos Proteicos", 28, 7), 7)) + (ROUND(O169,4) &gt; INDEX('Tabela de ingredientes'!$O$1:$V$30, SWITCH(B169, "Gelatos de Leite", 8, "Sorbets", 11, "Gelatos de Leite com Fruta", 14, "Chocolate base água", 17, "Vegano", 20, "Alcoólicos", 23, "Zero", 26, "Gelatos Proteicos", 29, 8), 7)) + (ROUND(P169,4) &lt; INDEX('Tabela de ingredientes'!$O$1:$V$30, SWITCH(B169, "Gelatos de Leite", 7, "Sorbets", 10, "Gelatos de Leite com Fruta", 13, "Chocolate base água", 16, "Vegano", 19, "Alcoólicos", 22, "Zero", 25, "Gelatos Proteicos", 28, 7), 8)) + (ROUND(P169,4) &gt; INDEX('Tabela de ingredientes'!$O$1:$V$30, SWITCH(B169, "Gelatos de Leite", 8, "Sorbets", 11, "Gelatos de Leite com Fruta", 14, "Chocolate base água", 17, "Vegano", 20, "Alcoólicos", 23, "Zero", 26, "Gelatos Proteicos", 29, 8), 8)) + IF(B169="Gelatos Proteicos", (ROUND(Q169,4)&lt;'Tabela de ingredientes'!$W$28)+(ROUND(Q169,4)&gt;'Tabela de ingredientes'!$W$29), 0) = 0, "Ok", "Revisar"))</f>
        <v>Ok</v>
      </c>
    </row>
    <row r="170">
      <c r="A170" s="39" t="str">
        <f>IFERROR(__xludf.DUMMYFUNCTION("""COMPUTED_VALUE"""),"Gelato de Pistache - Menos Polióis (Sem Açúcar)")</f>
        <v>Gelato de Pistache - Menos Polióis (Sem Açúcar)</v>
      </c>
      <c r="B170" s="39" t="s">
        <v>109</v>
      </c>
      <c r="C170" s="39">
        <v>9.0</v>
      </c>
      <c r="D170" s="39">
        <v>874.5</v>
      </c>
      <c r="E170" s="39" t="s">
        <v>646</v>
      </c>
      <c r="F170" s="69">
        <v>39.74419668381932</v>
      </c>
      <c r="G170" s="69">
        <v>2.384651801029159</v>
      </c>
      <c r="H170" s="69">
        <v>55.25181844687032</v>
      </c>
      <c r="I170" s="59">
        <v>0.055574614065180106</v>
      </c>
      <c r="J170" s="59">
        <v>0.10508004574042311</v>
      </c>
      <c r="K170" s="59">
        <v>0.10045168667810177</v>
      </c>
      <c r="L170" s="59">
        <v>0.13333333333333333</v>
      </c>
      <c r="M170" s="59">
        <v>0.3944396798170383</v>
      </c>
      <c r="N170" s="59">
        <v>0.6055603201829617</v>
      </c>
      <c r="O170" s="39">
        <v>120.5110348770726</v>
      </c>
      <c r="P170" s="39">
        <v>253.5391652372784</v>
      </c>
      <c r="Q170" s="59">
        <v>0.05032875929102344</v>
      </c>
      <c r="R170" s="39">
        <v>10.141566609491136</v>
      </c>
      <c r="S170" s="97" t="str">
        <f t="array" ref="S170">IF(A170="","", IF( (ROUND(I170,4) &lt; INDEX('Tabela de ingredientes'!$O$1:$V$30, SWITCH(B170, "Gelatos de Leite", 7, "Sorbets", 10, "Gelatos de Leite com Fruta", 13, "Chocolate base água", 16, "Vegano", 19, "Alcoólicos", 22, "Zero", 25, "Gelatos Proteicos", 28, 7), 1)) + (ROUND(I170,4) &gt; INDEX('Tabela de ingredientes'!$O$1:$V$30, SWITCH(B170, "Gelatos de Leite", 8, "Sorbets", 11, "Gelatos de Leite com Fruta", 14, "Chocolate base água", 17, "Vegano", 20, "Alcoólicos", 23, "Zero", 26, "Gelatos Proteicos", 29, 8), 1)) + (ROUND(J170,4) &lt; INDEX('Tabela de ingredientes'!$O$1:$V$30, SWITCH(B170, "Gelatos de Leite", 7, "Sorbets", 10, "Gelatos de Leite com Fruta", 13, "Chocolate base água", 16, "Vegano", 19, "Alcoólicos", 22, "Zero", 25, "Gelatos Proteicos", 28, 7), 2)) + (ROUND(J170,4) &gt; INDEX('Tabela de ingredientes'!$O$1:$V$30, SWITCH(B170, "Gelatos de Leite", 8, "Sorbets", 11, "Gelatos de Leite com Fruta", 14, "Chocolate base água", 17, "Vegano", 20, "Alcoólicos", 23, "Zero", 26, "Gelatos Proteicos", 29, 8), 2)) + (ROUND(K170,4) &lt; INDEX('Tabela de ingredientes'!$O$1:$V$30, SWITCH(B170, "Gelatos de Leite", 7, "Sorbets", 10, "Gelatos de Leite com Fruta", 13, "Chocolate base água", 16, "Vegano", 19, "Alcoólicos", 22, "Zero", 25, "Gelatos Proteicos", 28, 7), 3)) + (ROUND(K170,4) &gt; INDEX('Tabela de ingredientes'!$O$1:$V$30, SWITCH(B170, "Gelatos de Leite", 8, "Sorbets", 11, "Gelatos de Leite com Fruta", 14, "Chocolate base água", 17, "Vegano", 20, "Alcoólicos", 23, "Zero", 26, "Gelatos Proteicos", 29, 8), 3)) + (ROUND(L170,4) &lt; INDEX('Tabela de ingredientes'!$O$1:$V$30, SWITCH(B170, "Gelatos de Leite", 7, "Sorbets", 10, "Gelatos de Leite com Fruta", 13, "Chocolate base água", 16, "Vegano", 19, "Alcoólicos", 22, "Zero", 25, "Gelatos Proteicos", 28, 7), 4)) + (ROUND(L170,4) &gt; INDEX('Tabela de ingredientes'!$O$1:$V$30, SWITCH(B170, "Gelatos de Leite", 8, "Sorbets", 11, "Gelatos de Leite com Fruta", 14, "Chocolate base água", 17, "Vegano", 20, "Alcoólicos", 23, "Zero", 26, "Gelatos Proteicos", 29, 8), 4)) + (ROUND(M170,4) &lt; INDEX('Tabela de ingredientes'!$O$1:$V$30, SWITCH(B170, "Gelatos de Leite", 7, "Sorbets", 10, "Gelatos de Leite com Fruta", 13, "Chocolate base água", 16, "Vegano", 19, "Alcoólicos", 22, "Zero", 25, "Gelatos Proteicos", 28, 7), 5)) + (ROUND(M170,4) &gt; INDEX('Tabela de ingredientes'!$O$1:$V$30, SWITCH(B170, "Gelatos de Leite", 8, "Sorbets", 11, "Gelatos de Leite com Fruta", 14, "Chocolate base água", 17, "Vegano", 20, "Alcoólicos", 23, "Zero", 26, "Gelatos Proteicos", 29, 8), 5)) + (ROUND(N170,4) &lt; INDEX('Tabela de ingredientes'!$O$1:$V$30, SWITCH(B170, "Gelatos de Leite", 7, "Sorbets", 10, "Gelatos de Leite com Fruta", 13, "Chocolate base água", 16, "Vegano", 19, "Alcoólicos", 22, "Zero", 25, "Gelatos Proteicos", 28, 7), 6)) + (ROUND(N170,4) &gt; INDEX('Tabela de ingredientes'!$O$1:$V$30, SWITCH(B170, "Gelatos de Leite", 8, "Sorbets", 11, "Gelatos de Leite com Fruta", 14, "Chocolate base água", 17, "Vegano", 20, "Alcoólicos", 23, "Zero", 26, "Gelatos Proteicos", 29, 8), 6)) + (ROUND(O170,4) &lt; INDEX('Tabela de ingredientes'!$O$1:$V$30, SWITCH(B170, "Gelatos de Leite", 7, "Sorbets", 10, "Gelatos de Leite com Fruta", 13, "Chocolate base água", 16, "Vegano", 19, "Alcoólicos", 22, "Zero", 25, "Gelatos Proteicos", 28, 7), 7)) + (ROUND(O170,4) &gt; INDEX('Tabela de ingredientes'!$O$1:$V$30, SWITCH(B170, "Gelatos de Leite", 8, "Sorbets", 11, "Gelatos de Leite com Fruta", 14, "Chocolate base água", 17, "Vegano", 20, "Alcoólicos", 23, "Zero", 26, "Gelatos Proteicos", 29, 8), 7)) + (ROUND(P170,4) &lt; INDEX('Tabela de ingredientes'!$O$1:$V$30, SWITCH(B170, "Gelatos de Leite", 7, "Sorbets", 10, "Gelatos de Leite com Fruta", 13, "Chocolate base água", 16, "Vegano", 19, "Alcoólicos", 22, "Zero", 25, "Gelatos Proteicos", 28, 7), 8)) + (ROUND(P170,4) &gt; INDEX('Tabela de ingredientes'!$O$1:$V$30, SWITCH(B170, "Gelatos de Leite", 8, "Sorbets", 11, "Gelatos de Leite com Fruta", 14, "Chocolate base água", 17, "Vegano", 20, "Alcoólicos", 23, "Zero", 26, "Gelatos Proteicos", 29, 8), 8)) + IF(B170="Gelatos Proteicos", (ROUND(Q170,4)&lt;'Tabela de ingredientes'!$W$28)+(ROUND(Q170,4)&gt;'Tabela de ingredientes'!$W$29), 0) = 0, "Ok", "Revisar"))</f>
        <v>Ok</v>
      </c>
    </row>
    <row r="171">
      <c r="A171" s="39" t="str">
        <f>IFERROR(__xludf.DUMMYFUNCTION("""COMPUTED_VALUE"""),"Gelato de Pistache Vegano - Polióis (Sem Açúcar)")</f>
        <v>Gelato de Pistache Vegano - Polióis (Sem Açúcar)</v>
      </c>
      <c r="B171" s="39" t="s">
        <v>109</v>
      </c>
      <c r="C171" s="39">
        <v>6.0</v>
      </c>
      <c r="D171" s="39">
        <v>917.0</v>
      </c>
      <c r="E171" s="39" t="s">
        <v>620</v>
      </c>
      <c r="F171" s="69">
        <v>53.1701199563795</v>
      </c>
      <c r="G171" s="69">
        <v>3.19020719738277</v>
      </c>
      <c r="H171" s="69">
        <v>66.36599334137377</v>
      </c>
      <c r="I171" s="59">
        <v>0.18184296619411122</v>
      </c>
      <c r="J171" s="59">
        <v>0.09160305343511452</v>
      </c>
      <c r="K171" s="59">
        <v>0.0</v>
      </c>
      <c r="L171" s="59">
        <v>0.0722464558342421</v>
      </c>
      <c r="M171" s="59">
        <v>0.3456924754634679</v>
      </c>
      <c r="N171" s="59">
        <v>0.6543075245365322</v>
      </c>
      <c r="O171" s="39">
        <v>122.13740458015268</v>
      </c>
      <c r="P171" s="39">
        <v>279.1712104689204</v>
      </c>
      <c r="Q171" s="59">
        <v>0.021264994547437296</v>
      </c>
      <c r="R171" s="39">
        <v>11.166848418756816</v>
      </c>
      <c r="S171" s="97" t="str">
        <f t="array" ref="S171">IF(A171="","", IF( (ROUND(I171,4) &lt; INDEX('Tabela de ingredientes'!$O$1:$V$30, SWITCH(B171, "Gelatos de Leite", 7, "Sorbets", 10, "Gelatos de Leite com Fruta", 13, "Chocolate base água", 16, "Vegano", 19, "Alcoólicos", 22, "Zero", 25, "Gelatos Proteicos", 28, 7), 1)) + (ROUND(I171,4) &gt; INDEX('Tabela de ingredientes'!$O$1:$V$30, SWITCH(B171, "Gelatos de Leite", 8, "Sorbets", 11, "Gelatos de Leite com Fruta", 14, "Chocolate base água", 17, "Vegano", 20, "Alcoólicos", 23, "Zero", 26, "Gelatos Proteicos", 29, 8), 1)) + (ROUND(J171,4) &lt; INDEX('Tabela de ingredientes'!$O$1:$V$30, SWITCH(B171, "Gelatos de Leite", 7, "Sorbets", 10, "Gelatos de Leite com Fruta", 13, "Chocolate base água", 16, "Vegano", 19, "Alcoólicos", 22, "Zero", 25, "Gelatos Proteicos", 28, 7), 2)) + (ROUND(J171,4) &gt; INDEX('Tabela de ingredientes'!$O$1:$V$30, SWITCH(B171, "Gelatos de Leite", 8, "Sorbets", 11, "Gelatos de Leite com Fruta", 14, "Chocolate base água", 17, "Vegano", 20, "Alcoólicos", 23, "Zero", 26, "Gelatos Proteicos", 29, 8), 2)) + (ROUND(K171,4) &lt; INDEX('Tabela de ingredientes'!$O$1:$V$30, SWITCH(B171, "Gelatos de Leite", 7, "Sorbets", 10, "Gelatos de Leite com Fruta", 13, "Chocolate base água", 16, "Vegano", 19, "Alcoólicos", 22, "Zero", 25, "Gelatos Proteicos", 28, 7), 3)) + (ROUND(K171,4) &gt; INDEX('Tabela de ingredientes'!$O$1:$V$30, SWITCH(B171, "Gelatos de Leite", 8, "Sorbets", 11, "Gelatos de Leite com Fruta", 14, "Chocolate base água", 17, "Vegano", 20, "Alcoólicos", 23, "Zero", 26, "Gelatos Proteicos", 29, 8), 3)) + (ROUND(L171,4) &lt; INDEX('Tabela de ingredientes'!$O$1:$V$30, SWITCH(B171, "Gelatos de Leite", 7, "Sorbets", 10, "Gelatos de Leite com Fruta", 13, "Chocolate base água", 16, "Vegano", 19, "Alcoólicos", 22, "Zero", 25, "Gelatos Proteicos", 28, 7), 4)) + (ROUND(L171,4) &gt; INDEX('Tabela de ingredientes'!$O$1:$V$30, SWITCH(B171, "Gelatos de Leite", 8, "Sorbets", 11, "Gelatos de Leite com Fruta", 14, "Chocolate base água", 17, "Vegano", 20, "Alcoólicos", 23, "Zero", 26, "Gelatos Proteicos", 29, 8), 4)) + (ROUND(M171,4) &lt; INDEX('Tabela de ingredientes'!$O$1:$V$30, SWITCH(B171, "Gelatos de Leite", 7, "Sorbets", 10, "Gelatos de Leite com Fruta", 13, "Chocolate base água", 16, "Vegano", 19, "Alcoólicos", 22, "Zero", 25, "Gelatos Proteicos", 28, 7), 5)) + (ROUND(M171,4) &gt; INDEX('Tabela de ingredientes'!$O$1:$V$30, SWITCH(B171, "Gelatos de Leite", 8, "Sorbets", 11, "Gelatos de Leite com Fruta", 14, "Chocolate base água", 17, "Vegano", 20, "Alcoólicos", 23, "Zero", 26, "Gelatos Proteicos", 29, 8), 5)) + (ROUND(N171,4) &lt; INDEX('Tabela de ingredientes'!$O$1:$V$30, SWITCH(B171, "Gelatos de Leite", 7, "Sorbets", 10, "Gelatos de Leite com Fruta", 13, "Chocolate base água", 16, "Vegano", 19, "Alcoólicos", 22, "Zero", 25, "Gelatos Proteicos", 28, 7), 6)) + (ROUND(N171,4) &gt; INDEX('Tabela de ingredientes'!$O$1:$V$30, SWITCH(B171, "Gelatos de Leite", 8, "Sorbets", 11, "Gelatos de Leite com Fruta", 14, "Chocolate base água", 17, "Vegano", 20, "Alcoólicos", 23, "Zero", 26, "Gelatos Proteicos", 29, 8), 6)) + (ROUND(O171,4) &lt; INDEX('Tabela de ingredientes'!$O$1:$V$30, SWITCH(B171, "Gelatos de Leite", 7, "Sorbets", 10, "Gelatos de Leite com Fruta", 13, "Chocolate base água", 16, "Vegano", 19, "Alcoólicos", 22, "Zero", 25, "Gelatos Proteicos", 28, 7), 7)) + (ROUND(O171,4) &gt; INDEX('Tabela de ingredientes'!$O$1:$V$30, SWITCH(B171, "Gelatos de Leite", 8, "Sorbets", 11, "Gelatos de Leite com Fruta", 14, "Chocolate base água", 17, "Vegano", 20, "Alcoólicos", 23, "Zero", 26, "Gelatos Proteicos", 29, 8), 7)) + (ROUND(P171,4) &lt; INDEX('Tabela de ingredientes'!$O$1:$V$30, SWITCH(B171, "Gelatos de Leite", 7, "Sorbets", 10, "Gelatos de Leite com Fruta", 13, "Chocolate base água", 16, "Vegano", 19, "Alcoólicos", 22, "Zero", 25, "Gelatos Proteicos", 28, 7), 8)) + (ROUND(P171,4) &gt; INDEX('Tabela de ingredientes'!$O$1:$V$30, SWITCH(B171, "Gelatos de Leite", 8, "Sorbets", 11, "Gelatos de Leite com Fruta", 14, "Chocolate base água", 17, "Vegano", 20, "Alcoólicos", 23, "Zero", 26, "Gelatos Proteicos", 29, 8), 8)) + IF(B171="Gelatos Proteicos", (ROUND(Q171,4)&lt;'Tabela de ingredientes'!$W$28)+(ROUND(Q171,4)&gt;'Tabela de ingredientes'!$W$29), 0) = 0, "Ok", "Revisar"))</f>
        <v>Ok</v>
      </c>
    </row>
    <row r="172">
      <c r="A172" s="39" t="str">
        <f>IFERROR(__xludf.DUMMYFUNCTION("""COMPUTED_VALUE"""),"Gelato de Pistache Vegano - Menos Polióis (Sem Açúcar)")</f>
        <v>Gelato de Pistache Vegano - Menos Polióis (Sem Açúcar)</v>
      </c>
      <c r="B172" s="39" t="s">
        <v>109</v>
      </c>
      <c r="C172" s="39">
        <v>7.0</v>
      </c>
      <c r="D172" s="39">
        <v>879.0</v>
      </c>
      <c r="E172" s="39" t="s">
        <v>647</v>
      </c>
      <c r="F172" s="69">
        <v>50.13310580204778</v>
      </c>
      <c r="G172" s="69">
        <v>3.007986348122867</v>
      </c>
      <c r="H172" s="69">
        <v>63.85190877652963</v>
      </c>
      <c r="I172" s="59">
        <v>0.06353811149032992</v>
      </c>
      <c r="J172" s="59">
        <v>0.08282138794084187</v>
      </c>
      <c r="K172" s="59">
        <v>0.0</v>
      </c>
      <c r="L172" s="59">
        <v>0.16592718998862344</v>
      </c>
      <c r="M172" s="59">
        <v>0.3122866894197952</v>
      </c>
      <c r="N172" s="59">
        <v>0.6877133105802048</v>
      </c>
      <c r="O172" s="39">
        <v>184.5278725824801</v>
      </c>
      <c r="P172" s="39">
        <v>227.53128555176337</v>
      </c>
      <c r="Q172" s="59">
        <v>0.019226393629124008</v>
      </c>
      <c r="R172" s="39">
        <v>9.101251422070535</v>
      </c>
      <c r="S172" s="97" t="str">
        <f t="array" ref="S172">IF(A172="","", IF( (ROUND(I172,4) &lt; INDEX('Tabela de ingredientes'!$O$1:$V$30, SWITCH(B172, "Gelatos de Leite", 7, "Sorbets", 10, "Gelatos de Leite com Fruta", 13, "Chocolate base água", 16, "Vegano", 19, "Alcoólicos", 22, "Zero", 25, "Gelatos Proteicos", 28, 7), 1)) + (ROUND(I172,4) &gt; INDEX('Tabela de ingredientes'!$O$1:$V$30, SWITCH(B172, "Gelatos de Leite", 8, "Sorbets", 11, "Gelatos de Leite com Fruta", 14, "Chocolate base água", 17, "Vegano", 20, "Alcoólicos", 23, "Zero", 26, "Gelatos Proteicos", 29, 8), 1)) + (ROUND(J172,4) &lt; INDEX('Tabela de ingredientes'!$O$1:$V$30, SWITCH(B172, "Gelatos de Leite", 7, "Sorbets", 10, "Gelatos de Leite com Fruta", 13, "Chocolate base água", 16, "Vegano", 19, "Alcoólicos", 22, "Zero", 25, "Gelatos Proteicos", 28, 7), 2)) + (ROUND(J172,4) &gt; INDEX('Tabela de ingredientes'!$O$1:$V$30, SWITCH(B172, "Gelatos de Leite", 8, "Sorbets", 11, "Gelatos de Leite com Fruta", 14, "Chocolate base água", 17, "Vegano", 20, "Alcoólicos", 23, "Zero", 26, "Gelatos Proteicos", 29, 8), 2)) + (ROUND(K172,4) &lt; INDEX('Tabela de ingredientes'!$O$1:$V$30, SWITCH(B172, "Gelatos de Leite", 7, "Sorbets", 10, "Gelatos de Leite com Fruta", 13, "Chocolate base água", 16, "Vegano", 19, "Alcoólicos", 22, "Zero", 25, "Gelatos Proteicos", 28, 7), 3)) + (ROUND(K172,4) &gt; INDEX('Tabela de ingredientes'!$O$1:$V$30, SWITCH(B172, "Gelatos de Leite", 8, "Sorbets", 11, "Gelatos de Leite com Fruta", 14, "Chocolate base água", 17, "Vegano", 20, "Alcoólicos", 23, "Zero", 26, "Gelatos Proteicos", 29, 8), 3)) + (ROUND(L172,4) &lt; INDEX('Tabela de ingredientes'!$O$1:$V$30, SWITCH(B172, "Gelatos de Leite", 7, "Sorbets", 10, "Gelatos de Leite com Fruta", 13, "Chocolate base água", 16, "Vegano", 19, "Alcoólicos", 22, "Zero", 25, "Gelatos Proteicos", 28, 7), 4)) + (ROUND(L172,4) &gt; INDEX('Tabela de ingredientes'!$O$1:$V$30, SWITCH(B172, "Gelatos de Leite", 8, "Sorbets", 11, "Gelatos de Leite com Fruta", 14, "Chocolate base água", 17, "Vegano", 20, "Alcoólicos", 23, "Zero", 26, "Gelatos Proteicos", 29, 8), 4)) + (ROUND(M172,4) &lt; INDEX('Tabela de ingredientes'!$O$1:$V$30, SWITCH(B172, "Gelatos de Leite", 7, "Sorbets", 10, "Gelatos de Leite com Fruta", 13, "Chocolate base água", 16, "Vegano", 19, "Alcoólicos", 22, "Zero", 25, "Gelatos Proteicos", 28, 7), 5)) + (ROUND(M172,4) &gt; INDEX('Tabela de ingredientes'!$O$1:$V$30, SWITCH(B172, "Gelatos de Leite", 8, "Sorbets", 11, "Gelatos de Leite com Fruta", 14, "Chocolate base água", 17, "Vegano", 20, "Alcoólicos", 23, "Zero", 26, "Gelatos Proteicos", 29, 8), 5)) + (ROUND(N172,4) &lt; INDEX('Tabela de ingredientes'!$O$1:$V$30, SWITCH(B172, "Gelatos de Leite", 7, "Sorbets", 10, "Gelatos de Leite com Fruta", 13, "Chocolate base água", 16, "Vegano", 19, "Alcoólicos", 22, "Zero", 25, "Gelatos Proteicos", 28, 7), 6)) + (ROUND(N172,4) &gt; INDEX('Tabela de ingredientes'!$O$1:$V$30, SWITCH(B172, "Gelatos de Leite", 8, "Sorbets", 11, "Gelatos de Leite com Fruta", 14, "Chocolate base água", 17, "Vegano", 20, "Alcoólicos", 23, "Zero", 26, "Gelatos Proteicos", 29, 8), 6)) + (ROUND(O172,4) &lt; INDEX('Tabela de ingredientes'!$O$1:$V$30, SWITCH(B172, "Gelatos de Leite", 7, "Sorbets", 10, "Gelatos de Leite com Fruta", 13, "Chocolate base água", 16, "Vegano", 19, "Alcoólicos", 22, "Zero", 25, "Gelatos Proteicos", 28, 7), 7)) + (ROUND(O172,4) &gt; INDEX('Tabela de ingredientes'!$O$1:$V$30, SWITCH(B172, "Gelatos de Leite", 8, "Sorbets", 11, "Gelatos de Leite com Fruta", 14, "Chocolate base água", 17, "Vegano", 20, "Alcoólicos", 23, "Zero", 26, "Gelatos Proteicos", 29, 8), 7)) + (ROUND(P172,4) &lt; INDEX('Tabela de ingredientes'!$O$1:$V$30, SWITCH(B172, "Gelatos de Leite", 7, "Sorbets", 10, "Gelatos de Leite com Fruta", 13, "Chocolate base água", 16, "Vegano", 19, "Alcoólicos", 22, "Zero", 25, "Gelatos Proteicos", 28, 7), 8)) + (ROUND(P172,4) &gt; INDEX('Tabela de ingredientes'!$O$1:$V$30, SWITCH(B172, "Gelatos de Leite", 8, "Sorbets", 11, "Gelatos de Leite com Fruta", 14, "Chocolate base água", 17, "Vegano", 20, "Alcoólicos", 23, "Zero", 26, "Gelatos Proteicos", 29, 8), 8)) + IF(B172="Gelatos Proteicos", (ROUND(Q172,4)&lt;'Tabela de ingredientes'!$W$28)+(ROUND(Q172,4)&gt;'Tabela de ingredientes'!$W$29), 0) = 0, "Ok", "Revisar"))</f>
        <v>Ok</v>
      </c>
    </row>
    <row r="173">
      <c r="A173" s="39" t="str">
        <f>IFERROR(__xludf.DUMMYFUNCTION("""COMPUTED_VALUE"""),"Gelato de Iogurte - Polióis (Sem Açúcar)")</f>
        <v>Gelato de Iogurte - Polióis (Sem Açúcar)</v>
      </c>
      <c r="B173" s="39" t="s">
        <v>109</v>
      </c>
      <c r="C173" s="39">
        <v>8.0</v>
      </c>
      <c r="D173" s="39">
        <v>1023.0</v>
      </c>
      <c r="E173" s="39" t="s">
        <v>648</v>
      </c>
      <c r="F173" s="69">
        <v>11.242424242424242</v>
      </c>
      <c r="G173" s="69">
        <v>0.6745454545454546</v>
      </c>
      <c r="H173" s="69">
        <v>31.65763596227173</v>
      </c>
      <c r="I173" s="59">
        <v>0.1906158357771261</v>
      </c>
      <c r="J173" s="59">
        <v>0.04262952101661779</v>
      </c>
      <c r="K173" s="59">
        <v>0.11950146627565983</v>
      </c>
      <c r="L173" s="59">
        <v>0.012218963831867057</v>
      </c>
      <c r="M173" s="59">
        <v>0.3649657869012708</v>
      </c>
      <c r="N173" s="59">
        <v>0.6350342130987292</v>
      </c>
      <c r="O173" s="39">
        <v>142.95210166177907</v>
      </c>
      <c r="P173" s="39">
        <v>329.9120234604106</v>
      </c>
      <c r="Q173" s="59">
        <v>0.05050830889540567</v>
      </c>
      <c r="R173" s="39">
        <v>13.196480938416423</v>
      </c>
      <c r="S173" s="97" t="str">
        <f t="array" ref="S173">IF(A173="","", IF( (ROUND(I173,4) &lt; INDEX('Tabela de ingredientes'!$O$1:$V$30, SWITCH(B173, "Gelatos de Leite", 7, "Sorbets", 10, "Gelatos de Leite com Fruta", 13, "Chocolate base água", 16, "Vegano", 19, "Alcoólicos", 22, "Zero", 25, "Gelatos Proteicos", 28, 7), 1)) + (ROUND(I173,4) &gt; INDEX('Tabela de ingredientes'!$O$1:$V$30, SWITCH(B173, "Gelatos de Leite", 8, "Sorbets", 11, "Gelatos de Leite com Fruta", 14, "Chocolate base água", 17, "Vegano", 20, "Alcoólicos", 23, "Zero", 26, "Gelatos Proteicos", 29, 8), 1)) + (ROUND(J173,4) &lt; INDEX('Tabela de ingredientes'!$O$1:$V$30, SWITCH(B173, "Gelatos de Leite", 7, "Sorbets", 10, "Gelatos de Leite com Fruta", 13, "Chocolate base água", 16, "Vegano", 19, "Alcoólicos", 22, "Zero", 25, "Gelatos Proteicos", 28, 7), 2)) + (ROUND(J173,4) &gt; INDEX('Tabela de ingredientes'!$O$1:$V$30, SWITCH(B173, "Gelatos de Leite", 8, "Sorbets", 11, "Gelatos de Leite com Fruta", 14, "Chocolate base água", 17, "Vegano", 20, "Alcoólicos", 23, "Zero", 26, "Gelatos Proteicos", 29, 8), 2)) + (ROUND(K173,4) &lt; INDEX('Tabela de ingredientes'!$O$1:$V$30, SWITCH(B173, "Gelatos de Leite", 7, "Sorbets", 10, "Gelatos de Leite com Fruta", 13, "Chocolate base água", 16, "Vegano", 19, "Alcoólicos", 22, "Zero", 25, "Gelatos Proteicos", 28, 7), 3)) + (ROUND(K173,4) &gt; INDEX('Tabela de ingredientes'!$O$1:$V$30, SWITCH(B173, "Gelatos de Leite", 8, "Sorbets", 11, "Gelatos de Leite com Fruta", 14, "Chocolate base água", 17, "Vegano", 20, "Alcoólicos", 23, "Zero", 26, "Gelatos Proteicos", 29, 8), 3)) + (ROUND(L173,4) &lt; INDEX('Tabela de ingredientes'!$O$1:$V$30, SWITCH(B173, "Gelatos de Leite", 7, "Sorbets", 10, "Gelatos de Leite com Fruta", 13, "Chocolate base água", 16, "Vegano", 19, "Alcoólicos", 22, "Zero", 25, "Gelatos Proteicos", 28, 7), 4)) + (ROUND(L173,4) &gt; INDEX('Tabela de ingredientes'!$O$1:$V$30, SWITCH(B173, "Gelatos de Leite", 8, "Sorbets", 11, "Gelatos de Leite com Fruta", 14, "Chocolate base água", 17, "Vegano", 20, "Alcoólicos", 23, "Zero", 26, "Gelatos Proteicos", 29, 8), 4)) + (ROUND(M173,4) &lt; INDEX('Tabela de ingredientes'!$O$1:$V$30, SWITCH(B173, "Gelatos de Leite", 7, "Sorbets", 10, "Gelatos de Leite com Fruta", 13, "Chocolate base água", 16, "Vegano", 19, "Alcoólicos", 22, "Zero", 25, "Gelatos Proteicos", 28, 7), 5)) + (ROUND(M173,4) &gt; INDEX('Tabela de ingredientes'!$O$1:$V$30, SWITCH(B173, "Gelatos de Leite", 8, "Sorbets", 11, "Gelatos de Leite com Fruta", 14, "Chocolate base água", 17, "Vegano", 20, "Alcoólicos", 23, "Zero", 26, "Gelatos Proteicos", 29, 8), 5)) + (ROUND(N173,4) &lt; INDEX('Tabela de ingredientes'!$O$1:$V$30, SWITCH(B173, "Gelatos de Leite", 7, "Sorbets", 10, "Gelatos de Leite com Fruta", 13, "Chocolate base água", 16, "Vegano", 19, "Alcoólicos", 22, "Zero", 25, "Gelatos Proteicos", 28, 7), 6)) + (ROUND(N173,4) &gt; INDEX('Tabela de ingredientes'!$O$1:$V$30, SWITCH(B173, "Gelatos de Leite", 8, "Sorbets", 11, "Gelatos de Leite com Fruta", 14, "Chocolate base água", 17, "Vegano", 20, "Alcoólicos", 23, "Zero", 26, "Gelatos Proteicos", 29, 8), 6)) + (ROUND(O173,4) &lt; INDEX('Tabela de ingredientes'!$O$1:$V$30, SWITCH(B173, "Gelatos de Leite", 7, "Sorbets", 10, "Gelatos de Leite com Fruta", 13, "Chocolate base água", 16, "Vegano", 19, "Alcoólicos", 22, "Zero", 25, "Gelatos Proteicos", 28, 7), 7)) + (ROUND(O173,4) &gt; INDEX('Tabela de ingredientes'!$O$1:$V$30, SWITCH(B173, "Gelatos de Leite", 8, "Sorbets", 11, "Gelatos de Leite com Fruta", 14, "Chocolate base água", 17, "Vegano", 20, "Alcoólicos", 23, "Zero", 26, "Gelatos Proteicos", 29, 8), 7)) + (ROUND(P173,4) &lt; INDEX('Tabela de ingredientes'!$O$1:$V$30, SWITCH(B173, "Gelatos de Leite", 7, "Sorbets", 10, "Gelatos de Leite com Fruta", 13, "Chocolate base água", 16, "Vegano", 19, "Alcoólicos", 22, "Zero", 25, "Gelatos Proteicos", 28, 7), 8)) + (ROUND(P173,4) &gt; INDEX('Tabela de ingredientes'!$O$1:$V$30, SWITCH(B173, "Gelatos de Leite", 8, "Sorbets", 11, "Gelatos de Leite com Fruta", 14, "Chocolate base água", 17, "Vegano", 20, "Alcoólicos", 23, "Zero", 26, "Gelatos Proteicos", 29, 8), 8)) + IF(B173="Gelatos Proteicos", (ROUND(Q173,4)&lt;'Tabela de ingredientes'!$W$28)+(ROUND(Q173,4)&gt;'Tabela de ingredientes'!$W$29), 0) = 0, "Ok", "Revisar"))</f>
        <v>Ok</v>
      </c>
    </row>
    <row r="174">
      <c r="A174" s="39" t="str">
        <f>IFERROR(__xludf.DUMMYFUNCTION("""COMPUTED_VALUE"""),"Gelato de Iogurte - Redução de Polióis (Sem Açúcar)")</f>
        <v>Gelato de Iogurte - Redução de Polióis (Sem Açúcar)</v>
      </c>
      <c r="B174" s="39" t="s">
        <v>109</v>
      </c>
      <c r="C174" s="39">
        <v>8.0</v>
      </c>
      <c r="D174" s="39">
        <v>1008.5</v>
      </c>
      <c r="E174" s="39" t="s">
        <v>649</v>
      </c>
      <c r="F174" s="69">
        <v>12.559246405552802</v>
      </c>
      <c r="G174" s="69">
        <v>0.7535547843331681</v>
      </c>
      <c r="H174" s="69">
        <v>32.74772053439802</v>
      </c>
      <c r="I174" s="59">
        <v>0.0480912245909767</v>
      </c>
      <c r="J174" s="59">
        <v>0.043242439266236984</v>
      </c>
      <c r="K174" s="59">
        <v>0.1212196331184928</v>
      </c>
      <c r="L174" s="59">
        <v>0.1368368864650471</v>
      </c>
      <c r="M174" s="59">
        <v>0.34939018344075357</v>
      </c>
      <c r="N174" s="59">
        <v>0.6506098165592464</v>
      </c>
      <c r="O174" s="39">
        <v>173.41596430342096</v>
      </c>
      <c r="P174" s="39">
        <v>276.9459593455627</v>
      </c>
      <c r="Q174" s="59">
        <v>0.05123450669310858</v>
      </c>
      <c r="R174" s="39">
        <v>11.077838373822509</v>
      </c>
      <c r="S174" s="97" t="str">
        <f t="array" ref="S174">IF(A174="","", IF( (ROUND(I174,4) &lt; INDEX('Tabela de ingredientes'!$O$1:$V$30, SWITCH(B174, "Gelatos de Leite", 7, "Sorbets", 10, "Gelatos de Leite com Fruta", 13, "Chocolate base água", 16, "Vegano", 19, "Alcoólicos", 22, "Zero", 25, "Gelatos Proteicos", 28, 7), 1)) + (ROUND(I174,4) &gt; INDEX('Tabela de ingredientes'!$O$1:$V$30, SWITCH(B174, "Gelatos de Leite", 8, "Sorbets", 11, "Gelatos de Leite com Fruta", 14, "Chocolate base água", 17, "Vegano", 20, "Alcoólicos", 23, "Zero", 26, "Gelatos Proteicos", 29, 8), 1)) + (ROUND(J174,4) &lt; INDEX('Tabela de ingredientes'!$O$1:$V$30, SWITCH(B174, "Gelatos de Leite", 7, "Sorbets", 10, "Gelatos de Leite com Fruta", 13, "Chocolate base água", 16, "Vegano", 19, "Alcoólicos", 22, "Zero", 25, "Gelatos Proteicos", 28, 7), 2)) + (ROUND(J174,4) &gt; INDEX('Tabela de ingredientes'!$O$1:$V$30, SWITCH(B174, "Gelatos de Leite", 8, "Sorbets", 11, "Gelatos de Leite com Fruta", 14, "Chocolate base água", 17, "Vegano", 20, "Alcoólicos", 23, "Zero", 26, "Gelatos Proteicos", 29, 8), 2)) + (ROUND(K174,4) &lt; INDEX('Tabela de ingredientes'!$O$1:$V$30, SWITCH(B174, "Gelatos de Leite", 7, "Sorbets", 10, "Gelatos de Leite com Fruta", 13, "Chocolate base água", 16, "Vegano", 19, "Alcoólicos", 22, "Zero", 25, "Gelatos Proteicos", 28, 7), 3)) + (ROUND(K174,4) &gt; INDEX('Tabela de ingredientes'!$O$1:$V$30, SWITCH(B174, "Gelatos de Leite", 8, "Sorbets", 11, "Gelatos de Leite com Fruta", 14, "Chocolate base água", 17, "Vegano", 20, "Alcoólicos", 23, "Zero", 26, "Gelatos Proteicos", 29, 8), 3)) + (ROUND(L174,4) &lt; INDEX('Tabela de ingredientes'!$O$1:$V$30, SWITCH(B174, "Gelatos de Leite", 7, "Sorbets", 10, "Gelatos de Leite com Fruta", 13, "Chocolate base água", 16, "Vegano", 19, "Alcoólicos", 22, "Zero", 25, "Gelatos Proteicos", 28, 7), 4)) + (ROUND(L174,4) &gt; INDEX('Tabela de ingredientes'!$O$1:$V$30, SWITCH(B174, "Gelatos de Leite", 8, "Sorbets", 11, "Gelatos de Leite com Fruta", 14, "Chocolate base água", 17, "Vegano", 20, "Alcoólicos", 23, "Zero", 26, "Gelatos Proteicos", 29, 8), 4)) + (ROUND(M174,4) &lt; INDEX('Tabela de ingredientes'!$O$1:$V$30, SWITCH(B174, "Gelatos de Leite", 7, "Sorbets", 10, "Gelatos de Leite com Fruta", 13, "Chocolate base água", 16, "Vegano", 19, "Alcoólicos", 22, "Zero", 25, "Gelatos Proteicos", 28, 7), 5)) + (ROUND(M174,4) &gt; INDEX('Tabela de ingredientes'!$O$1:$V$30, SWITCH(B174, "Gelatos de Leite", 8, "Sorbets", 11, "Gelatos de Leite com Fruta", 14, "Chocolate base água", 17, "Vegano", 20, "Alcoólicos", 23, "Zero", 26, "Gelatos Proteicos", 29, 8), 5)) + (ROUND(N174,4) &lt; INDEX('Tabela de ingredientes'!$O$1:$V$30, SWITCH(B174, "Gelatos de Leite", 7, "Sorbets", 10, "Gelatos de Leite com Fruta", 13, "Chocolate base água", 16, "Vegano", 19, "Alcoólicos", 22, "Zero", 25, "Gelatos Proteicos", 28, 7), 6)) + (ROUND(N174,4) &gt; INDEX('Tabela de ingredientes'!$O$1:$V$30, SWITCH(B174, "Gelatos de Leite", 8, "Sorbets", 11, "Gelatos de Leite com Fruta", 14, "Chocolate base água", 17, "Vegano", 20, "Alcoólicos", 23, "Zero", 26, "Gelatos Proteicos", 29, 8), 6)) + (ROUND(O174,4) &lt; INDEX('Tabela de ingredientes'!$O$1:$V$30, SWITCH(B174, "Gelatos de Leite", 7, "Sorbets", 10, "Gelatos de Leite com Fruta", 13, "Chocolate base água", 16, "Vegano", 19, "Alcoólicos", 22, "Zero", 25, "Gelatos Proteicos", 28, 7), 7)) + (ROUND(O174,4) &gt; INDEX('Tabela de ingredientes'!$O$1:$V$30, SWITCH(B174, "Gelatos de Leite", 8, "Sorbets", 11, "Gelatos de Leite com Fruta", 14, "Chocolate base água", 17, "Vegano", 20, "Alcoólicos", 23, "Zero", 26, "Gelatos Proteicos", 29, 8), 7)) + (ROUND(P174,4) &lt; INDEX('Tabela de ingredientes'!$O$1:$V$30, SWITCH(B174, "Gelatos de Leite", 7, "Sorbets", 10, "Gelatos de Leite com Fruta", 13, "Chocolate base água", 16, "Vegano", 19, "Alcoólicos", 22, "Zero", 25, "Gelatos Proteicos", 28, 7), 8)) + (ROUND(P174,4) &gt; INDEX('Tabela de ingredientes'!$O$1:$V$30, SWITCH(B174, "Gelatos de Leite", 8, "Sorbets", 11, "Gelatos de Leite com Fruta", 14, "Chocolate base água", 17, "Vegano", 20, "Alcoólicos", 23, "Zero", 26, "Gelatos Proteicos", 29, 8), 8)) + IF(B174="Gelatos Proteicos", (ROUND(Q174,4)&lt;'Tabela de ingredientes'!$W$28)+(ROUND(Q174,4)&gt;'Tabela de ingredientes'!$W$29), 0) = 0, "Ok", "Revisar"))</f>
        <v>Ok</v>
      </c>
    </row>
    <row r="175">
      <c r="A175" s="39" t="str">
        <f>IFERROR(__xludf.DUMMYFUNCTION("""COMPUTED_VALUE"""),"Gelato Intenso de Cacau com Laranja Vegano - Polióis (Sem Açúcar)")</f>
        <v>Gelato Intenso de Cacau com Laranja Vegano - Polióis (Sem Açúcar)</v>
      </c>
      <c r="B175" s="39" t="s">
        <v>109</v>
      </c>
      <c r="C175" s="39">
        <v>7.0</v>
      </c>
      <c r="D175" s="39">
        <v>749.0</v>
      </c>
      <c r="E175" s="39" t="s">
        <v>650</v>
      </c>
      <c r="F175" s="69">
        <v>9.646194926568759</v>
      </c>
      <c r="G175" s="69">
        <v>0.5787716955941256</v>
      </c>
      <c r="H175" s="69">
        <v>30.336254078285403</v>
      </c>
      <c r="I175" s="59">
        <v>0.22029372496662217</v>
      </c>
      <c r="J175" s="59">
        <v>0.07409879839786382</v>
      </c>
      <c r="K175" s="59">
        <v>0.0</v>
      </c>
      <c r="L175" s="59">
        <v>0.06141522029372497</v>
      </c>
      <c r="M175" s="59">
        <v>0.35580774365821094</v>
      </c>
      <c r="N175" s="59">
        <v>0.644192256341789</v>
      </c>
      <c r="O175" s="39">
        <v>154.20560747663552</v>
      </c>
      <c r="P175" s="39">
        <v>316.4218958611482</v>
      </c>
      <c r="Q175" s="59">
        <v>0.012016021361815754</v>
      </c>
      <c r="R175" s="39">
        <v>12.656875834445927</v>
      </c>
      <c r="S175" s="97" t="str">
        <f t="array" ref="S175">IF(A175="","", IF( (ROUND(I175,4) &lt; INDEX('Tabela de ingredientes'!$O$1:$V$30, SWITCH(B175, "Gelatos de Leite", 7, "Sorbets", 10, "Gelatos de Leite com Fruta", 13, "Chocolate base água", 16, "Vegano", 19, "Alcoólicos", 22, "Zero", 25, "Gelatos Proteicos", 28, 7), 1)) + (ROUND(I175,4) &gt; INDEX('Tabela de ingredientes'!$O$1:$V$30, SWITCH(B175, "Gelatos de Leite", 8, "Sorbets", 11, "Gelatos de Leite com Fruta", 14, "Chocolate base água", 17, "Vegano", 20, "Alcoólicos", 23, "Zero", 26, "Gelatos Proteicos", 29, 8), 1)) + (ROUND(J175,4) &lt; INDEX('Tabela de ingredientes'!$O$1:$V$30, SWITCH(B175, "Gelatos de Leite", 7, "Sorbets", 10, "Gelatos de Leite com Fruta", 13, "Chocolate base água", 16, "Vegano", 19, "Alcoólicos", 22, "Zero", 25, "Gelatos Proteicos", 28, 7), 2)) + (ROUND(J175,4) &gt; INDEX('Tabela de ingredientes'!$O$1:$V$30, SWITCH(B175, "Gelatos de Leite", 8, "Sorbets", 11, "Gelatos de Leite com Fruta", 14, "Chocolate base água", 17, "Vegano", 20, "Alcoólicos", 23, "Zero", 26, "Gelatos Proteicos", 29, 8), 2)) + (ROUND(K175,4) &lt; INDEX('Tabela de ingredientes'!$O$1:$V$30, SWITCH(B175, "Gelatos de Leite", 7, "Sorbets", 10, "Gelatos de Leite com Fruta", 13, "Chocolate base água", 16, "Vegano", 19, "Alcoólicos", 22, "Zero", 25, "Gelatos Proteicos", 28, 7), 3)) + (ROUND(K175,4) &gt; INDEX('Tabela de ingredientes'!$O$1:$V$30, SWITCH(B175, "Gelatos de Leite", 8, "Sorbets", 11, "Gelatos de Leite com Fruta", 14, "Chocolate base água", 17, "Vegano", 20, "Alcoólicos", 23, "Zero", 26, "Gelatos Proteicos", 29, 8), 3)) + (ROUND(L175,4) &lt; INDEX('Tabela de ingredientes'!$O$1:$V$30, SWITCH(B175, "Gelatos de Leite", 7, "Sorbets", 10, "Gelatos de Leite com Fruta", 13, "Chocolate base água", 16, "Vegano", 19, "Alcoólicos", 22, "Zero", 25, "Gelatos Proteicos", 28, 7), 4)) + (ROUND(L175,4) &gt; INDEX('Tabela de ingredientes'!$O$1:$V$30, SWITCH(B175, "Gelatos de Leite", 8, "Sorbets", 11, "Gelatos de Leite com Fruta", 14, "Chocolate base água", 17, "Vegano", 20, "Alcoólicos", 23, "Zero", 26, "Gelatos Proteicos", 29, 8), 4)) + (ROUND(M175,4) &lt; INDEX('Tabela de ingredientes'!$O$1:$V$30, SWITCH(B175, "Gelatos de Leite", 7, "Sorbets", 10, "Gelatos de Leite com Fruta", 13, "Chocolate base água", 16, "Vegano", 19, "Alcoólicos", 22, "Zero", 25, "Gelatos Proteicos", 28, 7), 5)) + (ROUND(M175,4) &gt; INDEX('Tabela de ingredientes'!$O$1:$V$30, SWITCH(B175, "Gelatos de Leite", 8, "Sorbets", 11, "Gelatos de Leite com Fruta", 14, "Chocolate base água", 17, "Vegano", 20, "Alcoólicos", 23, "Zero", 26, "Gelatos Proteicos", 29, 8), 5)) + (ROUND(N175,4) &lt; INDEX('Tabela de ingredientes'!$O$1:$V$30, SWITCH(B175, "Gelatos de Leite", 7, "Sorbets", 10, "Gelatos de Leite com Fruta", 13, "Chocolate base água", 16, "Vegano", 19, "Alcoólicos", 22, "Zero", 25, "Gelatos Proteicos", 28, 7), 6)) + (ROUND(N175,4) &gt; INDEX('Tabela de ingredientes'!$O$1:$V$30, SWITCH(B175, "Gelatos de Leite", 8, "Sorbets", 11, "Gelatos de Leite com Fruta", 14, "Chocolate base água", 17, "Vegano", 20, "Alcoólicos", 23, "Zero", 26, "Gelatos Proteicos", 29, 8), 6)) + (ROUND(O175,4) &lt; INDEX('Tabela de ingredientes'!$O$1:$V$30, SWITCH(B175, "Gelatos de Leite", 7, "Sorbets", 10, "Gelatos de Leite com Fruta", 13, "Chocolate base água", 16, "Vegano", 19, "Alcoólicos", 22, "Zero", 25, "Gelatos Proteicos", 28, 7), 7)) + (ROUND(O175,4) &gt; INDEX('Tabela de ingredientes'!$O$1:$V$30, SWITCH(B175, "Gelatos de Leite", 8, "Sorbets", 11, "Gelatos de Leite com Fruta", 14, "Chocolate base água", 17, "Vegano", 20, "Alcoólicos", 23, "Zero", 26, "Gelatos Proteicos", 29, 8), 7)) + (ROUND(P175,4) &lt; INDEX('Tabela de ingredientes'!$O$1:$V$30, SWITCH(B175, "Gelatos de Leite", 7, "Sorbets", 10, "Gelatos de Leite com Fruta", 13, "Chocolate base água", 16, "Vegano", 19, "Alcoólicos", 22, "Zero", 25, "Gelatos Proteicos", 28, 7), 8)) + (ROUND(P175,4) &gt; INDEX('Tabela de ingredientes'!$O$1:$V$30, SWITCH(B175, "Gelatos de Leite", 8, "Sorbets", 11, "Gelatos de Leite com Fruta", 14, "Chocolate base água", 17, "Vegano", 20, "Alcoólicos", 23, "Zero", 26, "Gelatos Proteicos", 29, 8), 8)) + IF(B175="Gelatos Proteicos", (ROUND(Q175,4)&lt;'Tabela de ingredientes'!$W$28)+(ROUND(Q175,4)&gt;'Tabela de ingredientes'!$W$29), 0) = 0, "Ok", "Revisar"))</f>
        <v>Ok</v>
      </c>
    </row>
    <row r="176">
      <c r="A176" s="39" t="str">
        <f>IFERROR(__xludf.DUMMYFUNCTION("""COMPUTED_VALUE"""),"Gelato Intenso de Cacau com Laranja Vegano - Redução Polióis (Sem Açúcar)")</f>
        <v>Gelato Intenso de Cacau com Laranja Vegano - Redução Polióis (Sem Açúcar)</v>
      </c>
      <c r="B176" s="39" t="s">
        <v>109</v>
      </c>
      <c r="C176" s="39">
        <v>7.0</v>
      </c>
      <c r="D176" s="39">
        <v>752.0</v>
      </c>
      <c r="E176" s="39" t="s">
        <v>651</v>
      </c>
      <c r="F176" s="69">
        <v>12.486702127659575</v>
      </c>
      <c r="G176" s="69">
        <v>0.7492021276595745</v>
      </c>
      <c r="H176" s="69">
        <v>32.68766732422151</v>
      </c>
      <c r="I176" s="59">
        <v>0.07313829787234043</v>
      </c>
      <c r="J176" s="59">
        <v>0.07380319148936171</v>
      </c>
      <c r="K176" s="59">
        <v>0.0</v>
      </c>
      <c r="L176" s="59">
        <v>0.20412234042553193</v>
      </c>
      <c r="M176" s="59">
        <v>0.35106382978723405</v>
      </c>
      <c r="N176" s="59">
        <v>0.648936170212766</v>
      </c>
      <c r="O176" s="39">
        <v>302.26063829787233</v>
      </c>
      <c r="P176" s="39">
        <v>292.5531914893617</v>
      </c>
      <c r="Q176" s="59">
        <v>0.011968085106382979</v>
      </c>
      <c r="R176" s="39">
        <v>11.702127659574469</v>
      </c>
      <c r="S176" s="97" t="str">
        <f t="array" ref="S176">IF(A176="","", IF( (ROUND(I176,4) &lt; INDEX('Tabela de ingredientes'!$O$1:$V$30, SWITCH(B176, "Gelatos de Leite", 7, "Sorbets", 10, "Gelatos de Leite com Fruta", 13, "Chocolate base água", 16, "Vegano", 19, "Alcoólicos", 22, "Zero", 25, "Gelatos Proteicos", 28, 7), 1)) + (ROUND(I176,4) &gt; INDEX('Tabela de ingredientes'!$O$1:$V$30, SWITCH(B176, "Gelatos de Leite", 8, "Sorbets", 11, "Gelatos de Leite com Fruta", 14, "Chocolate base água", 17, "Vegano", 20, "Alcoólicos", 23, "Zero", 26, "Gelatos Proteicos", 29, 8), 1)) + (ROUND(J176,4) &lt; INDEX('Tabela de ingredientes'!$O$1:$V$30, SWITCH(B176, "Gelatos de Leite", 7, "Sorbets", 10, "Gelatos de Leite com Fruta", 13, "Chocolate base água", 16, "Vegano", 19, "Alcoólicos", 22, "Zero", 25, "Gelatos Proteicos", 28, 7), 2)) + (ROUND(J176,4) &gt; INDEX('Tabela de ingredientes'!$O$1:$V$30, SWITCH(B176, "Gelatos de Leite", 8, "Sorbets", 11, "Gelatos de Leite com Fruta", 14, "Chocolate base água", 17, "Vegano", 20, "Alcoólicos", 23, "Zero", 26, "Gelatos Proteicos", 29, 8), 2)) + (ROUND(K176,4) &lt; INDEX('Tabela de ingredientes'!$O$1:$V$30, SWITCH(B176, "Gelatos de Leite", 7, "Sorbets", 10, "Gelatos de Leite com Fruta", 13, "Chocolate base água", 16, "Vegano", 19, "Alcoólicos", 22, "Zero", 25, "Gelatos Proteicos", 28, 7), 3)) + (ROUND(K176,4) &gt; INDEX('Tabela de ingredientes'!$O$1:$V$30, SWITCH(B176, "Gelatos de Leite", 8, "Sorbets", 11, "Gelatos de Leite com Fruta", 14, "Chocolate base água", 17, "Vegano", 20, "Alcoólicos", 23, "Zero", 26, "Gelatos Proteicos", 29, 8), 3)) + (ROUND(L176,4) &lt; INDEX('Tabela de ingredientes'!$O$1:$V$30, SWITCH(B176, "Gelatos de Leite", 7, "Sorbets", 10, "Gelatos de Leite com Fruta", 13, "Chocolate base água", 16, "Vegano", 19, "Alcoólicos", 22, "Zero", 25, "Gelatos Proteicos", 28, 7), 4)) + (ROUND(L176,4) &gt; INDEX('Tabela de ingredientes'!$O$1:$V$30, SWITCH(B176, "Gelatos de Leite", 8, "Sorbets", 11, "Gelatos de Leite com Fruta", 14, "Chocolate base água", 17, "Vegano", 20, "Alcoólicos", 23, "Zero", 26, "Gelatos Proteicos", 29, 8), 4)) + (ROUND(M176,4) &lt; INDEX('Tabela de ingredientes'!$O$1:$V$30, SWITCH(B176, "Gelatos de Leite", 7, "Sorbets", 10, "Gelatos de Leite com Fruta", 13, "Chocolate base água", 16, "Vegano", 19, "Alcoólicos", 22, "Zero", 25, "Gelatos Proteicos", 28, 7), 5)) + (ROUND(M176,4) &gt; INDEX('Tabela de ingredientes'!$O$1:$V$30, SWITCH(B176, "Gelatos de Leite", 8, "Sorbets", 11, "Gelatos de Leite com Fruta", 14, "Chocolate base água", 17, "Vegano", 20, "Alcoólicos", 23, "Zero", 26, "Gelatos Proteicos", 29, 8), 5)) + (ROUND(N176,4) &lt; INDEX('Tabela de ingredientes'!$O$1:$V$30, SWITCH(B176, "Gelatos de Leite", 7, "Sorbets", 10, "Gelatos de Leite com Fruta", 13, "Chocolate base água", 16, "Vegano", 19, "Alcoólicos", 22, "Zero", 25, "Gelatos Proteicos", 28, 7), 6)) + (ROUND(N176,4) &gt; INDEX('Tabela de ingredientes'!$O$1:$V$30, SWITCH(B176, "Gelatos de Leite", 8, "Sorbets", 11, "Gelatos de Leite com Fruta", 14, "Chocolate base água", 17, "Vegano", 20, "Alcoólicos", 23, "Zero", 26, "Gelatos Proteicos", 29, 8), 6)) + (ROUND(O176,4) &lt; INDEX('Tabela de ingredientes'!$O$1:$V$30, SWITCH(B176, "Gelatos de Leite", 7, "Sorbets", 10, "Gelatos de Leite com Fruta", 13, "Chocolate base água", 16, "Vegano", 19, "Alcoólicos", 22, "Zero", 25, "Gelatos Proteicos", 28, 7), 7)) + (ROUND(O176,4) &gt; INDEX('Tabela de ingredientes'!$O$1:$V$30, SWITCH(B176, "Gelatos de Leite", 8, "Sorbets", 11, "Gelatos de Leite com Fruta", 14, "Chocolate base água", 17, "Vegano", 20, "Alcoólicos", 23, "Zero", 26, "Gelatos Proteicos", 29, 8), 7)) + (ROUND(P176,4) &lt; INDEX('Tabela de ingredientes'!$O$1:$V$30, SWITCH(B176, "Gelatos de Leite", 7, "Sorbets", 10, "Gelatos de Leite com Fruta", 13, "Chocolate base água", 16, "Vegano", 19, "Alcoólicos", 22, "Zero", 25, "Gelatos Proteicos", 28, 7), 8)) + (ROUND(P176,4) &gt; INDEX('Tabela de ingredientes'!$O$1:$V$30, SWITCH(B176, "Gelatos de Leite", 8, "Sorbets", 11, "Gelatos de Leite com Fruta", 14, "Chocolate base água", 17, "Vegano", 20, "Alcoólicos", 23, "Zero", 26, "Gelatos Proteicos", 29, 8), 8)) + IF(B176="Gelatos Proteicos", (ROUND(Q176,4)&lt;'Tabela de ingredientes'!$W$28)+(ROUND(Q176,4)&gt;'Tabela de ingredientes'!$W$29), 0) = 0, "Ok", "Revisar"))</f>
        <v>Ok</v>
      </c>
    </row>
    <row r="177">
      <c r="A177" s="39" t="str">
        <f>IFERROR(__xludf.DUMMYFUNCTION("""COMPUTED_VALUE"""),"Sorbet de Manga - Polióis (Sem Açúcar)")</f>
        <v>Sorbet de Manga - Polióis (Sem Açúcar)</v>
      </c>
      <c r="B177" s="39" t="s">
        <v>109</v>
      </c>
      <c r="C177" s="39">
        <v>7.0</v>
      </c>
      <c r="D177" s="39">
        <v>778.0</v>
      </c>
      <c r="E177" s="39" t="s">
        <v>652</v>
      </c>
      <c r="F177" s="69">
        <v>8.303341902313624</v>
      </c>
      <c r="G177" s="69">
        <v>0.49820051413881744</v>
      </c>
      <c r="H177" s="69">
        <v>29.224620780060956</v>
      </c>
      <c r="I177" s="59">
        <v>0.2781542416452442</v>
      </c>
      <c r="J177" s="59">
        <v>6.169665809768637E-5</v>
      </c>
      <c r="K177" s="59">
        <v>0.0</v>
      </c>
      <c r="L177" s="59">
        <v>0.045565552699228795</v>
      </c>
      <c r="M177" s="59">
        <v>0.3237814910025707</v>
      </c>
      <c r="N177" s="59">
        <v>0.6762185089974293</v>
      </c>
      <c r="O177" s="39">
        <v>227.6349614395887</v>
      </c>
      <c r="P177" s="39">
        <v>390.8997429305913</v>
      </c>
      <c r="Q177" s="59">
        <v>0.005604113110539845</v>
      </c>
      <c r="R177" s="39">
        <v>15.635989717223651</v>
      </c>
      <c r="S177" s="97" t="str">
        <f t="array" ref="S177">IF(A177="","", IF( (ROUND(I177,4) &lt; INDEX('Tabela de ingredientes'!$O$1:$V$30, SWITCH(B177, "Gelatos de Leite", 7, "Sorbets", 10, "Gelatos de Leite com Fruta", 13, "Chocolate base água", 16, "Vegano", 19, "Alcoólicos", 22, "Zero", 25, "Gelatos Proteicos", 28, 7), 1)) + (ROUND(I177,4) &gt; INDEX('Tabela de ingredientes'!$O$1:$V$30, SWITCH(B177, "Gelatos de Leite", 8, "Sorbets", 11, "Gelatos de Leite com Fruta", 14, "Chocolate base água", 17, "Vegano", 20, "Alcoólicos", 23, "Zero", 26, "Gelatos Proteicos", 29, 8), 1)) + (ROUND(J177,4) &lt; INDEX('Tabela de ingredientes'!$O$1:$V$30, SWITCH(B177, "Gelatos de Leite", 7, "Sorbets", 10, "Gelatos de Leite com Fruta", 13, "Chocolate base água", 16, "Vegano", 19, "Alcoólicos", 22, "Zero", 25, "Gelatos Proteicos", 28, 7), 2)) + (ROUND(J177,4) &gt; INDEX('Tabela de ingredientes'!$O$1:$V$30, SWITCH(B177, "Gelatos de Leite", 8, "Sorbets", 11, "Gelatos de Leite com Fruta", 14, "Chocolate base água", 17, "Vegano", 20, "Alcoólicos", 23, "Zero", 26, "Gelatos Proteicos", 29, 8), 2)) + (ROUND(K177,4) &lt; INDEX('Tabela de ingredientes'!$O$1:$V$30, SWITCH(B177, "Gelatos de Leite", 7, "Sorbets", 10, "Gelatos de Leite com Fruta", 13, "Chocolate base água", 16, "Vegano", 19, "Alcoólicos", 22, "Zero", 25, "Gelatos Proteicos", 28, 7), 3)) + (ROUND(K177,4) &gt; INDEX('Tabela de ingredientes'!$O$1:$V$30, SWITCH(B177, "Gelatos de Leite", 8, "Sorbets", 11, "Gelatos de Leite com Fruta", 14, "Chocolate base água", 17, "Vegano", 20, "Alcoólicos", 23, "Zero", 26, "Gelatos Proteicos", 29, 8), 3)) + (ROUND(L177,4) &lt; INDEX('Tabela de ingredientes'!$O$1:$V$30, SWITCH(B177, "Gelatos de Leite", 7, "Sorbets", 10, "Gelatos de Leite com Fruta", 13, "Chocolate base água", 16, "Vegano", 19, "Alcoólicos", 22, "Zero", 25, "Gelatos Proteicos", 28, 7), 4)) + (ROUND(L177,4) &gt; INDEX('Tabela de ingredientes'!$O$1:$V$30, SWITCH(B177, "Gelatos de Leite", 8, "Sorbets", 11, "Gelatos de Leite com Fruta", 14, "Chocolate base água", 17, "Vegano", 20, "Alcoólicos", 23, "Zero", 26, "Gelatos Proteicos", 29, 8), 4)) + (ROUND(M177,4) &lt; INDEX('Tabela de ingredientes'!$O$1:$V$30, SWITCH(B177, "Gelatos de Leite", 7, "Sorbets", 10, "Gelatos de Leite com Fruta", 13, "Chocolate base água", 16, "Vegano", 19, "Alcoólicos", 22, "Zero", 25, "Gelatos Proteicos", 28, 7), 5)) + (ROUND(M177,4) &gt; INDEX('Tabela de ingredientes'!$O$1:$V$30, SWITCH(B177, "Gelatos de Leite", 8, "Sorbets", 11, "Gelatos de Leite com Fruta", 14, "Chocolate base água", 17, "Vegano", 20, "Alcoólicos", 23, "Zero", 26, "Gelatos Proteicos", 29, 8), 5)) + (ROUND(N177,4) &lt; INDEX('Tabela de ingredientes'!$O$1:$V$30, SWITCH(B177, "Gelatos de Leite", 7, "Sorbets", 10, "Gelatos de Leite com Fruta", 13, "Chocolate base água", 16, "Vegano", 19, "Alcoólicos", 22, "Zero", 25, "Gelatos Proteicos", 28, 7), 6)) + (ROUND(N177,4) &gt; INDEX('Tabela de ingredientes'!$O$1:$V$30, SWITCH(B177, "Gelatos de Leite", 8, "Sorbets", 11, "Gelatos de Leite com Fruta", 14, "Chocolate base água", 17, "Vegano", 20, "Alcoólicos", 23, "Zero", 26, "Gelatos Proteicos", 29, 8), 6)) + (ROUND(O177,4) &lt; INDEX('Tabela de ingredientes'!$O$1:$V$30, SWITCH(B177, "Gelatos de Leite", 7, "Sorbets", 10, "Gelatos de Leite com Fruta", 13, "Chocolate base água", 16, "Vegano", 19, "Alcoólicos", 22, "Zero", 25, "Gelatos Proteicos", 28, 7), 7)) + (ROUND(O177,4) &gt; INDEX('Tabela de ingredientes'!$O$1:$V$30, SWITCH(B177, "Gelatos de Leite", 8, "Sorbets", 11, "Gelatos de Leite com Fruta", 14, "Chocolate base água", 17, "Vegano", 20, "Alcoólicos", 23, "Zero", 26, "Gelatos Proteicos", 29, 8), 7)) + (ROUND(P177,4) &lt; INDEX('Tabela de ingredientes'!$O$1:$V$30, SWITCH(B177, "Gelatos de Leite", 7, "Sorbets", 10, "Gelatos de Leite com Fruta", 13, "Chocolate base água", 16, "Vegano", 19, "Alcoólicos", 22, "Zero", 25, "Gelatos Proteicos", 28, 7), 8)) + (ROUND(P177,4) &gt; INDEX('Tabela de ingredientes'!$O$1:$V$30, SWITCH(B177, "Gelatos de Leite", 8, "Sorbets", 11, "Gelatos de Leite com Fruta", 14, "Chocolate base água", 17, "Vegano", 20, "Alcoólicos", 23, "Zero", 26, "Gelatos Proteicos", 29, 8), 8)) + IF(B177="Gelatos Proteicos", (ROUND(Q177,4)&lt;'Tabela de ingredientes'!$W$28)+(ROUND(Q177,4)&gt;'Tabela de ingredientes'!$W$29), 0) = 0, "Ok", "Revisar"))</f>
        <v>Ok</v>
      </c>
    </row>
    <row r="178">
      <c r="A178" s="39" t="str">
        <f>IFERROR(__xludf.DUMMYFUNCTION("""COMPUTED_VALUE"""),"Sorbet de Manga - Redução de Polióis (Sem Açúcar)")</f>
        <v>Sorbet de Manga - Redução de Polióis (Sem Açúcar)</v>
      </c>
      <c r="B178" s="39" t="s">
        <v>109</v>
      </c>
      <c r="C178" s="39">
        <v>8.0</v>
      </c>
      <c r="D178" s="39">
        <v>775.0</v>
      </c>
      <c r="E178" s="39" t="s">
        <v>653</v>
      </c>
      <c r="F178" s="69">
        <v>10.651612903225804</v>
      </c>
      <c r="G178" s="69">
        <v>0.6390967741935482</v>
      </c>
      <c r="H178" s="69">
        <v>31.16855372783594</v>
      </c>
      <c r="I178" s="59">
        <v>0.13084387096774194</v>
      </c>
      <c r="J178" s="59">
        <v>6.193548387096773E-5</v>
      </c>
      <c r="K178" s="59">
        <v>0.0</v>
      </c>
      <c r="L178" s="59">
        <v>0.18316129032258063</v>
      </c>
      <c r="M178" s="59">
        <v>0.31406709677419353</v>
      </c>
      <c r="N178" s="59">
        <v>0.6859329032258065</v>
      </c>
      <c r="O178" s="39">
        <v>290.83870967741933</v>
      </c>
      <c r="P178" s="39">
        <v>352.4129032258065</v>
      </c>
      <c r="Q178" s="59">
        <v>0.005625806451612902</v>
      </c>
      <c r="R178" s="39">
        <v>14.09651612903226</v>
      </c>
      <c r="S178" s="97" t="str">
        <f t="array" ref="S178">IF(A178="","", IF( (ROUND(I178,4) &lt; INDEX('Tabela de ingredientes'!$O$1:$V$30, SWITCH(B178, "Gelatos de Leite", 7, "Sorbets", 10, "Gelatos de Leite com Fruta", 13, "Chocolate base água", 16, "Vegano", 19, "Alcoólicos", 22, "Zero", 25, "Gelatos Proteicos", 28, 7), 1)) + (ROUND(I178,4) &gt; INDEX('Tabela de ingredientes'!$O$1:$V$30, SWITCH(B178, "Gelatos de Leite", 8, "Sorbets", 11, "Gelatos de Leite com Fruta", 14, "Chocolate base água", 17, "Vegano", 20, "Alcoólicos", 23, "Zero", 26, "Gelatos Proteicos", 29, 8), 1)) + (ROUND(J178,4) &lt; INDEX('Tabela de ingredientes'!$O$1:$V$30, SWITCH(B178, "Gelatos de Leite", 7, "Sorbets", 10, "Gelatos de Leite com Fruta", 13, "Chocolate base água", 16, "Vegano", 19, "Alcoólicos", 22, "Zero", 25, "Gelatos Proteicos", 28, 7), 2)) + (ROUND(J178,4) &gt; INDEX('Tabela de ingredientes'!$O$1:$V$30, SWITCH(B178, "Gelatos de Leite", 8, "Sorbets", 11, "Gelatos de Leite com Fruta", 14, "Chocolate base água", 17, "Vegano", 20, "Alcoólicos", 23, "Zero", 26, "Gelatos Proteicos", 29, 8), 2)) + (ROUND(K178,4) &lt; INDEX('Tabela de ingredientes'!$O$1:$V$30, SWITCH(B178, "Gelatos de Leite", 7, "Sorbets", 10, "Gelatos de Leite com Fruta", 13, "Chocolate base água", 16, "Vegano", 19, "Alcoólicos", 22, "Zero", 25, "Gelatos Proteicos", 28, 7), 3)) + (ROUND(K178,4) &gt; INDEX('Tabela de ingredientes'!$O$1:$V$30, SWITCH(B178, "Gelatos de Leite", 8, "Sorbets", 11, "Gelatos de Leite com Fruta", 14, "Chocolate base água", 17, "Vegano", 20, "Alcoólicos", 23, "Zero", 26, "Gelatos Proteicos", 29, 8), 3)) + (ROUND(L178,4) &lt; INDEX('Tabela de ingredientes'!$O$1:$V$30, SWITCH(B178, "Gelatos de Leite", 7, "Sorbets", 10, "Gelatos de Leite com Fruta", 13, "Chocolate base água", 16, "Vegano", 19, "Alcoólicos", 22, "Zero", 25, "Gelatos Proteicos", 28, 7), 4)) + (ROUND(L178,4) &gt; INDEX('Tabela de ingredientes'!$O$1:$V$30, SWITCH(B178, "Gelatos de Leite", 8, "Sorbets", 11, "Gelatos de Leite com Fruta", 14, "Chocolate base água", 17, "Vegano", 20, "Alcoólicos", 23, "Zero", 26, "Gelatos Proteicos", 29, 8), 4)) + (ROUND(M178,4) &lt; INDEX('Tabela de ingredientes'!$O$1:$V$30, SWITCH(B178, "Gelatos de Leite", 7, "Sorbets", 10, "Gelatos de Leite com Fruta", 13, "Chocolate base água", 16, "Vegano", 19, "Alcoólicos", 22, "Zero", 25, "Gelatos Proteicos", 28, 7), 5)) + (ROUND(M178,4) &gt; INDEX('Tabela de ingredientes'!$O$1:$V$30, SWITCH(B178, "Gelatos de Leite", 8, "Sorbets", 11, "Gelatos de Leite com Fruta", 14, "Chocolate base água", 17, "Vegano", 20, "Alcoólicos", 23, "Zero", 26, "Gelatos Proteicos", 29, 8), 5)) + (ROUND(N178,4) &lt; INDEX('Tabela de ingredientes'!$O$1:$V$30, SWITCH(B178, "Gelatos de Leite", 7, "Sorbets", 10, "Gelatos de Leite com Fruta", 13, "Chocolate base água", 16, "Vegano", 19, "Alcoólicos", 22, "Zero", 25, "Gelatos Proteicos", 28, 7), 6)) + (ROUND(N178,4) &gt; INDEX('Tabela de ingredientes'!$O$1:$V$30, SWITCH(B178, "Gelatos de Leite", 8, "Sorbets", 11, "Gelatos de Leite com Fruta", 14, "Chocolate base água", 17, "Vegano", 20, "Alcoólicos", 23, "Zero", 26, "Gelatos Proteicos", 29, 8), 6)) + (ROUND(O178,4) &lt; INDEX('Tabela de ingredientes'!$O$1:$V$30, SWITCH(B178, "Gelatos de Leite", 7, "Sorbets", 10, "Gelatos de Leite com Fruta", 13, "Chocolate base água", 16, "Vegano", 19, "Alcoólicos", 22, "Zero", 25, "Gelatos Proteicos", 28, 7), 7)) + (ROUND(O178,4) &gt; INDEX('Tabela de ingredientes'!$O$1:$V$30, SWITCH(B178, "Gelatos de Leite", 8, "Sorbets", 11, "Gelatos de Leite com Fruta", 14, "Chocolate base água", 17, "Vegano", 20, "Alcoólicos", 23, "Zero", 26, "Gelatos Proteicos", 29, 8), 7)) + (ROUND(P178,4) &lt; INDEX('Tabela de ingredientes'!$O$1:$V$30, SWITCH(B178, "Gelatos de Leite", 7, "Sorbets", 10, "Gelatos de Leite com Fruta", 13, "Chocolate base água", 16, "Vegano", 19, "Alcoólicos", 22, "Zero", 25, "Gelatos Proteicos", 28, 7), 8)) + (ROUND(P178,4) &gt; INDEX('Tabela de ingredientes'!$O$1:$V$30, SWITCH(B178, "Gelatos de Leite", 8, "Sorbets", 11, "Gelatos de Leite com Fruta", 14, "Chocolate base água", 17, "Vegano", 20, "Alcoólicos", 23, "Zero", 26, "Gelatos Proteicos", 29, 8), 8)) + IF(B178="Gelatos Proteicos", (ROUND(Q178,4)&lt;'Tabela de ingredientes'!$W$28)+(ROUND(Q178,4)&gt;'Tabela de ingredientes'!$W$29), 0) = 0, "Ok", "Revisar"))</f>
        <v>Ok</v>
      </c>
    </row>
    <row r="179">
      <c r="A179" s="39" t="str">
        <f>IFERROR(__xludf.DUMMYFUNCTION("""COMPUTED_VALUE"""),"Gelato de Baunilha Proteico (Gelatos Proteicos)")</f>
        <v>Gelato de Baunilha Proteico (Gelatos Proteicos)</v>
      </c>
      <c r="B179" s="39" t="s">
        <v>107</v>
      </c>
      <c r="C179" s="39">
        <v>9.0</v>
      </c>
      <c r="D179" s="39">
        <v>1022.0</v>
      </c>
      <c r="E179" s="39" t="s">
        <v>654</v>
      </c>
      <c r="F179" s="69">
        <v>22.16878669275929</v>
      </c>
      <c r="G179" s="69">
        <v>1.3301272015655574</v>
      </c>
      <c r="H179" s="69">
        <v>40.70263799069478</v>
      </c>
      <c r="I179" s="59">
        <v>0.1753424657534247</v>
      </c>
      <c r="J179" s="59">
        <v>0.049991846053489886</v>
      </c>
      <c r="K179" s="59">
        <v>0.1627853881278539</v>
      </c>
      <c r="L179" s="59">
        <v>0.003913894324853229</v>
      </c>
      <c r="M179" s="59">
        <v>0.3920335942596217</v>
      </c>
      <c r="N179" s="59">
        <v>0.6079664057403783</v>
      </c>
      <c r="O179" s="39">
        <v>177.48238747553816</v>
      </c>
      <c r="P179" s="39">
        <v>274.706457925636</v>
      </c>
      <c r="Q179" s="59">
        <v>0.08650195694716242</v>
      </c>
      <c r="R179" s="39">
        <v>10.98825831702544</v>
      </c>
      <c r="S179" s="97" t="str">
        <f t="array" ref="S179">IF(A179="","", IF( (ROUND(I179,4) &lt; INDEX('Tabela de ingredientes'!$O$1:$V$30, SWITCH(B179, "Gelatos de Leite", 7, "Sorbets", 10, "Gelatos de Leite com Fruta", 13, "Chocolate base água", 16, "Vegano", 19, "Alcoólicos", 22, "Zero", 25, "Gelatos Proteicos", 28, 7), 1)) + (ROUND(I179,4) &gt; INDEX('Tabela de ingredientes'!$O$1:$V$30, SWITCH(B179, "Gelatos de Leite", 8, "Sorbets", 11, "Gelatos de Leite com Fruta", 14, "Chocolate base água", 17, "Vegano", 20, "Alcoólicos", 23, "Zero", 26, "Gelatos Proteicos", 29, 8), 1)) + (ROUND(J179,4) &lt; INDEX('Tabela de ingredientes'!$O$1:$V$30, SWITCH(B179, "Gelatos de Leite", 7, "Sorbets", 10, "Gelatos de Leite com Fruta", 13, "Chocolate base água", 16, "Vegano", 19, "Alcoólicos", 22, "Zero", 25, "Gelatos Proteicos", 28, 7), 2)) + (ROUND(J179,4) &gt; INDEX('Tabela de ingredientes'!$O$1:$V$30, SWITCH(B179, "Gelatos de Leite", 8, "Sorbets", 11, "Gelatos de Leite com Fruta", 14, "Chocolate base água", 17, "Vegano", 20, "Alcoólicos", 23, "Zero", 26, "Gelatos Proteicos", 29, 8), 2)) + (ROUND(K179,4) &lt; INDEX('Tabela de ingredientes'!$O$1:$V$30, SWITCH(B179, "Gelatos de Leite", 7, "Sorbets", 10, "Gelatos de Leite com Fruta", 13, "Chocolate base água", 16, "Vegano", 19, "Alcoólicos", 22, "Zero", 25, "Gelatos Proteicos", 28, 7), 3)) + (ROUND(K179,4) &gt; INDEX('Tabela de ingredientes'!$O$1:$V$30, SWITCH(B179, "Gelatos de Leite", 8, "Sorbets", 11, "Gelatos de Leite com Fruta", 14, "Chocolate base água", 17, "Vegano", 20, "Alcoólicos", 23, "Zero", 26, "Gelatos Proteicos", 29, 8), 3)) + (ROUND(L179,4) &lt; INDEX('Tabela de ingredientes'!$O$1:$V$30, SWITCH(B179, "Gelatos de Leite", 7, "Sorbets", 10, "Gelatos de Leite com Fruta", 13, "Chocolate base água", 16, "Vegano", 19, "Alcoólicos", 22, "Zero", 25, "Gelatos Proteicos", 28, 7), 4)) + (ROUND(L179,4) &gt; INDEX('Tabela de ingredientes'!$O$1:$V$30, SWITCH(B179, "Gelatos de Leite", 8, "Sorbets", 11, "Gelatos de Leite com Fruta", 14, "Chocolate base água", 17, "Vegano", 20, "Alcoólicos", 23, "Zero", 26, "Gelatos Proteicos", 29, 8), 4)) + (ROUND(M179,4) &lt; INDEX('Tabela de ingredientes'!$O$1:$V$30, SWITCH(B179, "Gelatos de Leite", 7, "Sorbets", 10, "Gelatos de Leite com Fruta", 13, "Chocolate base água", 16, "Vegano", 19, "Alcoólicos", 22, "Zero", 25, "Gelatos Proteicos", 28, 7), 5)) + (ROUND(M179,4) &gt; INDEX('Tabela de ingredientes'!$O$1:$V$30, SWITCH(B179, "Gelatos de Leite", 8, "Sorbets", 11, "Gelatos de Leite com Fruta", 14, "Chocolate base água", 17, "Vegano", 20, "Alcoólicos", 23, "Zero", 26, "Gelatos Proteicos", 29, 8), 5)) + (ROUND(N179,4) &lt; INDEX('Tabela de ingredientes'!$O$1:$V$30, SWITCH(B179, "Gelatos de Leite", 7, "Sorbets", 10, "Gelatos de Leite com Fruta", 13, "Chocolate base água", 16, "Vegano", 19, "Alcoólicos", 22, "Zero", 25, "Gelatos Proteicos", 28, 7), 6)) + (ROUND(N179,4) &gt; INDEX('Tabela de ingredientes'!$O$1:$V$30, SWITCH(B179, "Gelatos de Leite", 8, "Sorbets", 11, "Gelatos de Leite com Fruta", 14, "Chocolate base água", 17, "Vegano", 20, "Alcoólicos", 23, "Zero", 26, "Gelatos Proteicos", 29, 8), 6)) + (ROUND(O179,4) &lt; INDEX('Tabela de ingredientes'!$O$1:$V$30, SWITCH(B179, "Gelatos de Leite", 7, "Sorbets", 10, "Gelatos de Leite com Fruta", 13, "Chocolate base água", 16, "Vegano", 19, "Alcoólicos", 22, "Zero", 25, "Gelatos Proteicos", 28, 7), 7)) + (ROUND(O179,4) &gt; INDEX('Tabela de ingredientes'!$O$1:$V$30, SWITCH(B179, "Gelatos de Leite", 8, "Sorbets", 11, "Gelatos de Leite com Fruta", 14, "Chocolate base água", 17, "Vegano", 20, "Alcoólicos", 23, "Zero", 26, "Gelatos Proteicos", 29, 8), 7)) + (ROUND(P179,4) &lt; INDEX('Tabela de ingredientes'!$O$1:$V$30, SWITCH(B179, "Gelatos de Leite", 7, "Sorbets", 10, "Gelatos de Leite com Fruta", 13, "Chocolate base água", 16, "Vegano", 19, "Alcoólicos", 22, "Zero", 25, "Gelatos Proteicos", 28, 7), 8)) + (ROUND(P179,4) &gt; INDEX('Tabela de ingredientes'!$O$1:$V$30, SWITCH(B179, "Gelatos de Leite", 8, "Sorbets", 11, "Gelatos de Leite com Fruta", 14, "Chocolate base água", 17, "Vegano", 20, "Alcoólicos", 23, "Zero", 26, "Gelatos Proteicos", 29, 8), 8)) + IF(B179="Gelatos Proteicos", (ROUND(Q179,4)&lt;'Tabela de ingredientes'!$W$28)+(ROUND(Q179,4)&gt;'Tabela de ingredientes'!$W$29), 0) = 0, "Ok", "Revisar"))</f>
        <v>Ok</v>
      </c>
    </row>
    <row r="180">
      <c r="A180" s="39" t="str">
        <f>IFERROR(__xludf.DUMMYFUNCTION("""COMPUTED_VALUE"""),"Gelato de Baunilha Proteico s/ Açúcar (Gelatos Proteicos)")</f>
        <v>Gelato de Baunilha Proteico s/ Açúcar (Gelatos Proteicos)</v>
      </c>
      <c r="B180" s="39" t="s">
        <v>107</v>
      </c>
      <c r="C180" s="39">
        <v>9.0</v>
      </c>
      <c r="D180" s="39">
        <v>1002.0</v>
      </c>
      <c r="E180" s="39" t="s">
        <v>191</v>
      </c>
      <c r="F180" s="69">
        <v>24.916666666666668</v>
      </c>
      <c r="G180" s="69">
        <v>1.495</v>
      </c>
      <c r="H180" s="69">
        <v>42.977373068432684</v>
      </c>
      <c r="I180" s="59">
        <v>0.16207584830339322</v>
      </c>
      <c r="J180" s="59">
        <v>0.050989687292082496</v>
      </c>
      <c r="K180" s="59">
        <v>0.16603459747172322</v>
      </c>
      <c r="L180" s="59">
        <v>0.003992015968063872</v>
      </c>
      <c r="M180" s="59">
        <v>0.3830921490352628</v>
      </c>
      <c r="N180" s="59">
        <v>0.6169078509647372</v>
      </c>
      <c r="O180" s="39">
        <v>123.53992015968062</v>
      </c>
      <c r="P180" s="39">
        <v>282.18562874251495</v>
      </c>
      <c r="Q180" s="59">
        <v>0.08822854291417166</v>
      </c>
      <c r="R180" s="39">
        <v>11.287425149700598</v>
      </c>
      <c r="S180" s="97" t="str">
        <f t="array" ref="S180">IF(A180="","", IF( (ROUND(I180,4) &lt; INDEX('Tabela de ingredientes'!$O$1:$V$30, SWITCH(B180, "Gelatos de Leite", 7, "Sorbets", 10, "Gelatos de Leite com Fruta", 13, "Chocolate base água", 16, "Vegano", 19, "Alcoólicos", 22, "Zero", 25, "Gelatos Proteicos", 28, 7), 1)) + (ROUND(I180,4) &gt; INDEX('Tabela de ingredientes'!$O$1:$V$30, SWITCH(B180, "Gelatos de Leite", 8, "Sorbets", 11, "Gelatos de Leite com Fruta", 14, "Chocolate base água", 17, "Vegano", 20, "Alcoólicos", 23, "Zero", 26, "Gelatos Proteicos", 29, 8), 1)) + (ROUND(J180,4) &lt; INDEX('Tabela de ingredientes'!$O$1:$V$30, SWITCH(B180, "Gelatos de Leite", 7, "Sorbets", 10, "Gelatos de Leite com Fruta", 13, "Chocolate base água", 16, "Vegano", 19, "Alcoólicos", 22, "Zero", 25, "Gelatos Proteicos", 28, 7), 2)) + (ROUND(J180,4) &gt; INDEX('Tabela de ingredientes'!$O$1:$V$30, SWITCH(B180, "Gelatos de Leite", 8, "Sorbets", 11, "Gelatos de Leite com Fruta", 14, "Chocolate base água", 17, "Vegano", 20, "Alcoólicos", 23, "Zero", 26, "Gelatos Proteicos", 29, 8), 2)) + (ROUND(K180,4) &lt; INDEX('Tabela de ingredientes'!$O$1:$V$30, SWITCH(B180, "Gelatos de Leite", 7, "Sorbets", 10, "Gelatos de Leite com Fruta", 13, "Chocolate base água", 16, "Vegano", 19, "Alcoólicos", 22, "Zero", 25, "Gelatos Proteicos", 28, 7), 3)) + (ROUND(K180,4) &gt; INDEX('Tabela de ingredientes'!$O$1:$V$30, SWITCH(B180, "Gelatos de Leite", 8, "Sorbets", 11, "Gelatos de Leite com Fruta", 14, "Chocolate base água", 17, "Vegano", 20, "Alcoólicos", 23, "Zero", 26, "Gelatos Proteicos", 29, 8), 3)) + (ROUND(L180,4) &lt; INDEX('Tabela de ingredientes'!$O$1:$V$30, SWITCH(B180, "Gelatos de Leite", 7, "Sorbets", 10, "Gelatos de Leite com Fruta", 13, "Chocolate base água", 16, "Vegano", 19, "Alcoólicos", 22, "Zero", 25, "Gelatos Proteicos", 28, 7), 4)) + (ROUND(L180,4) &gt; INDEX('Tabela de ingredientes'!$O$1:$V$30, SWITCH(B180, "Gelatos de Leite", 8, "Sorbets", 11, "Gelatos de Leite com Fruta", 14, "Chocolate base água", 17, "Vegano", 20, "Alcoólicos", 23, "Zero", 26, "Gelatos Proteicos", 29, 8), 4)) + (ROUND(M180,4) &lt; INDEX('Tabela de ingredientes'!$O$1:$V$30, SWITCH(B180, "Gelatos de Leite", 7, "Sorbets", 10, "Gelatos de Leite com Fruta", 13, "Chocolate base água", 16, "Vegano", 19, "Alcoólicos", 22, "Zero", 25, "Gelatos Proteicos", 28, 7), 5)) + (ROUND(M180,4) &gt; INDEX('Tabela de ingredientes'!$O$1:$V$30, SWITCH(B180, "Gelatos de Leite", 8, "Sorbets", 11, "Gelatos de Leite com Fruta", 14, "Chocolate base água", 17, "Vegano", 20, "Alcoólicos", 23, "Zero", 26, "Gelatos Proteicos", 29, 8), 5)) + (ROUND(N180,4) &lt; INDEX('Tabela de ingredientes'!$O$1:$V$30, SWITCH(B180, "Gelatos de Leite", 7, "Sorbets", 10, "Gelatos de Leite com Fruta", 13, "Chocolate base água", 16, "Vegano", 19, "Alcoólicos", 22, "Zero", 25, "Gelatos Proteicos", 28, 7), 6)) + (ROUND(N180,4) &gt; INDEX('Tabela de ingredientes'!$O$1:$V$30, SWITCH(B180, "Gelatos de Leite", 8, "Sorbets", 11, "Gelatos de Leite com Fruta", 14, "Chocolate base água", 17, "Vegano", 20, "Alcoólicos", 23, "Zero", 26, "Gelatos Proteicos", 29, 8), 6)) + (ROUND(O180,4) &lt; INDEX('Tabela de ingredientes'!$O$1:$V$30, SWITCH(B180, "Gelatos de Leite", 7, "Sorbets", 10, "Gelatos de Leite com Fruta", 13, "Chocolate base água", 16, "Vegano", 19, "Alcoólicos", 22, "Zero", 25, "Gelatos Proteicos", 28, 7), 7)) + (ROUND(O180,4) &gt; INDEX('Tabela de ingredientes'!$O$1:$V$30, SWITCH(B180, "Gelatos de Leite", 8, "Sorbets", 11, "Gelatos de Leite com Fruta", 14, "Chocolate base água", 17, "Vegano", 20, "Alcoólicos", 23, "Zero", 26, "Gelatos Proteicos", 29, 8), 7)) + (ROUND(P180,4) &lt; INDEX('Tabela de ingredientes'!$O$1:$V$30, SWITCH(B180, "Gelatos de Leite", 7, "Sorbets", 10, "Gelatos de Leite com Fruta", 13, "Chocolate base água", 16, "Vegano", 19, "Alcoólicos", 22, "Zero", 25, "Gelatos Proteicos", 28, 7), 8)) + (ROUND(P180,4) &gt; INDEX('Tabela de ingredientes'!$O$1:$V$30, SWITCH(B180, "Gelatos de Leite", 8, "Sorbets", 11, "Gelatos de Leite com Fruta", 14, "Chocolate base água", 17, "Vegano", 20, "Alcoólicos", 23, "Zero", 26, "Gelatos Proteicos", 29, 8), 8)) + IF(B180="Gelatos Proteicos", (ROUND(Q180,4)&lt;'Tabela de ingredientes'!$W$28)+(ROUND(Q180,4)&gt;'Tabela de ingredientes'!$W$29), 0) = 0, "Ok", "Revisar"))</f>
        <v>Ok</v>
      </c>
    </row>
    <row r="181">
      <c r="A181" s="39" t="str">
        <f>IFERROR(__xludf.DUMMYFUNCTION("""COMPUTED_VALUE"""),"Gelato de Baunilha Proteico Redução Polióis (Gelatos Proteicos)")</f>
        <v>Gelato de Baunilha Proteico Redução Polióis (Gelatos Proteicos)</v>
      </c>
      <c r="B181" s="39" t="s">
        <v>107</v>
      </c>
      <c r="C181" s="39">
        <v>10.0</v>
      </c>
      <c r="D181" s="39">
        <v>994.0</v>
      </c>
      <c r="E181" s="39" t="s">
        <v>655</v>
      </c>
      <c r="F181" s="69">
        <v>26.51559356136821</v>
      </c>
      <c r="G181" s="69">
        <v>1.5909356136820925</v>
      </c>
      <c r="H181" s="69">
        <v>44.30098804749024</v>
      </c>
      <c r="I181" s="59">
        <v>0.05271629778672032</v>
      </c>
      <c r="J181" s="59">
        <v>0.05140006706908115</v>
      </c>
      <c r="K181" s="59">
        <v>0.16737089201877936</v>
      </c>
      <c r="L181" s="59">
        <v>0.10160965794768612</v>
      </c>
      <c r="M181" s="59">
        <v>0.373096914822267</v>
      </c>
      <c r="N181" s="59">
        <v>0.6269030851777331</v>
      </c>
      <c r="O181" s="39">
        <v>115.47987927565391</v>
      </c>
      <c r="P181" s="39">
        <v>270.3722334004024</v>
      </c>
      <c r="Q181" s="59">
        <v>0.08893863179074447</v>
      </c>
      <c r="R181" s="39">
        <v>10.814889336016098</v>
      </c>
      <c r="S181" s="97" t="str">
        <f t="array" ref="S181">IF(A181="","", IF( (ROUND(I181,4) &lt; INDEX('Tabela de ingredientes'!$O$1:$V$30, SWITCH(B181, "Gelatos de Leite", 7, "Sorbets", 10, "Gelatos de Leite com Fruta", 13, "Chocolate base água", 16, "Vegano", 19, "Alcoólicos", 22, "Zero", 25, "Gelatos Proteicos", 28, 7), 1)) + (ROUND(I181,4) &gt; INDEX('Tabela de ingredientes'!$O$1:$V$30, SWITCH(B181, "Gelatos de Leite", 8, "Sorbets", 11, "Gelatos de Leite com Fruta", 14, "Chocolate base água", 17, "Vegano", 20, "Alcoólicos", 23, "Zero", 26, "Gelatos Proteicos", 29, 8), 1)) + (ROUND(J181,4) &lt; INDEX('Tabela de ingredientes'!$O$1:$V$30, SWITCH(B181, "Gelatos de Leite", 7, "Sorbets", 10, "Gelatos de Leite com Fruta", 13, "Chocolate base água", 16, "Vegano", 19, "Alcoólicos", 22, "Zero", 25, "Gelatos Proteicos", 28, 7), 2)) + (ROUND(J181,4) &gt; INDEX('Tabela de ingredientes'!$O$1:$V$30, SWITCH(B181, "Gelatos de Leite", 8, "Sorbets", 11, "Gelatos de Leite com Fruta", 14, "Chocolate base água", 17, "Vegano", 20, "Alcoólicos", 23, "Zero", 26, "Gelatos Proteicos", 29, 8), 2)) + (ROUND(K181,4) &lt; INDEX('Tabela de ingredientes'!$O$1:$V$30, SWITCH(B181, "Gelatos de Leite", 7, "Sorbets", 10, "Gelatos de Leite com Fruta", 13, "Chocolate base água", 16, "Vegano", 19, "Alcoólicos", 22, "Zero", 25, "Gelatos Proteicos", 28, 7), 3)) + (ROUND(K181,4) &gt; INDEX('Tabela de ingredientes'!$O$1:$V$30, SWITCH(B181, "Gelatos de Leite", 8, "Sorbets", 11, "Gelatos de Leite com Fruta", 14, "Chocolate base água", 17, "Vegano", 20, "Alcoólicos", 23, "Zero", 26, "Gelatos Proteicos", 29, 8), 3)) + (ROUND(L181,4) &lt; INDEX('Tabela de ingredientes'!$O$1:$V$30, SWITCH(B181, "Gelatos de Leite", 7, "Sorbets", 10, "Gelatos de Leite com Fruta", 13, "Chocolate base água", 16, "Vegano", 19, "Alcoólicos", 22, "Zero", 25, "Gelatos Proteicos", 28, 7), 4)) + (ROUND(L181,4) &gt; INDEX('Tabela de ingredientes'!$O$1:$V$30, SWITCH(B181, "Gelatos de Leite", 8, "Sorbets", 11, "Gelatos de Leite com Fruta", 14, "Chocolate base água", 17, "Vegano", 20, "Alcoólicos", 23, "Zero", 26, "Gelatos Proteicos", 29, 8), 4)) + (ROUND(M181,4) &lt; INDEX('Tabela de ingredientes'!$O$1:$V$30, SWITCH(B181, "Gelatos de Leite", 7, "Sorbets", 10, "Gelatos de Leite com Fruta", 13, "Chocolate base água", 16, "Vegano", 19, "Alcoólicos", 22, "Zero", 25, "Gelatos Proteicos", 28, 7), 5)) + (ROUND(M181,4) &gt; INDEX('Tabela de ingredientes'!$O$1:$V$30, SWITCH(B181, "Gelatos de Leite", 8, "Sorbets", 11, "Gelatos de Leite com Fruta", 14, "Chocolate base água", 17, "Vegano", 20, "Alcoólicos", 23, "Zero", 26, "Gelatos Proteicos", 29, 8), 5)) + (ROUND(N181,4) &lt; INDEX('Tabela de ingredientes'!$O$1:$V$30, SWITCH(B181, "Gelatos de Leite", 7, "Sorbets", 10, "Gelatos de Leite com Fruta", 13, "Chocolate base água", 16, "Vegano", 19, "Alcoólicos", 22, "Zero", 25, "Gelatos Proteicos", 28, 7), 6)) + (ROUND(N181,4) &gt; INDEX('Tabela de ingredientes'!$O$1:$V$30, SWITCH(B181, "Gelatos de Leite", 8, "Sorbets", 11, "Gelatos de Leite com Fruta", 14, "Chocolate base água", 17, "Vegano", 20, "Alcoólicos", 23, "Zero", 26, "Gelatos Proteicos", 29, 8), 6)) + (ROUND(O181,4) &lt; INDEX('Tabela de ingredientes'!$O$1:$V$30, SWITCH(B181, "Gelatos de Leite", 7, "Sorbets", 10, "Gelatos de Leite com Fruta", 13, "Chocolate base água", 16, "Vegano", 19, "Alcoólicos", 22, "Zero", 25, "Gelatos Proteicos", 28, 7), 7)) + (ROUND(O181,4) &gt; INDEX('Tabela de ingredientes'!$O$1:$V$30, SWITCH(B181, "Gelatos de Leite", 8, "Sorbets", 11, "Gelatos de Leite com Fruta", 14, "Chocolate base água", 17, "Vegano", 20, "Alcoólicos", 23, "Zero", 26, "Gelatos Proteicos", 29, 8), 7)) + (ROUND(P181,4) &lt; INDEX('Tabela de ingredientes'!$O$1:$V$30, SWITCH(B181, "Gelatos de Leite", 7, "Sorbets", 10, "Gelatos de Leite com Fruta", 13, "Chocolate base água", 16, "Vegano", 19, "Alcoólicos", 22, "Zero", 25, "Gelatos Proteicos", 28, 7), 8)) + (ROUND(P181,4) &gt; INDEX('Tabela de ingredientes'!$O$1:$V$30, SWITCH(B181, "Gelatos de Leite", 8, "Sorbets", 11, "Gelatos de Leite com Fruta", 14, "Chocolate base água", 17, "Vegano", 20, "Alcoólicos", 23, "Zero", 26, "Gelatos Proteicos", 29, 8), 8)) + IF(B181="Gelatos Proteicos", (ROUND(Q181,4)&lt;'Tabela de ingredientes'!$W$28)+(ROUND(Q181,4)&gt;'Tabela de ingredientes'!$W$29), 0) = 0, "Ok", "Revisar"))</f>
        <v>Ok</v>
      </c>
    </row>
    <row r="182">
      <c r="A182" s="39" t="str">
        <f>IFERROR(__xludf.DUMMYFUNCTION("""COMPUTED_VALUE"""),"Gelato de Chocolate Proteico (Gelatos Proteicos)")</f>
        <v>Gelato de Chocolate Proteico (Gelatos Proteicos)</v>
      </c>
      <c r="B182" s="39" t="s">
        <v>107</v>
      </c>
      <c r="C182" s="39">
        <v>9.0</v>
      </c>
      <c r="D182" s="39">
        <v>1019.0</v>
      </c>
      <c r="E182" s="39" t="s">
        <v>656</v>
      </c>
      <c r="F182" s="69">
        <v>18.99558390578999</v>
      </c>
      <c r="G182" s="69">
        <v>1.1397350343473993</v>
      </c>
      <c r="H182" s="69">
        <v>38.07581449154801</v>
      </c>
      <c r="I182" s="59">
        <v>0.17350343473994112</v>
      </c>
      <c r="J182" s="59">
        <v>0.05283774942754334</v>
      </c>
      <c r="K182" s="59">
        <v>0.13946679751390254</v>
      </c>
      <c r="L182" s="59">
        <v>0.02453385672227674</v>
      </c>
      <c r="M182" s="59">
        <v>0.3903418384036637</v>
      </c>
      <c r="N182" s="59">
        <v>0.6096581615963363</v>
      </c>
      <c r="O182" s="39">
        <v>174.71736997055936</v>
      </c>
      <c r="P182" s="39">
        <v>261.0402355250245</v>
      </c>
      <c r="Q182" s="59">
        <v>0.08234052993130521</v>
      </c>
      <c r="R182" s="39">
        <v>10.441609421000981</v>
      </c>
      <c r="S182" s="97" t="str">
        <f t="array" ref="S182">IF(A182="","", IF( (ROUND(I182,4) &lt; INDEX('Tabela de ingredientes'!$O$1:$V$30, SWITCH(B182, "Gelatos de Leite", 7, "Sorbets", 10, "Gelatos de Leite com Fruta", 13, "Chocolate base água", 16, "Vegano", 19, "Alcoólicos", 22, "Zero", 25, "Gelatos Proteicos", 28, 7), 1)) + (ROUND(I182,4) &gt; INDEX('Tabela de ingredientes'!$O$1:$V$30, SWITCH(B182, "Gelatos de Leite", 8, "Sorbets", 11, "Gelatos de Leite com Fruta", 14, "Chocolate base água", 17, "Vegano", 20, "Alcoólicos", 23, "Zero", 26, "Gelatos Proteicos", 29, 8), 1)) + (ROUND(J182,4) &lt; INDEX('Tabela de ingredientes'!$O$1:$V$30, SWITCH(B182, "Gelatos de Leite", 7, "Sorbets", 10, "Gelatos de Leite com Fruta", 13, "Chocolate base água", 16, "Vegano", 19, "Alcoólicos", 22, "Zero", 25, "Gelatos Proteicos", 28, 7), 2)) + (ROUND(J182,4) &gt; INDEX('Tabela de ingredientes'!$O$1:$V$30, SWITCH(B182, "Gelatos de Leite", 8, "Sorbets", 11, "Gelatos de Leite com Fruta", 14, "Chocolate base água", 17, "Vegano", 20, "Alcoólicos", 23, "Zero", 26, "Gelatos Proteicos", 29, 8), 2)) + (ROUND(K182,4) &lt; INDEX('Tabela de ingredientes'!$O$1:$V$30, SWITCH(B182, "Gelatos de Leite", 7, "Sorbets", 10, "Gelatos de Leite com Fruta", 13, "Chocolate base água", 16, "Vegano", 19, "Alcoólicos", 22, "Zero", 25, "Gelatos Proteicos", 28, 7), 3)) + (ROUND(K182,4) &gt; INDEX('Tabela de ingredientes'!$O$1:$V$30, SWITCH(B182, "Gelatos de Leite", 8, "Sorbets", 11, "Gelatos de Leite com Fruta", 14, "Chocolate base água", 17, "Vegano", 20, "Alcoólicos", 23, "Zero", 26, "Gelatos Proteicos", 29, 8), 3)) + (ROUND(L182,4) &lt; INDEX('Tabela de ingredientes'!$O$1:$V$30, SWITCH(B182, "Gelatos de Leite", 7, "Sorbets", 10, "Gelatos de Leite com Fruta", 13, "Chocolate base água", 16, "Vegano", 19, "Alcoólicos", 22, "Zero", 25, "Gelatos Proteicos", 28, 7), 4)) + (ROUND(L182,4) &gt; INDEX('Tabela de ingredientes'!$O$1:$V$30, SWITCH(B182, "Gelatos de Leite", 8, "Sorbets", 11, "Gelatos de Leite com Fruta", 14, "Chocolate base água", 17, "Vegano", 20, "Alcoólicos", 23, "Zero", 26, "Gelatos Proteicos", 29, 8), 4)) + (ROUND(M182,4) &lt; INDEX('Tabela de ingredientes'!$O$1:$V$30, SWITCH(B182, "Gelatos de Leite", 7, "Sorbets", 10, "Gelatos de Leite com Fruta", 13, "Chocolate base água", 16, "Vegano", 19, "Alcoólicos", 22, "Zero", 25, "Gelatos Proteicos", 28, 7), 5)) + (ROUND(M182,4) &gt; INDEX('Tabela de ingredientes'!$O$1:$V$30, SWITCH(B182, "Gelatos de Leite", 8, "Sorbets", 11, "Gelatos de Leite com Fruta", 14, "Chocolate base água", 17, "Vegano", 20, "Alcoólicos", 23, "Zero", 26, "Gelatos Proteicos", 29, 8), 5)) + (ROUND(N182,4) &lt; INDEX('Tabela de ingredientes'!$O$1:$V$30, SWITCH(B182, "Gelatos de Leite", 7, "Sorbets", 10, "Gelatos de Leite com Fruta", 13, "Chocolate base água", 16, "Vegano", 19, "Alcoólicos", 22, "Zero", 25, "Gelatos Proteicos", 28, 7), 6)) + (ROUND(N182,4) &gt; INDEX('Tabela de ingredientes'!$O$1:$V$30, SWITCH(B182, "Gelatos de Leite", 8, "Sorbets", 11, "Gelatos de Leite com Fruta", 14, "Chocolate base água", 17, "Vegano", 20, "Alcoólicos", 23, "Zero", 26, "Gelatos Proteicos", 29, 8), 6)) + (ROUND(O182,4) &lt; INDEX('Tabela de ingredientes'!$O$1:$V$30, SWITCH(B182, "Gelatos de Leite", 7, "Sorbets", 10, "Gelatos de Leite com Fruta", 13, "Chocolate base água", 16, "Vegano", 19, "Alcoólicos", 22, "Zero", 25, "Gelatos Proteicos", 28, 7), 7)) + (ROUND(O182,4) &gt; INDEX('Tabela de ingredientes'!$O$1:$V$30, SWITCH(B182, "Gelatos de Leite", 8, "Sorbets", 11, "Gelatos de Leite com Fruta", 14, "Chocolate base água", 17, "Vegano", 20, "Alcoólicos", 23, "Zero", 26, "Gelatos Proteicos", 29, 8), 7)) + (ROUND(P182,4) &lt; INDEX('Tabela de ingredientes'!$O$1:$V$30, SWITCH(B182, "Gelatos de Leite", 7, "Sorbets", 10, "Gelatos de Leite com Fruta", 13, "Chocolate base água", 16, "Vegano", 19, "Alcoólicos", 22, "Zero", 25, "Gelatos Proteicos", 28, 7), 8)) + (ROUND(P182,4) &gt; INDEX('Tabela de ingredientes'!$O$1:$V$30, SWITCH(B182, "Gelatos de Leite", 8, "Sorbets", 11, "Gelatos de Leite com Fruta", 14, "Chocolate base água", 17, "Vegano", 20, "Alcoólicos", 23, "Zero", 26, "Gelatos Proteicos", 29, 8), 8)) + IF(B182="Gelatos Proteicos", (ROUND(Q182,4)&lt;'Tabela de ingredientes'!$W$28)+(ROUND(Q182,4)&gt;'Tabela de ingredientes'!$W$29), 0) = 0, "Ok", "Revisar"))</f>
        <v>Ok</v>
      </c>
    </row>
    <row r="183">
      <c r="A183" s="39" t="str">
        <f>IFERROR(__xludf.DUMMYFUNCTION("""COMPUTED_VALUE"""),"Gelato de Chocolate Proteico s/ Açúcar (Gelatos Proteicos)")</f>
        <v>Gelato de Chocolate Proteico s/ Açúcar (Gelatos Proteicos)</v>
      </c>
      <c r="B183" s="39" t="s">
        <v>107</v>
      </c>
      <c r="C183" s="39">
        <v>9.0</v>
      </c>
      <c r="D183" s="39">
        <v>1024.0</v>
      </c>
      <c r="E183" s="39" t="s">
        <v>637</v>
      </c>
      <c r="F183" s="69">
        <v>22.50146484375</v>
      </c>
      <c r="G183" s="69">
        <v>1.350087890625</v>
      </c>
      <c r="H183" s="69">
        <v>40.97803381105133</v>
      </c>
      <c r="I183" s="59">
        <v>0.15625</v>
      </c>
      <c r="J183" s="59">
        <v>0.05257975260416666</v>
      </c>
      <c r="K183" s="59">
        <v>0.16246744791666667</v>
      </c>
      <c r="L183" s="59">
        <v>0.0244140625</v>
      </c>
      <c r="M183" s="59">
        <v>0.39571126302083337</v>
      </c>
      <c r="N183" s="59">
        <v>0.6042887369791666</v>
      </c>
      <c r="O183" s="39">
        <v>119.5673828125</v>
      </c>
      <c r="P183" s="39">
        <v>282.71484375</v>
      </c>
      <c r="Q183" s="59">
        <v>0.0907275390625</v>
      </c>
      <c r="R183" s="39">
        <v>11.30859375</v>
      </c>
      <c r="S183" s="97" t="str">
        <f t="array" ref="S183">IF(A183="","", IF( (ROUND(I183,4) &lt; INDEX('Tabela de ingredientes'!$O$1:$V$30, SWITCH(B183, "Gelatos de Leite", 7, "Sorbets", 10, "Gelatos de Leite com Fruta", 13, "Chocolate base água", 16, "Vegano", 19, "Alcoólicos", 22, "Zero", 25, "Gelatos Proteicos", 28, 7), 1)) + (ROUND(I183,4) &gt; INDEX('Tabela de ingredientes'!$O$1:$V$30, SWITCH(B183, "Gelatos de Leite", 8, "Sorbets", 11, "Gelatos de Leite com Fruta", 14, "Chocolate base água", 17, "Vegano", 20, "Alcoólicos", 23, "Zero", 26, "Gelatos Proteicos", 29, 8), 1)) + (ROUND(J183,4) &lt; INDEX('Tabela de ingredientes'!$O$1:$V$30, SWITCH(B183, "Gelatos de Leite", 7, "Sorbets", 10, "Gelatos de Leite com Fruta", 13, "Chocolate base água", 16, "Vegano", 19, "Alcoólicos", 22, "Zero", 25, "Gelatos Proteicos", 28, 7), 2)) + (ROUND(J183,4) &gt; INDEX('Tabela de ingredientes'!$O$1:$V$30, SWITCH(B183, "Gelatos de Leite", 8, "Sorbets", 11, "Gelatos de Leite com Fruta", 14, "Chocolate base água", 17, "Vegano", 20, "Alcoólicos", 23, "Zero", 26, "Gelatos Proteicos", 29, 8), 2)) + (ROUND(K183,4) &lt; INDEX('Tabela de ingredientes'!$O$1:$V$30, SWITCH(B183, "Gelatos de Leite", 7, "Sorbets", 10, "Gelatos de Leite com Fruta", 13, "Chocolate base água", 16, "Vegano", 19, "Alcoólicos", 22, "Zero", 25, "Gelatos Proteicos", 28, 7), 3)) + (ROUND(K183,4) &gt; INDEX('Tabela de ingredientes'!$O$1:$V$30, SWITCH(B183, "Gelatos de Leite", 8, "Sorbets", 11, "Gelatos de Leite com Fruta", 14, "Chocolate base água", 17, "Vegano", 20, "Alcoólicos", 23, "Zero", 26, "Gelatos Proteicos", 29, 8), 3)) + (ROUND(L183,4) &lt; INDEX('Tabela de ingredientes'!$O$1:$V$30, SWITCH(B183, "Gelatos de Leite", 7, "Sorbets", 10, "Gelatos de Leite com Fruta", 13, "Chocolate base água", 16, "Vegano", 19, "Alcoólicos", 22, "Zero", 25, "Gelatos Proteicos", 28, 7), 4)) + (ROUND(L183,4) &gt; INDEX('Tabela de ingredientes'!$O$1:$V$30, SWITCH(B183, "Gelatos de Leite", 8, "Sorbets", 11, "Gelatos de Leite com Fruta", 14, "Chocolate base água", 17, "Vegano", 20, "Alcoólicos", 23, "Zero", 26, "Gelatos Proteicos", 29, 8), 4)) + (ROUND(M183,4) &lt; INDEX('Tabela de ingredientes'!$O$1:$V$30, SWITCH(B183, "Gelatos de Leite", 7, "Sorbets", 10, "Gelatos de Leite com Fruta", 13, "Chocolate base água", 16, "Vegano", 19, "Alcoólicos", 22, "Zero", 25, "Gelatos Proteicos", 28, 7), 5)) + (ROUND(M183,4) &gt; INDEX('Tabela de ingredientes'!$O$1:$V$30, SWITCH(B183, "Gelatos de Leite", 8, "Sorbets", 11, "Gelatos de Leite com Fruta", 14, "Chocolate base água", 17, "Vegano", 20, "Alcoólicos", 23, "Zero", 26, "Gelatos Proteicos", 29, 8), 5)) + (ROUND(N183,4) &lt; INDEX('Tabela de ingredientes'!$O$1:$V$30, SWITCH(B183, "Gelatos de Leite", 7, "Sorbets", 10, "Gelatos de Leite com Fruta", 13, "Chocolate base água", 16, "Vegano", 19, "Alcoólicos", 22, "Zero", 25, "Gelatos Proteicos", 28, 7), 6)) + (ROUND(N183,4) &gt; INDEX('Tabela de ingredientes'!$O$1:$V$30, SWITCH(B183, "Gelatos de Leite", 8, "Sorbets", 11, "Gelatos de Leite com Fruta", 14, "Chocolate base água", 17, "Vegano", 20, "Alcoólicos", 23, "Zero", 26, "Gelatos Proteicos", 29, 8), 6)) + (ROUND(O183,4) &lt; INDEX('Tabela de ingredientes'!$O$1:$V$30, SWITCH(B183, "Gelatos de Leite", 7, "Sorbets", 10, "Gelatos de Leite com Fruta", 13, "Chocolate base água", 16, "Vegano", 19, "Alcoólicos", 22, "Zero", 25, "Gelatos Proteicos", 28, 7), 7)) + (ROUND(O183,4) &gt; INDEX('Tabela de ingredientes'!$O$1:$V$30, SWITCH(B183, "Gelatos de Leite", 8, "Sorbets", 11, "Gelatos de Leite com Fruta", 14, "Chocolate base água", 17, "Vegano", 20, "Alcoólicos", 23, "Zero", 26, "Gelatos Proteicos", 29, 8), 7)) + (ROUND(P183,4) &lt; INDEX('Tabela de ingredientes'!$O$1:$V$30, SWITCH(B183, "Gelatos de Leite", 7, "Sorbets", 10, "Gelatos de Leite com Fruta", 13, "Chocolate base água", 16, "Vegano", 19, "Alcoólicos", 22, "Zero", 25, "Gelatos Proteicos", 28, 7), 8)) + (ROUND(P183,4) &gt; INDEX('Tabela de ingredientes'!$O$1:$V$30, SWITCH(B183, "Gelatos de Leite", 8, "Sorbets", 11, "Gelatos de Leite com Fruta", 14, "Chocolate base água", 17, "Vegano", 20, "Alcoólicos", 23, "Zero", 26, "Gelatos Proteicos", 29, 8), 8)) + IF(B183="Gelatos Proteicos", (ROUND(Q183,4)&lt;'Tabela de ingredientes'!$W$28)+(ROUND(Q183,4)&gt;'Tabela de ingredientes'!$W$29), 0) = 0, "Ok", "Revisar"))</f>
        <v>Ok</v>
      </c>
    </row>
    <row r="184">
      <c r="A184" s="39" t="str">
        <f>IFERROR(__xludf.DUMMYFUNCTION("""COMPUTED_VALUE"""),"Gelato de Chocolate Proteico Redução Polióis (Gelatos Proteicos)")</f>
        <v>Gelato de Chocolate Proteico Redução Polióis (Gelatos Proteicos)</v>
      </c>
      <c r="B184" s="39" t="s">
        <v>107</v>
      </c>
      <c r="C184" s="39">
        <v>10.0</v>
      </c>
      <c r="D184" s="39">
        <v>1021.0</v>
      </c>
      <c r="E184" s="39" t="s">
        <v>433</v>
      </c>
      <c r="F184" s="69">
        <v>24.051420176297746</v>
      </c>
      <c r="G184" s="69">
        <v>1.4430852105778647</v>
      </c>
      <c r="H184" s="69">
        <v>42.26110941746503</v>
      </c>
      <c r="I184" s="59">
        <v>0.05386875612144956</v>
      </c>
      <c r="J184" s="59">
        <v>0.05273424746980084</v>
      </c>
      <c r="K184" s="59">
        <v>0.16294482533463925</v>
      </c>
      <c r="L184" s="59">
        <v>0.11949069539666993</v>
      </c>
      <c r="M184" s="59">
        <v>0.3890385243225596</v>
      </c>
      <c r="N184" s="59">
        <v>0.6109614756774404</v>
      </c>
      <c r="O184" s="39">
        <v>114.53183153770813</v>
      </c>
      <c r="P184" s="39">
        <v>274.73065621939276</v>
      </c>
      <c r="Q184" s="59">
        <v>0.09099412340842311</v>
      </c>
      <c r="R184" s="39">
        <v>10.98922624877571</v>
      </c>
      <c r="S184" s="97" t="str">
        <f t="array" ref="S184">IF(A184="","", IF( (ROUND(I184,4) &lt; INDEX('Tabela de ingredientes'!$O$1:$V$30, SWITCH(B184, "Gelatos de Leite", 7, "Sorbets", 10, "Gelatos de Leite com Fruta", 13, "Chocolate base água", 16, "Vegano", 19, "Alcoólicos", 22, "Zero", 25, "Gelatos Proteicos", 28, 7), 1)) + (ROUND(I184,4) &gt; INDEX('Tabela de ingredientes'!$O$1:$V$30, SWITCH(B184, "Gelatos de Leite", 8, "Sorbets", 11, "Gelatos de Leite com Fruta", 14, "Chocolate base água", 17, "Vegano", 20, "Alcoólicos", 23, "Zero", 26, "Gelatos Proteicos", 29, 8), 1)) + (ROUND(J184,4) &lt; INDEX('Tabela de ingredientes'!$O$1:$V$30, SWITCH(B184, "Gelatos de Leite", 7, "Sorbets", 10, "Gelatos de Leite com Fruta", 13, "Chocolate base água", 16, "Vegano", 19, "Alcoólicos", 22, "Zero", 25, "Gelatos Proteicos", 28, 7), 2)) + (ROUND(J184,4) &gt; INDEX('Tabela de ingredientes'!$O$1:$V$30, SWITCH(B184, "Gelatos de Leite", 8, "Sorbets", 11, "Gelatos de Leite com Fruta", 14, "Chocolate base água", 17, "Vegano", 20, "Alcoólicos", 23, "Zero", 26, "Gelatos Proteicos", 29, 8), 2)) + (ROUND(K184,4) &lt; INDEX('Tabela de ingredientes'!$O$1:$V$30, SWITCH(B184, "Gelatos de Leite", 7, "Sorbets", 10, "Gelatos de Leite com Fruta", 13, "Chocolate base água", 16, "Vegano", 19, "Alcoólicos", 22, "Zero", 25, "Gelatos Proteicos", 28, 7), 3)) + (ROUND(K184,4) &gt; INDEX('Tabela de ingredientes'!$O$1:$V$30, SWITCH(B184, "Gelatos de Leite", 8, "Sorbets", 11, "Gelatos de Leite com Fruta", 14, "Chocolate base água", 17, "Vegano", 20, "Alcoólicos", 23, "Zero", 26, "Gelatos Proteicos", 29, 8), 3)) + (ROUND(L184,4) &lt; INDEX('Tabela de ingredientes'!$O$1:$V$30, SWITCH(B184, "Gelatos de Leite", 7, "Sorbets", 10, "Gelatos de Leite com Fruta", 13, "Chocolate base água", 16, "Vegano", 19, "Alcoólicos", 22, "Zero", 25, "Gelatos Proteicos", 28, 7), 4)) + (ROUND(L184,4) &gt; INDEX('Tabela de ingredientes'!$O$1:$V$30, SWITCH(B184, "Gelatos de Leite", 8, "Sorbets", 11, "Gelatos de Leite com Fruta", 14, "Chocolate base água", 17, "Vegano", 20, "Alcoólicos", 23, "Zero", 26, "Gelatos Proteicos", 29, 8), 4)) + (ROUND(M184,4) &lt; INDEX('Tabela de ingredientes'!$O$1:$V$30, SWITCH(B184, "Gelatos de Leite", 7, "Sorbets", 10, "Gelatos de Leite com Fruta", 13, "Chocolate base água", 16, "Vegano", 19, "Alcoólicos", 22, "Zero", 25, "Gelatos Proteicos", 28, 7), 5)) + (ROUND(M184,4) &gt; INDEX('Tabela de ingredientes'!$O$1:$V$30, SWITCH(B184, "Gelatos de Leite", 8, "Sorbets", 11, "Gelatos de Leite com Fruta", 14, "Chocolate base água", 17, "Vegano", 20, "Alcoólicos", 23, "Zero", 26, "Gelatos Proteicos", 29, 8), 5)) + (ROUND(N184,4) &lt; INDEX('Tabela de ingredientes'!$O$1:$V$30, SWITCH(B184, "Gelatos de Leite", 7, "Sorbets", 10, "Gelatos de Leite com Fruta", 13, "Chocolate base água", 16, "Vegano", 19, "Alcoólicos", 22, "Zero", 25, "Gelatos Proteicos", 28, 7), 6)) + (ROUND(N184,4) &gt; INDEX('Tabela de ingredientes'!$O$1:$V$30, SWITCH(B184, "Gelatos de Leite", 8, "Sorbets", 11, "Gelatos de Leite com Fruta", 14, "Chocolate base água", 17, "Vegano", 20, "Alcoólicos", 23, "Zero", 26, "Gelatos Proteicos", 29, 8), 6)) + (ROUND(O184,4) &lt; INDEX('Tabela de ingredientes'!$O$1:$V$30, SWITCH(B184, "Gelatos de Leite", 7, "Sorbets", 10, "Gelatos de Leite com Fruta", 13, "Chocolate base água", 16, "Vegano", 19, "Alcoólicos", 22, "Zero", 25, "Gelatos Proteicos", 28, 7), 7)) + (ROUND(O184,4) &gt; INDEX('Tabela de ingredientes'!$O$1:$V$30, SWITCH(B184, "Gelatos de Leite", 8, "Sorbets", 11, "Gelatos de Leite com Fruta", 14, "Chocolate base água", 17, "Vegano", 20, "Alcoólicos", 23, "Zero", 26, "Gelatos Proteicos", 29, 8), 7)) + (ROUND(P184,4) &lt; INDEX('Tabela de ingredientes'!$O$1:$V$30, SWITCH(B184, "Gelatos de Leite", 7, "Sorbets", 10, "Gelatos de Leite com Fruta", 13, "Chocolate base água", 16, "Vegano", 19, "Alcoólicos", 22, "Zero", 25, "Gelatos Proteicos", 28, 7), 8)) + (ROUND(P184,4) &gt; INDEX('Tabela de ingredientes'!$O$1:$V$30, SWITCH(B184, "Gelatos de Leite", 8, "Sorbets", 11, "Gelatos de Leite com Fruta", 14, "Chocolate base água", 17, "Vegano", 20, "Alcoólicos", 23, "Zero", 26, "Gelatos Proteicos", 29, 8), 8)) + IF(B184="Gelatos Proteicos", (ROUND(Q184,4)&lt;'Tabela de ingredientes'!$W$28)+(ROUND(Q184,4)&gt;'Tabela de ingredientes'!$W$29), 0) = 0, "Ok", "Revisar"))</f>
        <v>Ok</v>
      </c>
    </row>
    <row r="185">
      <c r="A185" s="39" t="str">
        <f>IFERROR(__xludf.DUMMYFUNCTION("""COMPUTED_VALUE"""),"Gelato de Oleaginosas / Pistache Proteico (Gelatos Proteicos)")</f>
        <v>Gelato de Oleaginosas / Pistache Proteico (Gelatos Proteicos)</v>
      </c>
      <c r="B185" s="39" t="s">
        <v>107</v>
      </c>
      <c r="C185" s="39">
        <v>8.0</v>
      </c>
      <c r="D185" s="39">
        <v>1004.0</v>
      </c>
      <c r="E185" s="39" t="s">
        <v>368</v>
      </c>
      <c r="F185" s="69">
        <v>40.016434262948216</v>
      </c>
      <c r="G185" s="69">
        <v>2.400986055776893</v>
      </c>
      <c r="H185" s="69">
        <v>55.47718068124854</v>
      </c>
      <c r="I185" s="59">
        <v>0.17968127490039842</v>
      </c>
      <c r="J185" s="59">
        <v>0.07110723771580346</v>
      </c>
      <c r="K185" s="59">
        <v>0.137367197875166</v>
      </c>
      <c r="L185" s="59">
        <v>0.03545816733067729</v>
      </c>
      <c r="M185" s="59">
        <v>0.4236138778220452</v>
      </c>
      <c r="N185" s="59">
        <v>0.5763861221779548</v>
      </c>
      <c r="O185" s="39">
        <v>176.95119521912355</v>
      </c>
      <c r="P185" s="39">
        <v>262.8486055776892</v>
      </c>
      <c r="Q185" s="59">
        <v>0.08777390438247012</v>
      </c>
      <c r="R185" s="39">
        <v>10.513944223107568</v>
      </c>
      <c r="S185" s="97" t="str">
        <f t="array" ref="S185">IF(A185="","", IF( (ROUND(I185,4) &lt; INDEX('Tabela de ingredientes'!$O$1:$V$30, SWITCH(B185, "Gelatos de Leite", 7, "Sorbets", 10, "Gelatos de Leite com Fruta", 13, "Chocolate base água", 16, "Vegano", 19, "Alcoólicos", 22, "Zero", 25, "Gelatos Proteicos", 28, 7), 1)) + (ROUND(I185,4) &gt; INDEX('Tabela de ingredientes'!$O$1:$V$30, SWITCH(B185, "Gelatos de Leite", 8, "Sorbets", 11, "Gelatos de Leite com Fruta", 14, "Chocolate base água", 17, "Vegano", 20, "Alcoólicos", 23, "Zero", 26, "Gelatos Proteicos", 29, 8), 1)) + (ROUND(J185,4) &lt; INDEX('Tabela de ingredientes'!$O$1:$V$30, SWITCH(B185, "Gelatos de Leite", 7, "Sorbets", 10, "Gelatos de Leite com Fruta", 13, "Chocolate base água", 16, "Vegano", 19, "Alcoólicos", 22, "Zero", 25, "Gelatos Proteicos", 28, 7), 2)) + (ROUND(J185,4) &gt; INDEX('Tabela de ingredientes'!$O$1:$V$30, SWITCH(B185, "Gelatos de Leite", 8, "Sorbets", 11, "Gelatos de Leite com Fruta", 14, "Chocolate base água", 17, "Vegano", 20, "Alcoólicos", 23, "Zero", 26, "Gelatos Proteicos", 29, 8), 2)) + (ROUND(K185,4) &lt; INDEX('Tabela de ingredientes'!$O$1:$V$30, SWITCH(B185, "Gelatos de Leite", 7, "Sorbets", 10, "Gelatos de Leite com Fruta", 13, "Chocolate base água", 16, "Vegano", 19, "Alcoólicos", 22, "Zero", 25, "Gelatos Proteicos", 28, 7), 3)) + (ROUND(K185,4) &gt; INDEX('Tabela de ingredientes'!$O$1:$V$30, SWITCH(B185, "Gelatos de Leite", 8, "Sorbets", 11, "Gelatos de Leite com Fruta", 14, "Chocolate base água", 17, "Vegano", 20, "Alcoólicos", 23, "Zero", 26, "Gelatos Proteicos", 29, 8), 3)) + (ROUND(L185,4) &lt; INDEX('Tabela de ingredientes'!$O$1:$V$30, SWITCH(B185, "Gelatos de Leite", 7, "Sorbets", 10, "Gelatos de Leite com Fruta", 13, "Chocolate base água", 16, "Vegano", 19, "Alcoólicos", 22, "Zero", 25, "Gelatos Proteicos", 28, 7), 4)) + (ROUND(L185,4) &gt; INDEX('Tabela de ingredientes'!$O$1:$V$30, SWITCH(B185, "Gelatos de Leite", 8, "Sorbets", 11, "Gelatos de Leite com Fruta", 14, "Chocolate base água", 17, "Vegano", 20, "Alcoólicos", 23, "Zero", 26, "Gelatos Proteicos", 29, 8), 4)) + (ROUND(M185,4) &lt; INDEX('Tabela de ingredientes'!$O$1:$V$30, SWITCH(B185, "Gelatos de Leite", 7, "Sorbets", 10, "Gelatos de Leite com Fruta", 13, "Chocolate base água", 16, "Vegano", 19, "Alcoólicos", 22, "Zero", 25, "Gelatos Proteicos", 28, 7), 5)) + (ROUND(M185,4) &gt; INDEX('Tabela de ingredientes'!$O$1:$V$30, SWITCH(B185, "Gelatos de Leite", 8, "Sorbets", 11, "Gelatos de Leite com Fruta", 14, "Chocolate base água", 17, "Vegano", 20, "Alcoólicos", 23, "Zero", 26, "Gelatos Proteicos", 29, 8), 5)) + (ROUND(N185,4) &lt; INDEX('Tabela de ingredientes'!$O$1:$V$30, SWITCH(B185, "Gelatos de Leite", 7, "Sorbets", 10, "Gelatos de Leite com Fruta", 13, "Chocolate base água", 16, "Vegano", 19, "Alcoólicos", 22, "Zero", 25, "Gelatos Proteicos", 28, 7), 6)) + (ROUND(N185,4) &gt; INDEX('Tabela de ingredientes'!$O$1:$V$30, SWITCH(B185, "Gelatos de Leite", 8, "Sorbets", 11, "Gelatos de Leite com Fruta", 14, "Chocolate base água", 17, "Vegano", 20, "Alcoólicos", 23, "Zero", 26, "Gelatos Proteicos", 29, 8), 6)) + (ROUND(O185,4) &lt; INDEX('Tabela de ingredientes'!$O$1:$V$30, SWITCH(B185, "Gelatos de Leite", 7, "Sorbets", 10, "Gelatos de Leite com Fruta", 13, "Chocolate base água", 16, "Vegano", 19, "Alcoólicos", 22, "Zero", 25, "Gelatos Proteicos", 28, 7), 7)) + (ROUND(O185,4) &gt; INDEX('Tabela de ingredientes'!$O$1:$V$30, SWITCH(B185, "Gelatos de Leite", 8, "Sorbets", 11, "Gelatos de Leite com Fruta", 14, "Chocolate base água", 17, "Vegano", 20, "Alcoólicos", 23, "Zero", 26, "Gelatos Proteicos", 29, 8), 7)) + (ROUND(P185,4) &lt; INDEX('Tabela de ingredientes'!$O$1:$V$30, SWITCH(B185, "Gelatos de Leite", 7, "Sorbets", 10, "Gelatos de Leite com Fruta", 13, "Chocolate base água", 16, "Vegano", 19, "Alcoólicos", 22, "Zero", 25, "Gelatos Proteicos", 28, 7), 8)) + (ROUND(P185,4) &gt; INDEX('Tabela de ingredientes'!$O$1:$V$30, SWITCH(B185, "Gelatos de Leite", 8, "Sorbets", 11, "Gelatos de Leite com Fruta", 14, "Chocolate base água", 17, "Vegano", 20, "Alcoólicos", 23, "Zero", 26, "Gelatos Proteicos", 29, 8), 8)) + IF(B185="Gelatos Proteicos", (ROUND(Q185,4)&lt;'Tabela de ingredientes'!$W$28)+(ROUND(Q185,4)&gt;'Tabela de ingredientes'!$W$29), 0) = 0, "Ok", "Revisar"))</f>
        <v>Revisar</v>
      </c>
    </row>
    <row r="186">
      <c r="A186" s="39" t="str">
        <f>IFERROR(__xludf.DUMMYFUNCTION("""COMPUTED_VALUE"""),"Gelato de Oleaginosas / Pistache Proteico s/ Açúcar (Gelatos Proteicos)")</f>
        <v>Gelato de Oleaginosas / Pistache Proteico s/ Açúcar (Gelatos Proteicos)</v>
      </c>
      <c r="B186" s="39" t="s">
        <v>107</v>
      </c>
      <c r="C186" s="39">
        <v>8.0</v>
      </c>
      <c r="D186" s="39">
        <v>1009.0</v>
      </c>
      <c r="E186" s="39" t="s">
        <v>649</v>
      </c>
      <c r="F186" s="69">
        <v>43.470267591674926</v>
      </c>
      <c r="G186" s="69">
        <v>2.6082160555004954</v>
      </c>
      <c r="H186" s="69">
        <v>58.33631423151899</v>
      </c>
      <c r="I186" s="59">
        <v>0.16214073339940535</v>
      </c>
      <c r="J186" s="59">
        <v>0.0707548728113644</v>
      </c>
      <c r="K186" s="59">
        <v>0.16072018500165178</v>
      </c>
      <c r="L186" s="59">
        <v>0.03528245787908821</v>
      </c>
      <c r="M186" s="59">
        <v>0.42889824909150975</v>
      </c>
      <c r="N186" s="59">
        <v>0.5711017509084902</v>
      </c>
      <c r="O186" s="39">
        <v>120.97026759167493</v>
      </c>
      <c r="P186" s="39">
        <v>284.8364717542121</v>
      </c>
      <c r="Q186" s="59">
        <v>0.09625867195242814</v>
      </c>
      <c r="R186" s="39">
        <v>11.393458870168484</v>
      </c>
      <c r="S186" s="97" t="str">
        <f t="array" ref="S186">IF(A186="","", IF( (ROUND(I186,4) &lt; INDEX('Tabela de ingredientes'!$O$1:$V$30, SWITCH(B186, "Gelatos de Leite", 7, "Sorbets", 10, "Gelatos de Leite com Fruta", 13, "Chocolate base água", 16, "Vegano", 19, "Alcoólicos", 22, "Zero", 25, "Gelatos Proteicos", 28, 7), 1)) + (ROUND(I186,4) &gt; INDEX('Tabela de ingredientes'!$O$1:$V$30, SWITCH(B186, "Gelatos de Leite", 8, "Sorbets", 11, "Gelatos de Leite com Fruta", 14, "Chocolate base água", 17, "Vegano", 20, "Alcoólicos", 23, "Zero", 26, "Gelatos Proteicos", 29, 8), 1)) + (ROUND(J186,4) &lt; INDEX('Tabela de ingredientes'!$O$1:$V$30, SWITCH(B186, "Gelatos de Leite", 7, "Sorbets", 10, "Gelatos de Leite com Fruta", 13, "Chocolate base água", 16, "Vegano", 19, "Alcoólicos", 22, "Zero", 25, "Gelatos Proteicos", 28, 7), 2)) + (ROUND(J186,4) &gt; INDEX('Tabela de ingredientes'!$O$1:$V$30, SWITCH(B186, "Gelatos de Leite", 8, "Sorbets", 11, "Gelatos de Leite com Fruta", 14, "Chocolate base água", 17, "Vegano", 20, "Alcoólicos", 23, "Zero", 26, "Gelatos Proteicos", 29, 8), 2)) + (ROUND(K186,4) &lt; INDEX('Tabela de ingredientes'!$O$1:$V$30, SWITCH(B186, "Gelatos de Leite", 7, "Sorbets", 10, "Gelatos de Leite com Fruta", 13, "Chocolate base água", 16, "Vegano", 19, "Alcoólicos", 22, "Zero", 25, "Gelatos Proteicos", 28, 7), 3)) + (ROUND(K186,4) &gt; INDEX('Tabela de ingredientes'!$O$1:$V$30, SWITCH(B186, "Gelatos de Leite", 8, "Sorbets", 11, "Gelatos de Leite com Fruta", 14, "Chocolate base água", 17, "Vegano", 20, "Alcoólicos", 23, "Zero", 26, "Gelatos Proteicos", 29, 8), 3)) + (ROUND(L186,4) &lt; INDEX('Tabela de ingredientes'!$O$1:$V$30, SWITCH(B186, "Gelatos de Leite", 7, "Sorbets", 10, "Gelatos de Leite com Fruta", 13, "Chocolate base água", 16, "Vegano", 19, "Alcoólicos", 22, "Zero", 25, "Gelatos Proteicos", 28, 7), 4)) + (ROUND(L186,4) &gt; INDEX('Tabela de ingredientes'!$O$1:$V$30, SWITCH(B186, "Gelatos de Leite", 8, "Sorbets", 11, "Gelatos de Leite com Fruta", 14, "Chocolate base água", 17, "Vegano", 20, "Alcoólicos", 23, "Zero", 26, "Gelatos Proteicos", 29, 8), 4)) + (ROUND(M186,4) &lt; INDEX('Tabela de ingredientes'!$O$1:$V$30, SWITCH(B186, "Gelatos de Leite", 7, "Sorbets", 10, "Gelatos de Leite com Fruta", 13, "Chocolate base água", 16, "Vegano", 19, "Alcoólicos", 22, "Zero", 25, "Gelatos Proteicos", 28, 7), 5)) + (ROUND(M186,4) &gt; INDEX('Tabela de ingredientes'!$O$1:$V$30, SWITCH(B186, "Gelatos de Leite", 8, "Sorbets", 11, "Gelatos de Leite com Fruta", 14, "Chocolate base água", 17, "Vegano", 20, "Alcoólicos", 23, "Zero", 26, "Gelatos Proteicos", 29, 8), 5)) + (ROUND(N186,4) &lt; INDEX('Tabela de ingredientes'!$O$1:$V$30, SWITCH(B186, "Gelatos de Leite", 7, "Sorbets", 10, "Gelatos de Leite com Fruta", 13, "Chocolate base água", 16, "Vegano", 19, "Alcoólicos", 22, "Zero", 25, "Gelatos Proteicos", 28, 7), 6)) + (ROUND(N186,4) &gt; INDEX('Tabela de ingredientes'!$O$1:$V$30, SWITCH(B186, "Gelatos de Leite", 8, "Sorbets", 11, "Gelatos de Leite com Fruta", 14, "Chocolate base água", 17, "Vegano", 20, "Alcoólicos", 23, "Zero", 26, "Gelatos Proteicos", 29, 8), 6)) + (ROUND(O186,4) &lt; INDEX('Tabela de ingredientes'!$O$1:$V$30, SWITCH(B186, "Gelatos de Leite", 7, "Sorbets", 10, "Gelatos de Leite com Fruta", 13, "Chocolate base água", 16, "Vegano", 19, "Alcoólicos", 22, "Zero", 25, "Gelatos Proteicos", 28, 7), 7)) + (ROUND(O186,4) &gt; INDEX('Tabela de ingredientes'!$O$1:$V$30, SWITCH(B186, "Gelatos de Leite", 8, "Sorbets", 11, "Gelatos de Leite com Fruta", 14, "Chocolate base água", 17, "Vegano", 20, "Alcoólicos", 23, "Zero", 26, "Gelatos Proteicos", 29, 8), 7)) + (ROUND(P186,4) &lt; INDEX('Tabela de ingredientes'!$O$1:$V$30, SWITCH(B186, "Gelatos de Leite", 7, "Sorbets", 10, "Gelatos de Leite com Fruta", 13, "Chocolate base água", 16, "Vegano", 19, "Alcoólicos", 22, "Zero", 25, "Gelatos Proteicos", 28, 7), 8)) + (ROUND(P186,4) &gt; INDEX('Tabela de ingredientes'!$O$1:$V$30, SWITCH(B186, "Gelatos de Leite", 8, "Sorbets", 11, "Gelatos de Leite com Fruta", 14, "Chocolate base água", 17, "Vegano", 20, "Alcoólicos", 23, "Zero", 26, "Gelatos Proteicos", 29, 8), 8)) + IF(B186="Gelatos Proteicos", (ROUND(Q186,4)&lt;'Tabela de ingredientes'!$W$28)+(ROUND(Q186,4)&gt;'Tabela de ingredientes'!$W$29), 0) = 0, "Ok", "Revisar"))</f>
        <v>Revisar</v>
      </c>
    </row>
    <row r="187">
      <c r="A187" s="39" t="str">
        <f>IFERROR(__xludf.DUMMYFUNCTION("""COMPUTED_VALUE"""),"Gelato de Oleaginosas / Pistache Proteico Redução Polióis (Gelatos Proteicos)")</f>
        <v>Gelato de Oleaginosas / Pistache Proteico Redução Polióis (Gelatos Proteicos)</v>
      </c>
      <c r="B187" s="39" t="s">
        <v>107</v>
      </c>
      <c r="C187" s="39">
        <v>9.0</v>
      </c>
      <c r="D187" s="39">
        <v>1006.0</v>
      </c>
      <c r="E187" s="39" t="s">
        <v>322</v>
      </c>
      <c r="F187" s="69">
        <v>45.105864811133195</v>
      </c>
      <c r="G187" s="69">
        <v>2.7063518886679914</v>
      </c>
      <c r="H187" s="69">
        <v>59.690285439679805</v>
      </c>
      <c r="I187" s="59">
        <v>0.058250497017892644</v>
      </c>
      <c r="J187" s="59">
        <v>0.07096587143803845</v>
      </c>
      <c r="K187" s="59">
        <v>0.16119946984758118</v>
      </c>
      <c r="L187" s="59">
        <v>0.13180914512922465</v>
      </c>
      <c r="M187" s="59">
        <v>0.4222249834327369</v>
      </c>
      <c r="N187" s="59">
        <v>0.577775016567263</v>
      </c>
      <c r="O187" s="39">
        <v>115.86381709741552</v>
      </c>
      <c r="P187" s="39">
        <v>276.73956262425446</v>
      </c>
      <c r="Q187" s="59">
        <v>0.09654572564612326</v>
      </c>
      <c r="R187" s="39">
        <v>11.069582504970178</v>
      </c>
      <c r="S187" s="97" t="str">
        <f t="array" ref="S187">IF(A187="","", IF( (ROUND(I187,4) &lt; INDEX('Tabela de ingredientes'!$O$1:$V$30, SWITCH(B187, "Gelatos de Leite", 7, "Sorbets", 10, "Gelatos de Leite com Fruta", 13, "Chocolate base água", 16, "Vegano", 19, "Alcoólicos", 22, "Zero", 25, "Gelatos Proteicos", 28, 7), 1)) + (ROUND(I187,4) &gt; INDEX('Tabela de ingredientes'!$O$1:$V$30, SWITCH(B187, "Gelatos de Leite", 8, "Sorbets", 11, "Gelatos de Leite com Fruta", 14, "Chocolate base água", 17, "Vegano", 20, "Alcoólicos", 23, "Zero", 26, "Gelatos Proteicos", 29, 8), 1)) + (ROUND(J187,4) &lt; INDEX('Tabela de ingredientes'!$O$1:$V$30, SWITCH(B187, "Gelatos de Leite", 7, "Sorbets", 10, "Gelatos de Leite com Fruta", 13, "Chocolate base água", 16, "Vegano", 19, "Alcoólicos", 22, "Zero", 25, "Gelatos Proteicos", 28, 7), 2)) + (ROUND(J187,4) &gt; INDEX('Tabela de ingredientes'!$O$1:$V$30, SWITCH(B187, "Gelatos de Leite", 8, "Sorbets", 11, "Gelatos de Leite com Fruta", 14, "Chocolate base água", 17, "Vegano", 20, "Alcoólicos", 23, "Zero", 26, "Gelatos Proteicos", 29, 8), 2)) + (ROUND(K187,4) &lt; INDEX('Tabela de ingredientes'!$O$1:$V$30, SWITCH(B187, "Gelatos de Leite", 7, "Sorbets", 10, "Gelatos de Leite com Fruta", 13, "Chocolate base água", 16, "Vegano", 19, "Alcoólicos", 22, "Zero", 25, "Gelatos Proteicos", 28, 7), 3)) + (ROUND(K187,4) &gt; INDEX('Tabela de ingredientes'!$O$1:$V$30, SWITCH(B187, "Gelatos de Leite", 8, "Sorbets", 11, "Gelatos de Leite com Fruta", 14, "Chocolate base água", 17, "Vegano", 20, "Alcoólicos", 23, "Zero", 26, "Gelatos Proteicos", 29, 8), 3)) + (ROUND(L187,4) &lt; INDEX('Tabela de ingredientes'!$O$1:$V$30, SWITCH(B187, "Gelatos de Leite", 7, "Sorbets", 10, "Gelatos de Leite com Fruta", 13, "Chocolate base água", 16, "Vegano", 19, "Alcoólicos", 22, "Zero", 25, "Gelatos Proteicos", 28, 7), 4)) + (ROUND(L187,4) &gt; INDEX('Tabela de ingredientes'!$O$1:$V$30, SWITCH(B187, "Gelatos de Leite", 8, "Sorbets", 11, "Gelatos de Leite com Fruta", 14, "Chocolate base água", 17, "Vegano", 20, "Alcoólicos", 23, "Zero", 26, "Gelatos Proteicos", 29, 8), 4)) + (ROUND(M187,4) &lt; INDEX('Tabela de ingredientes'!$O$1:$V$30, SWITCH(B187, "Gelatos de Leite", 7, "Sorbets", 10, "Gelatos de Leite com Fruta", 13, "Chocolate base água", 16, "Vegano", 19, "Alcoólicos", 22, "Zero", 25, "Gelatos Proteicos", 28, 7), 5)) + (ROUND(M187,4) &gt; INDEX('Tabela de ingredientes'!$O$1:$V$30, SWITCH(B187, "Gelatos de Leite", 8, "Sorbets", 11, "Gelatos de Leite com Fruta", 14, "Chocolate base água", 17, "Vegano", 20, "Alcoólicos", 23, "Zero", 26, "Gelatos Proteicos", 29, 8), 5)) + (ROUND(N187,4) &lt; INDEX('Tabela de ingredientes'!$O$1:$V$30, SWITCH(B187, "Gelatos de Leite", 7, "Sorbets", 10, "Gelatos de Leite com Fruta", 13, "Chocolate base água", 16, "Vegano", 19, "Alcoólicos", 22, "Zero", 25, "Gelatos Proteicos", 28, 7), 6)) + (ROUND(N187,4) &gt; INDEX('Tabela de ingredientes'!$O$1:$V$30, SWITCH(B187, "Gelatos de Leite", 8, "Sorbets", 11, "Gelatos de Leite com Fruta", 14, "Chocolate base água", 17, "Vegano", 20, "Alcoólicos", 23, "Zero", 26, "Gelatos Proteicos", 29, 8), 6)) + (ROUND(O187,4) &lt; INDEX('Tabela de ingredientes'!$O$1:$V$30, SWITCH(B187, "Gelatos de Leite", 7, "Sorbets", 10, "Gelatos de Leite com Fruta", 13, "Chocolate base água", 16, "Vegano", 19, "Alcoólicos", 22, "Zero", 25, "Gelatos Proteicos", 28, 7), 7)) + (ROUND(O187,4) &gt; INDEX('Tabela de ingredientes'!$O$1:$V$30, SWITCH(B187, "Gelatos de Leite", 8, "Sorbets", 11, "Gelatos de Leite com Fruta", 14, "Chocolate base água", 17, "Vegano", 20, "Alcoólicos", 23, "Zero", 26, "Gelatos Proteicos", 29, 8), 7)) + (ROUND(P187,4) &lt; INDEX('Tabela de ingredientes'!$O$1:$V$30, SWITCH(B187, "Gelatos de Leite", 7, "Sorbets", 10, "Gelatos de Leite com Fruta", 13, "Chocolate base água", 16, "Vegano", 19, "Alcoólicos", 22, "Zero", 25, "Gelatos Proteicos", 28, 7), 8)) + (ROUND(P187,4) &gt; INDEX('Tabela de ingredientes'!$O$1:$V$30, SWITCH(B187, "Gelatos de Leite", 8, "Sorbets", 11, "Gelatos de Leite com Fruta", 14, "Chocolate base água", 17, "Vegano", 20, "Alcoólicos", 23, "Zero", 26, "Gelatos Proteicos", 29, 8), 8)) + IF(B187="Gelatos Proteicos", (ROUND(Q187,4)&lt;'Tabela de ingredientes'!$W$28)+(ROUND(Q187,4)&gt;'Tabela de ingredientes'!$W$29), 0) = 0, "Ok", "Revisar"))</f>
        <v>Revisar</v>
      </c>
    </row>
    <row r="188">
      <c r="A188" s="39" t="str">
        <f>IFERROR(__xludf.DUMMYFUNCTION("""COMPUTED_VALUE"""),"Gelato de Frutas ao Leite Proteico - Banana (Gelatos Proteicos)")</f>
        <v>Gelato de Frutas ao Leite Proteico - Banana (Gelatos Proteicos)</v>
      </c>
      <c r="B188" s="39" t="s">
        <v>107</v>
      </c>
      <c r="C188" s="39">
        <v>8.0</v>
      </c>
      <c r="D188" s="39">
        <v>998.0</v>
      </c>
      <c r="E188" s="39" t="s">
        <v>657</v>
      </c>
      <c r="F188" s="69">
        <v>20.483967935871743</v>
      </c>
      <c r="G188" s="69">
        <v>1.2290380761523045</v>
      </c>
      <c r="H188" s="69">
        <v>39.30792047671503</v>
      </c>
      <c r="I188" s="59">
        <v>0.2032064128256513</v>
      </c>
      <c r="J188" s="59">
        <v>0.055369071476285905</v>
      </c>
      <c r="K188" s="59">
        <v>0.1427187708750835</v>
      </c>
      <c r="L188" s="59">
        <v>0.027555110220440885</v>
      </c>
      <c r="M188" s="59">
        <v>0.4288493653974616</v>
      </c>
      <c r="N188" s="59">
        <v>0.5711506346025383</v>
      </c>
      <c r="O188" s="39">
        <v>214.21543086172343</v>
      </c>
      <c r="P188" s="39">
        <v>313.5270541082164</v>
      </c>
      <c r="Q188" s="59">
        <v>0.08727955911823648</v>
      </c>
      <c r="R188" s="39">
        <v>12.541082164328657</v>
      </c>
      <c r="S188" s="97" t="str">
        <f t="array" ref="S188">IF(A188="","", IF( (ROUND(I188,4) &lt; INDEX('Tabela de ingredientes'!$O$1:$V$30, SWITCH(B188, "Gelatos de Leite", 7, "Sorbets", 10, "Gelatos de Leite com Fruta", 13, "Chocolate base água", 16, "Vegano", 19, "Alcoólicos", 22, "Zero", 25, "Gelatos Proteicos", 28, 7), 1)) + (ROUND(I188,4) &gt; INDEX('Tabela de ingredientes'!$O$1:$V$30, SWITCH(B188, "Gelatos de Leite", 8, "Sorbets", 11, "Gelatos de Leite com Fruta", 14, "Chocolate base água", 17, "Vegano", 20, "Alcoólicos", 23, "Zero", 26, "Gelatos Proteicos", 29, 8), 1)) + (ROUND(J188,4) &lt; INDEX('Tabela de ingredientes'!$O$1:$V$30, SWITCH(B188, "Gelatos de Leite", 7, "Sorbets", 10, "Gelatos de Leite com Fruta", 13, "Chocolate base água", 16, "Vegano", 19, "Alcoólicos", 22, "Zero", 25, "Gelatos Proteicos", 28, 7), 2)) + (ROUND(J188,4) &gt; INDEX('Tabela de ingredientes'!$O$1:$V$30, SWITCH(B188, "Gelatos de Leite", 8, "Sorbets", 11, "Gelatos de Leite com Fruta", 14, "Chocolate base água", 17, "Vegano", 20, "Alcoólicos", 23, "Zero", 26, "Gelatos Proteicos", 29, 8), 2)) + (ROUND(K188,4) &lt; INDEX('Tabela de ingredientes'!$O$1:$V$30, SWITCH(B188, "Gelatos de Leite", 7, "Sorbets", 10, "Gelatos de Leite com Fruta", 13, "Chocolate base água", 16, "Vegano", 19, "Alcoólicos", 22, "Zero", 25, "Gelatos Proteicos", 28, 7), 3)) + (ROUND(K188,4) &gt; INDEX('Tabela de ingredientes'!$O$1:$V$30, SWITCH(B188, "Gelatos de Leite", 8, "Sorbets", 11, "Gelatos de Leite com Fruta", 14, "Chocolate base água", 17, "Vegano", 20, "Alcoólicos", 23, "Zero", 26, "Gelatos Proteicos", 29, 8), 3)) + (ROUND(L188,4) &lt; INDEX('Tabela de ingredientes'!$O$1:$V$30, SWITCH(B188, "Gelatos de Leite", 7, "Sorbets", 10, "Gelatos de Leite com Fruta", 13, "Chocolate base água", 16, "Vegano", 19, "Alcoólicos", 22, "Zero", 25, "Gelatos Proteicos", 28, 7), 4)) + (ROUND(L188,4) &gt; INDEX('Tabela de ingredientes'!$O$1:$V$30, SWITCH(B188, "Gelatos de Leite", 8, "Sorbets", 11, "Gelatos de Leite com Fruta", 14, "Chocolate base água", 17, "Vegano", 20, "Alcoólicos", 23, "Zero", 26, "Gelatos Proteicos", 29, 8), 4)) + (ROUND(M188,4) &lt; INDEX('Tabela de ingredientes'!$O$1:$V$30, SWITCH(B188, "Gelatos de Leite", 7, "Sorbets", 10, "Gelatos de Leite com Fruta", 13, "Chocolate base água", 16, "Vegano", 19, "Alcoólicos", 22, "Zero", 25, "Gelatos Proteicos", 28, 7), 5)) + (ROUND(M188,4) &gt; INDEX('Tabela de ingredientes'!$O$1:$V$30, SWITCH(B188, "Gelatos de Leite", 8, "Sorbets", 11, "Gelatos de Leite com Fruta", 14, "Chocolate base água", 17, "Vegano", 20, "Alcoólicos", 23, "Zero", 26, "Gelatos Proteicos", 29, 8), 5)) + (ROUND(N188,4) &lt; INDEX('Tabela de ingredientes'!$O$1:$V$30, SWITCH(B188, "Gelatos de Leite", 7, "Sorbets", 10, "Gelatos de Leite com Fruta", 13, "Chocolate base água", 16, "Vegano", 19, "Alcoólicos", 22, "Zero", 25, "Gelatos Proteicos", 28, 7), 6)) + (ROUND(N188,4) &gt; INDEX('Tabela de ingredientes'!$O$1:$V$30, SWITCH(B188, "Gelatos de Leite", 8, "Sorbets", 11, "Gelatos de Leite com Fruta", 14, "Chocolate base água", 17, "Vegano", 20, "Alcoólicos", 23, "Zero", 26, "Gelatos Proteicos", 29, 8), 6)) + (ROUND(O188,4) &lt; INDEX('Tabela de ingredientes'!$O$1:$V$30, SWITCH(B188, "Gelatos de Leite", 7, "Sorbets", 10, "Gelatos de Leite com Fruta", 13, "Chocolate base água", 16, "Vegano", 19, "Alcoólicos", 22, "Zero", 25, "Gelatos Proteicos", 28, 7), 7)) + (ROUND(O188,4) &gt; INDEX('Tabela de ingredientes'!$O$1:$V$30, SWITCH(B188, "Gelatos de Leite", 8, "Sorbets", 11, "Gelatos de Leite com Fruta", 14, "Chocolate base água", 17, "Vegano", 20, "Alcoólicos", 23, "Zero", 26, "Gelatos Proteicos", 29, 8), 7)) + (ROUND(P188,4) &lt; INDEX('Tabela de ingredientes'!$O$1:$V$30, SWITCH(B188, "Gelatos de Leite", 7, "Sorbets", 10, "Gelatos de Leite com Fruta", 13, "Chocolate base água", 16, "Vegano", 19, "Alcoólicos", 22, "Zero", 25, "Gelatos Proteicos", 28, 7), 8)) + (ROUND(P188,4) &gt; INDEX('Tabela de ingredientes'!$O$1:$V$30, SWITCH(B188, "Gelatos de Leite", 8, "Sorbets", 11, "Gelatos de Leite com Fruta", 14, "Chocolate base água", 17, "Vegano", 20, "Alcoólicos", 23, "Zero", 26, "Gelatos Proteicos", 29, 8), 8)) + IF(B188="Gelatos Proteicos", (ROUND(Q188,4)&lt;'Tabela de ingredientes'!$W$28)+(ROUND(Q188,4)&gt;'Tabela de ingredientes'!$W$29), 0) = 0, "Ok", "Revisar"))</f>
        <v>Ok</v>
      </c>
    </row>
    <row r="189">
      <c r="A189" s="39" t="str">
        <f>IFERROR(__xludf.DUMMYFUNCTION("""COMPUTED_VALUE"""),"Gelato de Frutas ao Leite Proteico s/ Açúcar - Banana (Gelatos Proteicos)")</f>
        <v>Gelato de Frutas ao Leite Proteico s/ Açúcar - Banana (Gelatos Proteicos)</v>
      </c>
      <c r="B189" s="39" t="s">
        <v>107</v>
      </c>
      <c r="C189" s="39">
        <v>8.0</v>
      </c>
      <c r="D189" s="39">
        <v>998.0</v>
      </c>
      <c r="E189" s="39" t="s">
        <v>657</v>
      </c>
      <c r="F189" s="69">
        <v>22.66833667334669</v>
      </c>
      <c r="G189" s="69">
        <v>1.3601002004008014</v>
      </c>
      <c r="H189" s="69">
        <v>41.11617274283667</v>
      </c>
      <c r="I189" s="59">
        <v>0.20641282565130262</v>
      </c>
      <c r="J189" s="59">
        <v>0.055369071476285905</v>
      </c>
      <c r="K189" s="59">
        <v>0.1427187708750835</v>
      </c>
      <c r="L189" s="59">
        <v>0.027555110220440885</v>
      </c>
      <c r="M189" s="59">
        <v>0.4320557782231129</v>
      </c>
      <c r="N189" s="59">
        <v>0.5679442217768871</v>
      </c>
      <c r="O189" s="39">
        <v>179.54609218436875</v>
      </c>
      <c r="P189" s="39">
        <v>335.57114228456913</v>
      </c>
      <c r="Q189" s="59">
        <v>0.08727955911823648</v>
      </c>
      <c r="R189" s="39">
        <v>13.422845691382765</v>
      </c>
      <c r="S189" s="97" t="str">
        <f t="array" ref="S189">IF(A189="","", IF( (ROUND(I189,4) &lt; INDEX('Tabela de ingredientes'!$O$1:$V$30, SWITCH(B189, "Gelatos de Leite", 7, "Sorbets", 10, "Gelatos de Leite com Fruta", 13, "Chocolate base água", 16, "Vegano", 19, "Alcoólicos", 22, "Zero", 25, "Gelatos Proteicos", 28, 7), 1)) + (ROUND(I189,4) &gt; INDEX('Tabela de ingredientes'!$O$1:$V$30, SWITCH(B189, "Gelatos de Leite", 8, "Sorbets", 11, "Gelatos de Leite com Fruta", 14, "Chocolate base água", 17, "Vegano", 20, "Alcoólicos", 23, "Zero", 26, "Gelatos Proteicos", 29, 8), 1)) + (ROUND(J189,4) &lt; INDEX('Tabela de ingredientes'!$O$1:$V$30, SWITCH(B189, "Gelatos de Leite", 7, "Sorbets", 10, "Gelatos de Leite com Fruta", 13, "Chocolate base água", 16, "Vegano", 19, "Alcoólicos", 22, "Zero", 25, "Gelatos Proteicos", 28, 7), 2)) + (ROUND(J189,4) &gt; INDEX('Tabela de ingredientes'!$O$1:$V$30, SWITCH(B189, "Gelatos de Leite", 8, "Sorbets", 11, "Gelatos de Leite com Fruta", 14, "Chocolate base água", 17, "Vegano", 20, "Alcoólicos", 23, "Zero", 26, "Gelatos Proteicos", 29, 8), 2)) + (ROUND(K189,4) &lt; INDEX('Tabela de ingredientes'!$O$1:$V$30, SWITCH(B189, "Gelatos de Leite", 7, "Sorbets", 10, "Gelatos de Leite com Fruta", 13, "Chocolate base água", 16, "Vegano", 19, "Alcoólicos", 22, "Zero", 25, "Gelatos Proteicos", 28, 7), 3)) + (ROUND(K189,4) &gt; INDEX('Tabela de ingredientes'!$O$1:$V$30, SWITCH(B189, "Gelatos de Leite", 8, "Sorbets", 11, "Gelatos de Leite com Fruta", 14, "Chocolate base água", 17, "Vegano", 20, "Alcoólicos", 23, "Zero", 26, "Gelatos Proteicos", 29, 8), 3)) + (ROUND(L189,4) &lt; INDEX('Tabela de ingredientes'!$O$1:$V$30, SWITCH(B189, "Gelatos de Leite", 7, "Sorbets", 10, "Gelatos de Leite com Fruta", 13, "Chocolate base água", 16, "Vegano", 19, "Alcoólicos", 22, "Zero", 25, "Gelatos Proteicos", 28, 7), 4)) + (ROUND(L189,4) &gt; INDEX('Tabela de ingredientes'!$O$1:$V$30, SWITCH(B189, "Gelatos de Leite", 8, "Sorbets", 11, "Gelatos de Leite com Fruta", 14, "Chocolate base água", 17, "Vegano", 20, "Alcoólicos", 23, "Zero", 26, "Gelatos Proteicos", 29, 8), 4)) + (ROUND(M189,4) &lt; INDEX('Tabela de ingredientes'!$O$1:$V$30, SWITCH(B189, "Gelatos de Leite", 7, "Sorbets", 10, "Gelatos de Leite com Fruta", 13, "Chocolate base água", 16, "Vegano", 19, "Alcoólicos", 22, "Zero", 25, "Gelatos Proteicos", 28, 7), 5)) + (ROUND(M189,4) &gt; INDEX('Tabela de ingredientes'!$O$1:$V$30, SWITCH(B189, "Gelatos de Leite", 8, "Sorbets", 11, "Gelatos de Leite com Fruta", 14, "Chocolate base água", 17, "Vegano", 20, "Alcoólicos", 23, "Zero", 26, "Gelatos Proteicos", 29, 8), 5)) + (ROUND(N189,4) &lt; INDEX('Tabela de ingredientes'!$O$1:$V$30, SWITCH(B189, "Gelatos de Leite", 7, "Sorbets", 10, "Gelatos de Leite com Fruta", 13, "Chocolate base água", 16, "Vegano", 19, "Alcoólicos", 22, "Zero", 25, "Gelatos Proteicos", 28, 7), 6)) + (ROUND(N189,4) &gt; INDEX('Tabela de ingredientes'!$O$1:$V$30, SWITCH(B189, "Gelatos de Leite", 8, "Sorbets", 11, "Gelatos de Leite com Fruta", 14, "Chocolate base água", 17, "Vegano", 20, "Alcoólicos", 23, "Zero", 26, "Gelatos Proteicos", 29, 8), 6)) + (ROUND(O189,4) &lt; INDEX('Tabela de ingredientes'!$O$1:$V$30, SWITCH(B189, "Gelatos de Leite", 7, "Sorbets", 10, "Gelatos de Leite com Fruta", 13, "Chocolate base água", 16, "Vegano", 19, "Alcoólicos", 22, "Zero", 25, "Gelatos Proteicos", 28, 7), 7)) + (ROUND(O189,4) &gt; INDEX('Tabela de ingredientes'!$O$1:$V$30, SWITCH(B189, "Gelatos de Leite", 8, "Sorbets", 11, "Gelatos de Leite com Fruta", 14, "Chocolate base água", 17, "Vegano", 20, "Alcoólicos", 23, "Zero", 26, "Gelatos Proteicos", 29, 8), 7)) + (ROUND(P189,4) &lt; INDEX('Tabela de ingredientes'!$O$1:$V$30, SWITCH(B189, "Gelatos de Leite", 7, "Sorbets", 10, "Gelatos de Leite com Fruta", 13, "Chocolate base água", 16, "Vegano", 19, "Alcoólicos", 22, "Zero", 25, "Gelatos Proteicos", 28, 7), 8)) + (ROUND(P189,4) &gt; INDEX('Tabela de ingredientes'!$O$1:$V$30, SWITCH(B189, "Gelatos de Leite", 8, "Sorbets", 11, "Gelatos de Leite com Fruta", 14, "Chocolate base água", 17, "Vegano", 20, "Alcoólicos", 23, "Zero", 26, "Gelatos Proteicos", 29, 8), 8)) + IF(B189="Gelatos Proteicos", (ROUND(Q189,4)&lt;'Tabela de ingredientes'!$W$28)+(ROUND(Q189,4)&gt;'Tabela de ingredientes'!$W$29), 0) = 0, "Ok", "Revisar"))</f>
        <v>Revisar</v>
      </c>
    </row>
    <row r="190">
      <c r="A190" s="39" t="str">
        <f>IFERROR(__xludf.DUMMYFUNCTION("""COMPUTED_VALUE"""),"Gelato de Frutas ao Leite Proteico Redução Polióis - Banana (Gelatos Proteicos)")</f>
        <v>Gelato de Frutas ao Leite Proteico Redução Polióis - Banana (Gelatos Proteicos)</v>
      </c>
      <c r="B190" s="39" t="s">
        <v>107</v>
      </c>
      <c r="C190" s="39">
        <v>9.0</v>
      </c>
      <c r="D190" s="39">
        <v>1000.0</v>
      </c>
      <c r="E190" s="39" t="s">
        <v>171</v>
      </c>
      <c r="F190" s="69">
        <v>24.262999999999998</v>
      </c>
      <c r="G190" s="69">
        <v>1.4557799999999999</v>
      </c>
      <c r="H190" s="69">
        <v>42.4362582781457</v>
      </c>
      <c r="I190" s="59">
        <v>0.106</v>
      </c>
      <c r="J190" s="59">
        <v>0.05525833333333333</v>
      </c>
      <c r="K190" s="59">
        <v>0.14243333333333333</v>
      </c>
      <c r="L190" s="59">
        <v>0.1245</v>
      </c>
      <c r="M190" s="59">
        <v>0.4281916666666667</v>
      </c>
      <c r="N190" s="59">
        <v>0.5718083333333333</v>
      </c>
      <c r="O190" s="39">
        <v>177.187</v>
      </c>
      <c r="P190" s="39">
        <v>330.9</v>
      </c>
      <c r="Q190" s="59">
        <v>0.087105</v>
      </c>
      <c r="R190" s="39">
        <v>13.235999999999999</v>
      </c>
      <c r="S190" s="97" t="str">
        <f t="array" ref="S190">IF(A190="","", IF( (ROUND(I190,4) &lt; INDEX('Tabela de ingredientes'!$O$1:$V$30, SWITCH(B190, "Gelatos de Leite", 7, "Sorbets", 10, "Gelatos de Leite com Fruta", 13, "Chocolate base água", 16, "Vegano", 19, "Alcoólicos", 22, "Zero", 25, "Gelatos Proteicos", 28, 7), 1)) + (ROUND(I190,4) &gt; INDEX('Tabela de ingredientes'!$O$1:$V$30, SWITCH(B190, "Gelatos de Leite", 8, "Sorbets", 11, "Gelatos de Leite com Fruta", 14, "Chocolate base água", 17, "Vegano", 20, "Alcoólicos", 23, "Zero", 26, "Gelatos Proteicos", 29, 8), 1)) + (ROUND(J190,4) &lt; INDEX('Tabela de ingredientes'!$O$1:$V$30, SWITCH(B190, "Gelatos de Leite", 7, "Sorbets", 10, "Gelatos de Leite com Fruta", 13, "Chocolate base água", 16, "Vegano", 19, "Alcoólicos", 22, "Zero", 25, "Gelatos Proteicos", 28, 7), 2)) + (ROUND(J190,4) &gt; INDEX('Tabela de ingredientes'!$O$1:$V$30, SWITCH(B190, "Gelatos de Leite", 8, "Sorbets", 11, "Gelatos de Leite com Fruta", 14, "Chocolate base água", 17, "Vegano", 20, "Alcoólicos", 23, "Zero", 26, "Gelatos Proteicos", 29, 8), 2)) + (ROUND(K190,4) &lt; INDEX('Tabela de ingredientes'!$O$1:$V$30, SWITCH(B190, "Gelatos de Leite", 7, "Sorbets", 10, "Gelatos de Leite com Fruta", 13, "Chocolate base água", 16, "Vegano", 19, "Alcoólicos", 22, "Zero", 25, "Gelatos Proteicos", 28, 7), 3)) + (ROUND(K190,4) &gt; INDEX('Tabela de ingredientes'!$O$1:$V$30, SWITCH(B190, "Gelatos de Leite", 8, "Sorbets", 11, "Gelatos de Leite com Fruta", 14, "Chocolate base água", 17, "Vegano", 20, "Alcoólicos", 23, "Zero", 26, "Gelatos Proteicos", 29, 8), 3)) + (ROUND(L190,4) &lt; INDEX('Tabela de ingredientes'!$O$1:$V$30, SWITCH(B190, "Gelatos de Leite", 7, "Sorbets", 10, "Gelatos de Leite com Fruta", 13, "Chocolate base água", 16, "Vegano", 19, "Alcoólicos", 22, "Zero", 25, "Gelatos Proteicos", 28, 7), 4)) + (ROUND(L190,4) &gt; INDEX('Tabela de ingredientes'!$O$1:$V$30, SWITCH(B190, "Gelatos de Leite", 8, "Sorbets", 11, "Gelatos de Leite com Fruta", 14, "Chocolate base água", 17, "Vegano", 20, "Alcoólicos", 23, "Zero", 26, "Gelatos Proteicos", 29, 8), 4)) + (ROUND(M190,4) &lt; INDEX('Tabela de ingredientes'!$O$1:$V$30, SWITCH(B190, "Gelatos de Leite", 7, "Sorbets", 10, "Gelatos de Leite com Fruta", 13, "Chocolate base água", 16, "Vegano", 19, "Alcoólicos", 22, "Zero", 25, "Gelatos Proteicos", 28, 7), 5)) + (ROUND(M190,4) &gt; INDEX('Tabela de ingredientes'!$O$1:$V$30, SWITCH(B190, "Gelatos de Leite", 8, "Sorbets", 11, "Gelatos de Leite com Fruta", 14, "Chocolate base água", 17, "Vegano", 20, "Alcoólicos", 23, "Zero", 26, "Gelatos Proteicos", 29, 8), 5)) + (ROUND(N190,4) &lt; INDEX('Tabela de ingredientes'!$O$1:$V$30, SWITCH(B190, "Gelatos de Leite", 7, "Sorbets", 10, "Gelatos de Leite com Fruta", 13, "Chocolate base água", 16, "Vegano", 19, "Alcoólicos", 22, "Zero", 25, "Gelatos Proteicos", 28, 7), 6)) + (ROUND(N190,4) &gt; INDEX('Tabela de ingredientes'!$O$1:$V$30, SWITCH(B190, "Gelatos de Leite", 8, "Sorbets", 11, "Gelatos de Leite com Fruta", 14, "Chocolate base água", 17, "Vegano", 20, "Alcoólicos", 23, "Zero", 26, "Gelatos Proteicos", 29, 8), 6)) + (ROUND(O190,4) &lt; INDEX('Tabela de ingredientes'!$O$1:$V$30, SWITCH(B190, "Gelatos de Leite", 7, "Sorbets", 10, "Gelatos de Leite com Fruta", 13, "Chocolate base água", 16, "Vegano", 19, "Alcoólicos", 22, "Zero", 25, "Gelatos Proteicos", 28, 7), 7)) + (ROUND(O190,4) &gt; INDEX('Tabela de ingredientes'!$O$1:$V$30, SWITCH(B190, "Gelatos de Leite", 8, "Sorbets", 11, "Gelatos de Leite com Fruta", 14, "Chocolate base água", 17, "Vegano", 20, "Alcoólicos", 23, "Zero", 26, "Gelatos Proteicos", 29, 8), 7)) + (ROUND(P190,4) &lt; INDEX('Tabela de ingredientes'!$O$1:$V$30, SWITCH(B190, "Gelatos de Leite", 7, "Sorbets", 10, "Gelatos de Leite com Fruta", 13, "Chocolate base água", 16, "Vegano", 19, "Alcoólicos", 22, "Zero", 25, "Gelatos Proteicos", 28, 7), 8)) + (ROUND(P190,4) &gt; INDEX('Tabela de ingredientes'!$O$1:$V$30, SWITCH(B190, "Gelatos de Leite", 8, "Sorbets", 11, "Gelatos de Leite com Fruta", 14, "Chocolate base água", 17, "Vegano", 20, "Alcoólicos", 23, "Zero", 26, "Gelatos Proteicos", 29, 8), 8)) + IF(B190="Gelatos Proteicos", (ROUND(Q190,4)&lt;'Tabela de ingredientes'!$W$28)+(ROUND(Q190,4)&gt;'Tabela de ingredientes'!$W$29), 0) = 0, "Ok", "Revisar"))</f>
        <v>Ok</v>
      </c>
    </row>
    <row r="191">
      <c r="A191" s="39"/>
      <c r="B191" s="39" t="s">
        <v>187</v>
      </c>
      <c r="C191" s="39" t="s">
        <v>187</v>
      </c>
      <c r="D191" s="39" t="s">
        <v>187</v>
      </c>
      <c r="E191" s="39" t="s">
        <v>187</v>
      </c>
      <c r="F191" s="69" t="s">
        <v>187</v>
      </c>
      <c r="G191" s="69" t="s">
        <v>187</v>
      </c>
      <c r="H191" s="69" t="s">
        <v>187</v>
      </c>
      <c r="I191" s="59" t="s">
        <v>187</v>
      </c>
      <c r="J191" s="59" t="s">
        <v>187</v>
      </c>
      <c r="K191" s="59" t="s">
        <v>187</v>
      </c>
      <c r="L191" s="59" t="s">
        <v>187</v>
      </c>
      <c r="M191" s="59" t="s">
        <v>187</v>
      </c>
      <c r="N191" s="59" t="s">
        <v>187</v>
      </c>
      <c r="O191" s="39" t="s">
        <v>187</v>
      </c>
      <c r="P191" s="39" t="s">
        <v>187</v>
      </c>
      <c r="Q191" s="59" t="s">
        <v>187</v>
      </c>
      <c r="R191" s="39" t="s">
        <v>187</v>
      </c>
      <c r="S191" s="97" t="str">
        <f t="array" ref="S191">IF(A191="","", IF( (ROUND(I191,4) &lt; INDEX('Tabela de ingredientes'!$O$1:$V$30, SWITCH(B191, "Gelatos de Leite", 7, "Sorbets", 10, "Gelatos de Leite com Fruta", 13, "Chocolate base água", 16, "Vegano", 19, "Alcoólicos", 22, "Zero", 25, "Gelatos Proteicos", 28, 7), 1)) + (ROUND(I191,4) &gt; INDEX('Tabela de ingredientes'!$O$1:$V$30, SWITCH(B191, "Gelatos de Leite", 8, "Sorbets", 11, "Gelatos de Leite com Fruta", 14, "Chocolate base água", 17, "Vegano", 20, "Alcoólicos", 23, "Zero", 26, "Gelatos Proteicos", 29, 8), 1)) + (ROUND(J191,4) &lt; INDEX('Tabela de ingredientes'!$O$1:$V$30, SWITCH(B191, "Gelatos de Leite", 7, "Sorbets", 10, "Gelatos de Leite com Fruta", 13, "Chocolate base água", 16, "Vegano", 19, "Alcoólicos", 22, "Zero", 25, "Gelatos Proteicos", 28, 7), 2)) + (ROUND(J191,4) &gt; INDEX('Tabela de ingredientes'!$O$1:$V$30, SWITCH(B191, "Gelatos de Leite", 8, "Sorbets", 11, "Gelatos de Leite com Fruta", 14, "Chocolate base água", 17, "Vegano", 20, "Alcoólicos", 23, "Zero", 26, "Gelatos Proteicos", 29, 8), 2)) + (ROUND(K191,4) &lt; INDEX('Tabela de ingredientes'!$O$1:$V$30, SWITCH(B191, "Gelatos de Leite", 7, "Sorbets", 10, "Gelatos de Leite com Fruta", 13, "Chocolate base água", 16, "Vegano", 19, "Alcoólicos", 22, "Zero", 25, "Gelatos Proteicos", 28, 7), 3)) + (ROUND(K191,4) &gt; INDEX('Tabela de ingredientes'!$O$1:$V$30, SWITCH(B191, "Gelatos de Leite", 8, "Sorbets", 11, "Gelatos de Leite com Fruta", 14, "Chocolate base água", 17, "Vegano", 20, "Alcoólicos", 23, "Zero", 26, "Gelatos Proteicos", 29, 8), 3)) + (ROUND(L191,4) &lt; INDEX('Tabela de ingredientes'!$O$1:$V$30, SWITCH(B191, "Gelatos de Leite", 7, "Sorbets", 10, "Gelatos de Leite com Fruta", 13, "Chocolate base água", 16, "Vegano", 19, "Alcoólicos", 22, "Zero", 25, "Gelatos Proteicos", 28, 7), 4)) + (ROUND(L191,4) &gt; INDEX('Tabela de ingredientes'!$O$1:$V$30, SWITCH(B191, "Gelatos de Leite", 8, "Sorbets", 11, "Gelatos de Leite com Fruta", 14, "Chocolate base água", 17, "Vegano", 20, "Alcoólicos", 23, "Zero", 26, "Gelatos Proteicos", 29, 8), 4)) + (ROUND(M191,4) &lt; INDEX('Tabela de ingredientes'!$O$1:$V$30, SWITCH(B191, "Gelatos de Leite", 7, "Sorbets", 10, "Gelatos de Leite com Fruta", 13, "Chocolate base água", 16, "Vegano", 19, "Alcoólicos", 22, "Zero", 25, "Gelatos Proteicos", 28, 7), 5)) + (ROUND(M191,4) &gt; INDEX('Tabela de ingredientes'!$O$1:$V$30, SWITCH(B191, "Gelatos de Leite", 8, "Sorbets", 11, "Gelatos de Leite com Fruta", 14, "Chocolate base água", 17, "Vegano", 20, "Alcoólicos", 23, "Zero", 26, "Gelatos Proteicos", 29, 8), 5)) + (ROUND(N191,4) &lt; INDEX('Tabela de ingredientes'!$O$1:$V$30, SWITCH(B191, "Gelatos de Leite", 7, "Sorbets", 10, "Gelatos de Leite com Fruta", 13, "Chocolate base água", 16, "Vegano", 19, "Alcoólicos", 22, "Zero", 25, "Gelatos Proteicos", 28, 7), 6)) + (ROUND(N191,4) &gt; INDEX('Tabela de ingredientes'!$O$1:$V$30, SWITCH(B191, "Gelatos de Leite", 8, "Sorbets", 11, "Gelatos de Leite com Fruta", 14, "Chocolate base água", 17, "Vegano", 20, "Alcoólicos", 23, "Zero", 26, "Gelatos Proteicos", 29, 8), 6)) + (ROUND(O191,4) &lt; INDEX('Tabela de ingredientes'!$O$1:$V$30, SWITCH(B191, "Gelatos de Leite", 7, "Sorbets", 10, "Gelatos de Leite com Fruta", 13, "Chocolate base água", 16, "Vegano", 19, "Alcoólicos", 22, "Zero", 25, "Gelatos Proteicos", 28, 7), 7)) + (ROUND(O191,4) &gt; INDEX('Tabela de ingredientes'!$O$1:$V$30, SWITCH(B191, "Gelatos de Leite", 8, "Sorbets", 11, "Gelatos de Leite com Fruta", 14, "Chocolate base água", 17, "Vegano", 20, "Alcoólicos", 23, "Zero", 26, "Gelatos Proteicos", 29, 8), 7)) + (ROUND(P191,4) &lt; INDEX('Tabela de ingredientes'!$O$1:$V$30, SWITCH(B191, "Gelatos de Leite", 7, "Sorbets", 10, "Gelatos de Leite com Fruta", 13, "Chocolate base água", 16, "Vegano", 19, "Alcoólicos", 22, "Zero", 25, "Gelatos Proteicos", 28, 7), 8)) + (ROUND(P191,4) &gt; INDEX('Tabela de ingredientes'!$O$1:$V$30, SWITCH(B191, "Gelatos de Leite", 8, "Sorbets", 11, "Gelatos de Leite com Fruta", 14, "Chocolate base água", 17, "Vegano", 20, "Alcoólicos", 23, "Zero", 26, "Gelatos Proteicos", 29, 8), 8)) + IF(B191="Gelatos Proteicos", (ROUND(Q191,4)&lt;'Tabela de ingredientes'!$W$28)+(ROUND(Q191,4)&gt;'Tabela de ingredientes'!$W$29), 0) = 0, "Ok", "Revisar"))</f>
        <v/>
      </c>
    </row>
    <row r="192">
      <c r="A192" s="39"/>
      <c r="B192" s="39" t="s">
        <v>187</v>
      </c>
      <c r="C192" s="39" t="s">
        <v>187</v>
      </c>
      <c r="D192" s="39" t="s">
        <v>187</v>
      </c>
      <c r="E192" s="39" t="s">
        <v>187</v>
      </c>
      <c r="F192" s="69" t="s">
        <v>187</v>
      </c>
      <c r="G192" s="69" t="s">
        <v>187</v>
      </c>
      <c r="H192" s="69" t="s">
        <v>187</v>
      </c>
      <c r="I192" s="59" t="s">
        <v>187</v>
      </c>
      <c r="J192" s="59" t="s">
        <v>187</v>
      </c>
      <c r="K192" s="59" t="s">
        <v>187</v>
      </c>
      <c r="L192" s="59" t="s">
        <v>187</v>
      </c>
      <c r="M192" s="59" t="s">
        <v>187</v>
      </c>
      <c r="N192" s="59" t="s">
        <v>187</v>
      </c>
      <c r="O192" s="39" t="s">
        <v>187</v>
      </c>
      <c r="P192" s="39" t="s">
        <v>187</v>
      </c>
      <c r="Q192" s="59" t="s">
        <v>187</v>
      </c>
      <c r="R192" s="39" t="s">
        <v>187</v>
      </c>
      <c r="S192" s="97" t="str">
        <f t="array" ref="S192">IF(A192="","", IF( (ROUND(I192,4) &lt; INDEX('Tabela de ingredientes'!$O$1:$V$30, SWITCH(B192, "Gelatos de Leite", 7, "Sorbets", 10, "Gelatos de Leite com Fruta", 13, "Chocolate base água", 16, "Vegano", 19, "Alcoólicos", 22, "Zero", 25, "Gelatos Proteicos", 28, 7), 1)) + (ROUND(I192,4) &gt; INDEX('Tabela de ingredientes'!$O$1:$V$30, SWITCH(B192, "Gelatos de Leite", 8, "Sorbets", 11, "Gelatos de Leite com Fruta", 14, "Chocolate base água", 17, "Vegano", 20, "Alcoólicos", 23, "Zero", 26, "Gelatos Proteicos", 29, 8), 1)) + (ROUND(J192,4) &lt; INDEX('Tabela de ingredientes'!$O$1:$V$30, SWITCH(B192, "Gelatos de Leite", 7, "Sorbets", 10, "Gelatos de Leite com Fruta", 13, "Chocolate base água", 16, "Vegano", 19, "Alcoólicos", 22, "Zero", 25, "Gelatos Proteicos", 28, 7), 2)) + (ROUND(J192,4) &gt; INDEX('Tabela de ingredientes'!$O$1:$V$30, SWITCH(B192, "Gelatos de Leite", 8, "Sorbets", 11, "Gelatos de Leite com Fruta", 14, "Chocolate base água", 17, "Vegano", 20, "Alcoólicos", 23, "Zero", 26, "Gelatos Proteicos", 29, 8), 2)) + (ROUND(K192,4) &lt; INDEX('Tabela de ingredientes'!$O$1:$V$30, SWITCH(B192, "Gelatos de Leite", 7, "Sorbets", 10, "Gelatos de Leite com Fruta", 13, "Chocolate base água", 16, "Vegano", 19, "Alcoólicos", 22, "Zero", 25, "Gelatos Proteicos", 28, 7), 3)) + (ROUND(K192,4) &gt; INDEX('Tabela de ingredientes'!$O$1:$V$30, SWITCH(B192, "Gelatos de Leite", 8, "Sorbets", 11, "Gelatos de Leite com Fruta", 14, "Chocolate base água", 17, "Vegano", 20, "Alcoólicos", 23, "Zero", 26, "Gelatos Proteicos", 29, 8), 3)) + (ROUND(L192,4) &lt; INDEX('Tabela de ingredientes'!$O$1:$V$30, SWITCH(B192, "Gelatos de Leite", 7, "Sorbets", 10, "Gelatos de Leite com Fruta", 13, "Chocolate base água", 16, "Vegano", 19, "Alcoólicos", 22, "Zero", 25, "Gelatos Proteicos", 28, 7), 4)) + (ROUND(L192,4) &gt; INDEX('Tabela de ingredientes'!$O$1:$V$30, SWITCH(B192, "Gelatos de Leite", 8, "Sorbets", 11, "Gelatos de Leite com Fruta", 14, "Chocolate base água", 17, "Vegano", 20, "Alcoólicos", 23, "Zero", 26, "Gelatos Proteicos", 29, 8), 4)) + (ROUND(M192,4) &lt; INDEX('Tabela de ingredientes'!$O$1:$V$30, SWITCH(B192, "Gelatos de Leite", 7, "Sorbets", 10, "Gelatos de Leite com Fruta", 13, "Chocolate base água", 16, "Vegano", 19, "Alcoólicos", 22, "Zero", 25, "Gelatos Proteicos", 28, 7), 5)) + (ROUND(M192,4) &gt; INDEX('Tabela de ingredientes'!$O$1:$V$30, SWITCH(B192, "Gelatos de Leite", 8, "Sorbets", 11, "Gelatos de Leite com Fruta", 14, "Chocolate base água", 17, "Vegano", 20, "Alcoólicos", 23, "Zero", 26, "Gelatos Proteicos", 29, 8), 5)) + (ROUND(N192,4) &lt; INDEX('Tabela de ingredientes'!$O$1:$V$30, SWITCH(B192, "Gelatos de Leite", 7, "Sorbets", 10, "Gelatos de Leite com Fruta", 13, "Chocolate base água", 16, "Vegano", 19, "Alcoólicos", 22, "Zero", 25, "Gelatos Proteicos", 28, 7), 6)) + (ROUND(N192,4) &gt; INDEX('Tabela de ingredientes'!$O$1:$V$30, SWITCH(B192, "Gelatos de Leite", 8, "Sorbets", 11, "Gelatos de Leite com Fruta", 14, "Chocolate base água", 17, "Vegano", 20, "Alcoólicos", 23, "Zero", 26, "Gelatos Proteicos", 29, 8), 6)) + (ROUND(O192,4) &lt; INDEX('Tabela de ingredientes'!$O$1:$V$30, SWITCH(B192, "Gelatos de Leite", 7, "Sorbets", 10, "Gelatos de Leite com Fruta", 13, "Chocolate base água", 16, "Vegano", 19, "Alcoólicos", 22, "Zero", 25, "Gelatos Proteicos", 28, 7), 7)) + (ROUND(O192,4) &gt; INDEX('Tabela de ingredientes'!$O$1:$V$30, SWITCH(B192, "Gelatos de Leite", 8, "Sorbets", 11, "Gelatos de Leite com Fruta", 14, "Chocolate base água", 17, "Vegano", 20, "Alcoólicos", 23, "Zero", 26, "Gelatos Proteicos", 29, 8), 7)) + (ROUND(P192,4) &lt; INDEX('Tabela de ingredientes'!$O$1:$V$30, SWITCH(B192, "Gelatos de Leite", 7, "Sorbets", 10, "Gelatos de Leite com Fruta", 13, "Chocolate base água", 16, "Vegano", 19, "Alcoólicos", 22, "Zero", 25, "Gelatos Proteicos", 28, 7), 8)) + (ROUND(P192,4) &gt; INDEX('Tabela de ingredientes'!$O$1:$V$30, SWITCH(B192, "Gelatos de Leite", 8, "Sorbets", 11, "Gelatos de Leite com Fruta", 14, "Chocolate base água", 17, "Vegano", 20, "Alcoólicos", 23, "Zero", 26, "Gelatos Proteicos", 29, 8), 8)) + IF(B192="Gelatos Proteicos", (ROUND(Q192,4)&lt;'Tabela de ingredientes'!$W$28)+(ROUND(Q192,4)&gt;'Tabela de ingredientes'!$W$29), 0) = 0, "Ok", "Revisar"))</f>
        <v/>
      </c>
    </row>
    <row r="193">
      <c r="A193" s="39"/>
      <c r="B193" s="39" t="s">
        <v>187</v>
      </c>
      <c r="C193" s="39" t="s">
        <v>187</v>
      </c>
      <c r="D193" s="39" t="s">
        <v>187</v>
      </c>
      <c r="E193" s="39" t="s">
        <v>187</v>
      </c>
      <c r="F193" s="69" t="s">
        <v>187</v>
      </c>
      <c r="G193" s="69" t="s">
        <v>187</v>
      </c>
      <c r="H193" s="69" t="s">
        <v>187</v>
      </c>
      <c r="I193" s="59" t="s">
        <v>187</v>
      </c>
      <c r="J193" s="59" t="s">
        <v>187</v>
      </c>
      <c r="K193" s="59" t="s">
        <v>187</v>
      </c>
      <c r="L193" s="59" t="s">
        <v>187</v>
      </c>
      <c r="M193" s="59" t="s">
        <v>187</v>
      </c>
      <c r="N193" s="59" t="s">
        <v>187</v>
      </c>
      <c r="O193" s="39" t="s">
        <v>187</v>
      </c>
      <c r="P193" s="39" t="s">
        <v>187</v>
      </c>
      <c r="Q193" s="59" t="s">
        <v>187</v>
      </c>
      <c r="R193" s="39" t="s">
        <v>187</v>
      </c>
      <c r="S193" s="97" t="str">
        <f t="array" ref="S193">IF(A193="","", IF( (ROUND(I193,4) &lt; INDEX('Tabela de ingredientes'!$O$1:$V$30, SWITCH(B193, "Gelatos de Leite", 7, "Sorbets", 10, "Gelatos de Leite com Fruta", 13, "Chocolate base água", 16, "Vegano", 19, "Alcoólicos", 22, "Zero", 25, "Gelatos Proteicos", 28, 7), 1)) + (ROUND(I193,4) &gt; INDEX('Tabela de ingredientes'!$O$1:$V$30, SWITCH(B193, "Gelatos de Leite", 8, "Sorbets", 11, "Gelatos de Leite com Fruta", 14, "Chocolate base água", 17, "Vegano", 20, "Alcoólicos", 23, "Zero", 26, "Gelatos Proteicos", 29, 8), 1)) + (ROUND(J193,4) &lt; INDEX('Tabela de ingredientes'!$O$1:$V$30, SWITCH(B193, "Gelatos de Leite", 7, "Sorbets", 10, "Gelatos de Leite com Fruta", 13, "Chocolate base água", 16, "Vegano", 19, "Alcoólicos", 22, "Zero", 25, "Gelatos Proteicos", 28, 7), 2)) + (ROUND(J193,4) &gt; INDEX('Tabela de ingredientes'!$O$1:$V$30, SWITCH(B193, "Gelatos de Leite", 8, "Sorbets", 11, "Gelatos de Leite com Fruta", 14, "Chocolate base água", 17, "Vegano", 20, "Alcoólicos", 23, "Zero", 26, "Gelatos Proteicos", 29, 8), 2)) + (ROUND(K193,4) &lt; INDEX('Tabela de ingredientes'!$O$1:$V$30, SWITCH(B193, "Gelatos de Leite", 7, "Sorbets", 10, "Gelatos de Leite com Fruta", 13, "Chocolate base água", 16, "Vegano", 19, "Alcoólicos", 22, "Zero", 25, "Gelatos Proteicos", 28, 7), 3)) + (ROUND(K193,4) &gt; INDEX('Tabela de ingredientes'!$O$1:$V$30, SWITCH(B193, "Gelatos de Leite", 8, "Sorbets", 11, "Gelatos de Leite com Fruta", 14, "Chocolate base água", 17, "Vegano", 20, "Alcoólicos", 23, "Zero", 26, "Gelatos Proteicos", 29, 8), 3)) + (ROUND(L193,4) &lt; INDEX('Tabela de ingredientes'!$O$1:$V$30, SWITCH(B193, "Gelatos de Leite", 7, "Sorbets", 10, "Gelatos de Leite com Fruta", 13, "Chocolate base água", 16, "Vegano", 19, "Alcoólicos", 22, "Zero", 25, "Gelatos Proteicos", 28, 7), 4)) + (ROUND(L193,4) &gt; INDEX('Tabela de ingredientes'!$O$1:$V$30, SWITCH(B193, "Gelatos de Leite", 8, "Sorbets", 11, "Gelatos de Leite com Fruta", 14, "Chocolate base água", 17, "Vegano", 20, "Alcoólicos", 23, "Zero", 26, "Gelatos Proteicos", 29, 8), 4)) + (ROUND(M193,4) &lt; INDEX('Tabela de ingredientes'!$O$1:$V$30, SWITCH(B193, "Gelatos de Leite", 7, "Sorbets", 10, "Gelatos de Leite com Fruta", 13, "Chocolate base água", 16, "Vegano", 19, "Alcoólicos", 22, "Zero", 25, "Gelatos Proteicos", 28, 7), 5)) + (ROUND(M193,4) &gt; INDEX('Tabela de ingredientes'!$O$1:$V$30, SWITCH(B193, "Gelatos de Leite", 8, "Sorbets", 11, "Gelatos de Leite com Fruta", 14, "Chocolate base água", 17, "Vegano", 20, "Alcoólicos", 23, "Zero", 26, "Gelatos Proteicos", 29, 8), 5)) + (ROUND(N193,4) &lt; INDEX('Tabela de ingredientes'!$O$1:$V$30, SWITCH(B193, "Gelatos de Leite", 7, "Sorbets", 10, "Gelatos de Leite com Fruta", 13, "Chocolate base água", 16, "Vegano", 19, "Alcoólicos", 22, "Zero", 25, "Gelatos Proteicos", 28, 7), 6)) + (ROUND(N193,4) &gt; INDEX('Tabela de ingredientes'!$O$1:$V$30, SWITCH(B193, "Gelatos de Leite", 8, "Sorbets", 11, "Gelatos de Leite com Fruta", 14, "Chocolate base água", 17, "Vegano", 20, "Alcoólicos", 23, "Zero", 26, "Gelatos Proteicos", 29, 8), 6)) + (ROUND(O193,4) &lt; INDEX('Tabela de ingredientes'!$O$1:$V$30, SWITCH(B193, "Gelatos de Leite", 7, "Sorbets", 10, "Gelatos de Leite com Fruta", 13, "Chocolate base água", 16, "Vegano", 19, "Alcoólicos", 22, "Zero", 25, "Gelatos Proteicos", 28, 7), 7)) + (ROUND(O193,4) &gt; INDEX('Tabela de ingredientes'!$O$1:$V$30, SWITCH(B193, "Gelatos de Leite", 8, "Sorbets", 11, "Gelatos de Leite com Fruta", 14, "Chocolate base água", 17, "Vegano", 20, "Alcoólicos", 23, "Zero", 26, "Gelatos Proteicos", 29, 8), 7)) + (ROUND(P193,4) &lt; INDEX('Tabela de ingredientes'!$O$1:$V$30, SWITCH(B193, "Gelatos de Leite", 7, "Sorbets", 10, "Gelatos de Leite com Fruta", 13, "Chocolate base água", 16, "Vegano", 19, "Alcoólicos", 22, "Zero", 25, "Gelatos Proteicos", 28, 7), 8)) + (ROUND(P193,4) &gt; INDEX('Tabela de ingredientes'!$O$1:$V$30, SWITCH(B193, "Gelatos de Leite", 8, "Sorbets", 11, "Gelatos de Leite com Fruta", 14, "Chocolate base água", 17, "Vegano", 20, "Alcoólicos", 23, "Zero", 26, "Gelatos Proteicos", 29, 8), 8)) + IF(B193="Gelatos Proteicos", (ROUND(Q193,4)&lt;'Tabela de ingredientes'!$W$28)+(ROUND(Q193,4)&gt;'Tabela de ingredientes'!$W$29), 0) = 0, "Ok", "Revisar"))</f>
        <v/>
      </c>
    </row>
    <row r="194">
      <c r="A194" s="39"/>
      <c r="B194" s="39" t="s">
        <v>187</v>
      </c>
      <c r="C194" s="39" t="s">
        <v>187</v>
      </c>
      <c r="D194" s="39" t="s">
        <v>187</v>
      </c>
      <c r="E194" s="39" t="s">
        <v>187</v>
      </c>
      <c r="F194" s="69" t="s">
        <v>187</v>
      </c>
      <c r="G194" s="69" t="s">
        <v>187</v>
      </c>
      <c r="H194" s="69" t="s">
        <v>187</v>
      </c>
      <c r="I194" s="59" t="s">
        <v>187</v>
      </c>
      <c r="J194" s="59" t="s">
        <v>187</v>
      </c>
      <c r="K194" s="59" t="s">
        <v>187</v>
      </c>
      <c r="L194" s="59" t="s">
        <v>187</v>
      </c>
      <c r="M194" s="59" t="s">
        <v>187</v>
      </c>
      <c r="N194" s="59" t="s">
        <v>187</v>
      </c>
      <c r="O194" s="39" t="s">
        <v>187</v>
      </c>
      <c r="P194" s="39" t="s">
        <v>187</v>
      </c>
      <c r="Q194" s="59" t="s">
        <v>187</v>
      </c>
      <c r="R194" s="39" t="s">
        <v>187</v>
      </c>
      <c r="S194" s="97" t="str">
        <f t="array" ref="S194">IF(A194="","", IF( (ROUND(I194,4) &lt; INDEX('Tabela de ingredientes'!$O$1:$V$30, SWITCH(B194, "Gelatos de Leite", 7, "Sorbets", 10, "Gelatos de Leite com Fruta", 13, "Chocolate base água", 16, "Vegano", 19, "Alcoólicos", 22, "Zero", 25, "Gelatos Proteicos", 28, 7), 1)) + (ROUND(I194,4) &gt; INDEX('Tabela de ingredientes'!$O$1:$V$30, SWITCH(B194, "Gelatos de Leite", 8, "Sorbets", 11, "Gelatos de Leite com Fruta", 14, "Chocolate base água", 17, "Vegano", 20, "Alcoólicos", 23, "Zero", 26, "Gelatos Proteicos", 29, 8), 1)) + (ROUND(J194,4) &lt; INDEX('Tabela de ingredientes'!$O$1:$V$30, SWITCH(B194, "Gelatos de Leite", 7, "Sorbets", 10, "Gelatos de Leite com Fruta", 13, "Chocolate base água", 16, "Vegano", 19, "Alcoólicos", 22, "Zero", 25, "Gelatos Proteicos", 28, 7), 2)) + (ROUND(J194,4) &gt; INDEX('Tabela de ingredientes'!$O$1:$V$30, SWITCH(B194, "Gelatos de Leite", 8, "Sorbets", 11, "Gelatos de Leite com Fruta", 14, "Chocolate base água", 17, "Vegano", 20, "Alcoólicos", 23, "Zero", 26, "Gelatos Proteicos", 29, 8), 2)) + (ROUND(K194,4) &lt; INDEX('Tabela de ingredientes'!$O$1:$V$30, SWITCH(B194, "Gelatos de Leite", 7, "Sorbets", 10, "Gelatos de Leite com Fruta", 13, "Chocolate base água", 16, "Vegano", 19, "Alcoólicos", 22, "Zero", 25, "Gelatos Proteicos", 28, 7), 3)) + (ROUND(K194,4) &gt; INDEX('Tabela de ingredientes'!$O$1:$V$30, SWITCH(B194, "Gelatos de Leite", 8, "Sorbets", 11, "Gelatos de Leite com Fruta", 14, "Chocolate base água", 17, "Vegano", 20, "Alcoólicos", 23, "Zero", 26, "Gelatos Proteicos", 29, 8), 3)) + (ROUND(L194,4) &lt; INDEX('Tabela de ingredientes'!$O$1:$V$30, SWITCH(B194, "Gelatos de Leite", 7, "Sorbets", 10, "Gelatos de Leite com Fruta", 13, "Chocolate base água", 16, "Vegano", 19, "Alcoólicos", 22, "Zero", 25, "Gelatos Proteicos", 28, 7), 4)) + (ROUND(L194,4) &gt; INDEX('Tabela de ingredientes'!$O$1:$V$30, SWITCH(B194, "Gelatos de Leite", 8, "Sorbets", 11, "Gelatos de Leite com Fruta", 14, "Chocolate base água", 17, "Vegano", 20, "Alcoólicos", 23, "Zero", 26, "Gelatos Proteicos", 29, 8), 4)) + (ROUND(M194,4) &lt; INDEX('Tabela de ingredientes'!$O$1:$V$30, SWITCH(B194, "Gelatos de Leite", 7, "Sorbets", 10, "Gelatos de Leite com Fruta", 13, "Chocolate base água", 16, "Vegano", 19, "Alcoólicos", 22, "Zero", 25, "Gelatos Proteicos", 28, 7), 5)) + (ROUND(M194,4) &gt; INDEX('Tabela de ingredientes'!$O$1:$V$30, SWITCH(B194, "Gelatos de Leite", 8, "Sorbets", 11, "Gelatos de Leite com Fruta", 14, "Chocolate base água", 17, "Vegano", 20, "Alcoólicos", 23, "Zero", 26, "Gelatos Proteicos", 29, 8), 5)) + (ROUND(N194,4) &lt; INDEX('Tabela de ingredientes'!$O$1:$V$30, SWITCH(B194, "Gelatos de Leite", 7, "Sorbets", 10, "Gelatos de Leite com Fruta", 13, "Chocolate base água", 16, "Vegano", 19, "Alcoólicos", 22, "Zero", 25, "Gelatos Proteicos", 28, 7), 6)) + (ROUND(N194,4) &gt; INDEX('Tabela de ingredientes'!$O$1:$V$30, SWITCH(B194, "Gelatos de Leite", 8, "Sorbets", 11, "Gelatos de Leite com Fruta", 14, "Chocolate base água", 17, "Vegano", 20, "Alcoólicos", 23, "Zero", 26, "Gelatos Proteicos", 29, 8), 6)) + (ROUND(O194,4) &lt; INDEX('Tabela de ingredientes'!$O$1:$V$30, SWITCH(B194, "Gelatos de Leite", 7, "Sorbets", 10, "Gelatos de Leite com Fruta", 13, "Chocolate base água", 16, "Vegano", 19, "Alcoólicos", 22, "Zero", 25, "Gelatos Proteicos", 28, 7), 7)) + (ROUND(O194,4) &gt; INDEX('Tabela de ingredientes'!$O$1:$V$30, SWITCH(B194, "Gelatos de Leite", 8, "Sorbets", 11, "Gelatos de Leite com Fruta", 14, "Chocolate base água", 17, "Vegano", 20, "Alcoólicos", 23, "Zero", 26, "Gelatos Proteicos", 29, 8), 7)) + (ROUND(P194,4) &lt; INDEX('Tabela de ingredientes'!$O$1:$V$30, SWITCH(B194, "Gelatos de Leite", 7, "Sorbets", 10, "Gelatos de Leite com Fruta", 13, "Chocolate base água", 16, "Vegano", 19, "Alcoólicos", 22, "Zero", 25, "Gelatos Proteicos", 28, 7), 8)) + (ROUND(P194,4) &gt; INDEX('Tabela de ingredientes'!$O$1:$V$30, SWITCH(B194, "Gelatos de Leite", 8, "Sorbets", 11, "Gelatos de Leite com Fruta", 14, "Chocolate base água", 17, "Vegano", 20, "Alcoólicos", 23, "Zero", 26, "Gelatos Proteicos", 29, 8), 8)) + IF(B194="Gelatos Proteicos", (ROUND(Q194,4)&lt;'Tabela de ingredientes'!$W$28)+(ROUND(Q194,4)&gt;'Tabela de ingredientes'!$W$29), 0) = 0, "Ok", "Revisar"))</f>
        <v/>
      </c>
    </row>
    <row r="195">
      <c r="A195" s="39"/>
      <c r="B195" s="39" t="s">
        <v>187</v>
      </c>
      <c r="C195" s="39" t="s">
        <v>187</v>
      </c>
      <c r="D195" s="39" t="s">
        <v>187</v>
      </c>
      <c r="E195" s="39" t="s">
        <v>187</v>
      </c>
      <c r="F195" s="69" t="s">
        <v>187</v>
      </c>
      <c r="G195" s="69" t="s">
        <v>187</v>
      </c>
      <c r="H195" s="69" t="s">
        <v>187</v>
      </c>
      <c r="I195" s="59" t="s">
        <v>187</v>
      </c>
      <c r="J195" s="59" t="s">
        <v>187</v>
      </c>
      <c r="K195" s="59" t="s">
        <v>187</v>
      </c>
      <c r="L195" s="59" t="s">
        <v>187</v>
      </c>
      <c r="M195" s="59" t="s">
        <v>187</v>
      </c>
      <c r="N195" s="59" t="s">
        <v>187</v>
      </c>
      <c r="O195" s="39" t="s">
        <v>187</v>
      </c>
      <c r="P195" s="39" t="s">
        <v>187</v>
      </c>
      <c r="Q195" s="59" t="s">
        <v>187</v>
      </c>
      <c r="R195" s="39" t="s">
        <v>187</v>
      </c>
      <c r="S195" s="97" t="str">
        <f t="array" ref="S195">IF(A195="","", IF( (ROUND(I195,4) &lt; INDEX('Tabela de ingredientes'!$O$1:$V$30, SWITCH(B195, "Gelatos de Leite", 7, "Sorbets", 10, "Gelatos de Leite com Fruta", 13, "Chocolate base água", 16, "Vegano", 19, "Alcoólicos", 22, "Zero", 25, "Gelatos Proteicos", 28, 7), 1)) + (ROUND(I195,4) &gt; INDEX('Tabela de ingredientes'!$O$1:$V$30, SWITCH(B195, "Gelatos de Leite", 8, "Sorbets", 11, "Gelatos de Leite com Fruta", 14, "Chocolate base água", 17, "Vegano", 20, "Alcoólicos", 23, "Zero", 26, "Gelatos Proteicos", 29, 8), 1)) + (ROUND(J195,4) &lt; INDEX('Tabela de ingredientes'!$O$1:$V$30, SWITCH(B195, "Gelatos de Leite", 7, "Sorbets", 10, "Gelatos de Leite com Fruta", 13, "Chocolate base água", 16, "Vegano", 19, "Alcoólicos", 22, "Zero", 25, "Gelatos Proteicos", 28, 7), 2)) + (ROUND(J195,4) &gt; INDEX('Tabela de ingredientes'!$O$1:$V$30, SWITCH(B195, "Gelatos de Leite", 8, "Sorbets", 11, "Gelatos de Leite com Fruta", 14, "Chocolate base água", 17, "Vegano", 20, "Alcoólicos", 23, "Zero", 26, "Gelatos Proteicos", 29, 8), 2)) + (ROUND(K195,4) &lt; INDEX('Tabela de ingredientes'!$O$1:$V$30, SWITCH(B195, "Gelatos de Leite", 7, "Sorbets", 10, "Gelatos de Leite com Fruta", 13, "Chocolate base água", 16, "Vegano", 19, "Alcoólicos", 22, "Zero", 25, "Gelatos Proteicos", 28, 7), 3)) + (ROUND(K195,4) &gt; INDEX('Tabela de ingredientes'!$O$1:$V$30, SWITCH(B195, "Gelatos de Leite", 8, "Sorbets", 11, "Gelatos de Leite com Fruta", 14, "Chocolate base água", 17, "Vegano", 20, "Alcoólicos", 23, "Zero", 26, "Gelatos Proteicos", 29, 8), 3)) + (ROUND(L195,4) &lt; INDEX('Tabela de ingredientes'!$O$1:$V$30, SWITCH(B195, "Gelatos de Leite", 7, "Sorbets", 10, "Gelatos de Leite com Fruta", 13, "Chocolate base água", 16, "Vegano", 19, "Alcoólicos", 22, "Zero", 25, "Gelatos Proteicos", 28, 7), 4)) + (ROUND(L195,4) &gt; INDEX('Tabela de ingredientes'!$O$1:$V$30, SWITCH(B195, "Gelatos de Leite", 8, "Sorbets", 11, "Gelatos de Leite com Fruta", 14, "Chocolate base água", 17, "Vegano", 20, "Alcoólicos", 23, "Zero", 26, "Gelatos Proteicos", 29, 8), 4)) + (ROUND(M195,4) &lt; INDEX('Tabela de ingredientes'!$O$1:$V$30, SWITCH(B195, "Gelatos de Leite", 7, "Sorbets", 10, "Gelatos de Leite com Fruta", 13, "Chocolate base água", 16, "Vegano", 19, "Alcoólicos", 22, "Zero", 25, "Gelatos Proteicos", 28, 7), 5)) + (ROUND(M195,4) &gt; INDEX('Tabela de ingredientes'!$O$1:$V$30, SWITCH(B195, "Gelatos de Leite", 8, "Sorbets", 11, "Gelatos de Leite com Fruta", 14, "Chocolate base água", 17, "Vegano", 20, "Alcoólicos", 23, "Zero", 26, "Gelatos Proteicos", 29, 8), 5)) + (ROUND(N195,4) &lt; INDEX('Tabela de ingredientes'!$O$1:$V$30, SWITCH(B195, "Gelatos de Leite", 7, "Sorbets", 10, "Gelatos de Leite com Fruta", 13, "Chocolate base água", 16, "Vegano", 19, "Alcoólicos", 22, "Zero", 25, "Gelatos Proteicos", 28, 7), 6)) + (ROUND(N195,4) &gt; INDEX('Tabela de ingredientes'!$O$1:$V$30, SWITCH(B195, "Gelatos de Leite", 8, "Sorbets", 11, "Gelatos de Leite com Fruta", 14, "Chocolate base água", 17, "Vegano", 20, "Alcoólicos", 23, "Zero", 26, "Gelatos Proteicos", 29, 8), 6)) + (ROUND(O195,4) &lt; INDEX('Tabela de ingredientes'!$O$1:$V$30, SWITCH(B195, "Gelatos de Leite", 7, "Sorbets", 10, "Gelatos de Leite com Fruta", 13, "Chocolate base água", 16, "Vegano", 19, "Alcoólicos", 22, "Zero", 25, "Gelatos Proteicos", 28, 7), 7)) + (ROUND(O195,4) &gt; INDEX('Tabela de ingredientes'!$O$1:$V$30, SWITCH(B195, "Gelatos de Leite", 8, "Sorbets", 11, "Gelatos de Leite com Fruta", 14, "Chocolate base água", 17, "Vegano", 20, "Alcoólicos", 23, "Zero", 26, "Gelatos Proteicos", 29, 8), 7)) + (ROUND(P195,4) &lt; INDEX('Tabela de ingredientes'!$O$1:$V$30, SWITCH(B195, "Gelatos de Leite", 7, "Sorbets", 10, "Gelatos de Leite com Fruta", 13, "Chocolate base água", 16, "Vegano", 19, "Alcoólicos", 22, "Zero", 25, "Gelatos Proteicos", 28, 7), 8)) + (ROUND(P195,4) &gt; INDEX('Tabela de ingredientes'!$O$1:$V$30, SWITCH(B195, "Gelatos de Leite", 8, "Sorbets", 11, "Gelatos de Leite com Fruta", 14, "Chocolate base água", 17, "Vegano", 20, "Alcoólicos", 23, "Zero", 26, "Gelatos Proteicos", 29, 8), 8)) + IF(B195="Gelatos Proteicos", (ROUND(Q195,4)&lt;'Tabela de ingredientes'!$W$28)+(ROUND(Q195,4)&gt;'Tabela de ingredientes'!$W$29), 0) = 0, "Ok", "Revisar"))</f>
        <v/>
      </c>
    </row>
    <row r="196">
      <c r="A196" s="39"/>
      <c r="B196" s="39" t="s">
        <v>187</v>
      </c>
      <c r="C196" s="39" t="s">
        <v>187</v>
      </c>
      <c r="D196" s="39" t="s">
        <v>187</v>
      </c>
      <c r="E196" s="39" t="s">
        <v>187</v>
      </c>
      <c r="F196" s="69" t="s">
        <v>187</v>
      </c>
      <c r="G196" s="69" t="s">
        <v>187</v>
      </c>
      <c r="H196" s="69" t="s">
        <v>187</v>
      </c>
      <c r="I196" s="59" t="s">
        <v>187</v>
      </c>
      <c r="J196" s="59" t="s">
        <v>187</v>
      </c>
      <c r="K196" s="59" t="s">
        <v>187</v>
      </c>
      <c r="L196" s="59" t="s">
        <v>187</v>
      </c>
      <c r="M196" s="59" t="s">
        <v>187</v>
      </c>
      <c r="N196" s="59" t="s">
        <v>187</v>
      </c>
      <c r="O196" s="39" t="s">
        <v>187</v>
      </c>
      <c r="P196" s="39" t="s">
        <v>187</v>
      </c>
      <c r="Q196" s="59" t="s">
        <v>187</v>
      </c>
      <c r="R196" s="39" t="s">
        <v>187</v>
      </c>
      <c r="S196" s="97" t="str">
        <f t="array" ref="S196">IF(A196="","", IF( (ROUND(I196,4) &lt; INDEX('Tabela de ingredientes'!$O$1:$V$30, SWITCH(B196, "Gelatos de Leite", 7, "Sorbets", 10, "Gelatos de Leite com Fruta", 13, "Chocolate base água", 16, "Vegano", 19, "Alcoólicos", 22, "Zero", 25, "Gelatos Proteicos", 28, 7), 1)) + (ROUND(I196,4) &gt; INDEX('Tabela de ingredientes'!$O$1:$V$30, SWITCH(B196, "Gelatos de Leite", 8, "Sorbets", 11, "Gelatos de Leite com Fruta", 14, "Chocolate base água", 17, "Vegano", 20, "Alcoólicos", 23, "Zero", 26, "Gelatos Proteicos", 29, 8), 1)) + (ROUND(J196,4) &lt; INDEX('Tabela de ingredientes'!$O$1:$V$30, SWITCH(B196, "Gelatos de Leite", 7, "Sorbets", 10, "Gelatos de Leite com Fruta", 13, "Chocolate base água", 16, "Vegano", 19, "Alcoólicos", 22, "Zero", 25, "Gelatos Proteicos", 28, 7), 2)) + (ROUND(J196,4) &gt; INDEX('Tabela de ingredientes'!$O$1:$V$30, SWITCH(B196, "Gelatos de Leite", 8, "Sorbets", 11, "Gelatos de Leite com Fruta", 14, "Chocolate base água", 17, "Vegano", 20, "Alcoólicos", 23, "Zero", 26, "Gelatos Proteicos", 29, 8), 2)) + (ROUND(K196,4) &lt; INDEX('Tabela de ingredientes'!$O$1:$V$30, SWITCH(B196, "Gelatos de Leite", 7, "Sorbets", 10, "Gelatos de Leite com Fruta", 13, "Chocolate base água", 16, "Vegano", 19, "Alcoólicos", 22, "Zero", 25, "Gelatos Proteicos", 28, 7), 3)) + (ROUND(K196,4) &gt; INDEX('Tabela de ingredientes'!$O$1:$V$30, SWITCH(B196, "Gelatos de Leite", 8, "Sorbets", 11, "Gelatos de Leite com Fruta", 14, "Chocolate base água", 17, "Vegano", 20, "Alcoólicos", 23, "Zero", 26, "Gelatos Proteicos", 29, 8), 3)) + (ROUND(L196,4) &lt; INDEX('Tabela de ingredientes'!$O$1:$V$30, SWITCH(B196, "Gelatos de Leite", 7, "Sorbets", 10, "Gelatos de Leite com Fruta", 13, "Chocolate base água", 16, "Vegano", 19, "Alcoólicos", 22, "Zero", 25, "Gelatos Proteicos", 28, 7), 4)) + (ROUND(L196,4) &gt; INDEX('Tabela de ingredientes'!$O$1:$V$30, SWITCH(B196, "Gelatos de Leite", 8, "Sorbets", 11, "Gelatos de Leite com Fruta", 14, "Chocolate base água", 17, "Vegano", 20, "Alcoólicos", 23, "Zero", 26, "Gelatos Proteicos", 29, 8), 4)) + (ROUND(M196,4) &lt; INDEX('Tabela de ingredientes'!$O$1:$V$30, SWITCH(B196, "Gelatos de Leite", 7, "Sorbets", 10, "Gelatos de Leite com Fruta", 13, "Chocolate base água", 16, "Vegano", 19, "Alcoólicos", 22, "Zero", 25, "Gelatos Proteicos", 28, 7), 5)) + (ROUND(M196,4) &gt; INDEX('Tabela de ingredientes'!$O$1:$V$30, SWITCH(B196, "Gelatos de Leite", 8, "Sorbets", 11, "Gelatos de Leite com Fruta", 14, "Chocolate base água", 17, "Vegano", 20, "Alcoólicos", 23, "Zero", 26, "Gelatos Proteicos", 29, 8), 5)) + (ROUND(N196,4) &lt; INDEX('Tabela de ingredientes'!$O$1:$V$30, SWITCH(B196, "Gelatos de Leite", 7, "Sorbets", 10, "Gelatos de Leite com Fruta", 13, "Chocolate base água", 16, "Vegano", 19, "Alcoólicos", 22, "Zero", 25, "Gelatos Proteicos", 28, 7), 6)) + (ROUND(N196,4) &gt; INDEX('Tabela de ingredientes'!$O$1:$V$30, SWITCH(B196, "Gelatos de Leite", 8, "Sorbets", 11, "Gelatos de Leite com Fruta", 14, "Chocolate base água", 17, "Vegano", 20, "Alcoólicos", 23, "Zero", 26, "Gelatos Proteicos", 29, 8), 6)) + (ROUND(O196,4) &lt; INDEX('Tabela de ingredientes'!$O$1:$V$30, SWITCH(B196, "Gelatos de Leite", 7, "Sorbets", 10, "Gelatos de Leite com Fruta", 13, "Chocolate base água", 16, "Vegano", 19, "Alcoólicos", 22, "Zero", 25, "Gelatos Proteicos", 28, 7), 7)) + (ROUND(O196,4) &gt; INDEX('Tabela de ingredientes'!$O$1:$V$30, SWITCH(B196, "Gelatos de Leite", 8, "Sorbets", 11, "Gelatos de Leite com Fruta", 14, "Chocolate base água", 17, "Vegano", 20, "Alcoólicos", 23, "Zero", 26, "Gelatos Proteicos", 29, 8), 7)) + (ROUND(P196,4) &lt; INDEX('Tabela de ingredientes'!$O$1:$V$30, SWITCH(B196, "Gelatos de Leite", 7, "Sorbets", 10, "Gelatos de Leite com Fruta", 13, "Chocolate base água", 16, "Vegano", 19, "Alcoólicos", 22, "Zero", 25, "Gelatos Proteicos", 28, 7), 8)) + (ROUND(P196,4) &gt; INDEX('Tabela de ingredientes'!$O$1:$V$30, SWITCH(B196, "Gelatos de Leite", 8, "Sorbets", 11, "Gelatos de Leite com Fruta", 14, "Chocolate base água", 17, "Vegano", 20, "Alcoólicos", 23, "Zero", 26, "Gelatos Proteicos", 29, 8), 8)) + IF(B196="Gelatos Proteicos", (ROUND(Q196,4)&lt;'Tabela de ingredientes'!$W$28)+(ROUND(Q196,4)&gt;'Tabela de ingredientes'!$W$29), 0) = 0, "Ok", "Revisar"))</f>
        <v/>
      </c>
    </row>
    <row r="197">
      <c r="A197" s="39"/>
      <c r="B197" s="39" t="s">
        <v>187</v>
      </c>
      <c r="C197" s="39" t="s">
        <v>187</v>
      </c>
      <c r="D197" s="39" t="s">
        <v>187</v>
      </c>
      <c r="E197" s="39" t="s">
        <v>187</v>
      </c>
      <c r="F197" s="69" t="s">
        <v>187</v>
      </c>
      <c r="G197" s="69" t="s">
        <v>187</v>
      </c>
      <c r="H197" s="69" t="s">
        <v>187</v>
      </c>
      <c r="I197" s="59" t="s">
        <v>187</v>
      </c>
      <c r="J197" s="59" t="s">
        <v>187</v>
      </c>
      <c r="K197" s="59" t="s">
        <v>187</v>
      </c>
      <c r="L197" s="59" t="s">
        <v>187</v>
      </c>
      <c r="M197" s="59" t="s">
        <v>187</v>
      </c>
      <c r="N197" s="59" t="s">
        <v>187</v>
      </c>
      <c r="O197" s="39" t="s">
        <v>187</v>
      </c>
      <c r="P197" s="39" t="s">
        <v>187</v>
      </c>
      <c r="Q197" s="59" t="s">
        <v>187</v>
      </c>
      <c r="R197" s="39" t="s">
        <v>187</v>
      </c>
      <c r="S197" s="97" t="str">
        <f t="array" ref="S197">IF(A197="","", IF( (ROUND(I197,4) &lt; INDEX('Tabela de ingredientes'!$O$1:$V$30, SWITCH(B197, "Gelatos de Leite", 7, "Sorbets", 10, "Gelatos de Leite com Fruta", 13, "Chocolate base água", 16, "Vegano", 19, "Alcoólicos", 22, "Zero", 25, "Gelatos Proteicos", 28, 7), 1)) + (ROUND(I197,4) &gt; INDEX('Tabela de ingredientes'!$O$1:$V$30, SWITCH(B197, "Gelatos de Leite", 8, "Sorbets", 11, "Gelatos de Leite com Fruta", 14, "Chocolate base água", 17, "Vegano", 20, "Alcoólicos", 23, "Zero", 26, "Gelatos Proteicos", 29, 8), 1)) + (ROUND(J197,4) &lt; INDEX('Tabela de ingredientes'!$O$1:$V$30, SWITCH(B197, "Gelatos de Leite", 7, "Sorbets", 10, "Gelatos de Leite com Fruta", 13, "Chocolate base água", 16, "Vegano", 19, "Alcoólicos", 22, "Zero", 25, "Gelatos Proteicos", 28, 7), 2)) + (ROUND(J197,4) &gt; INDEX('Tabela de ingredientes'!$O$1:$V$30, SWITCH(B197, "Gelatos de Leite", 8, "Sorbets", 11, "Gelatos de Leite com Fruta", 14, "Chocolate base água", 17, "Vegano", 20, "Alcoólicos", 23, "Zero", 26, "Gelatos Proteicos", 29, 8), 2)) + (ROUND(K197,4) &lt; INDEX('Tabela de ingredientes'!$O$1:$V$30, SWITCH(B197, "Gelatos de Leite", 7, "Sorbets", 10, "Gelatos de Leite com Fruta", 13, "Chocolate base água", 16, "Vegano", 19, "Alcoólicos", 22, "Zero", 25, "Gelatos Proteicos", 28, 7), 3)) + (ROUND(K197,4) &gt; INDEX('Tabela de ingredientes'!$O$1:$V$30, SWITCH(B197, "Gelatos de Leite", 8, "Sorbets", 11, "Gelatos de Leite com Fruta", 14, "Chocolate base água", 17, "Vegano", 20, "Alcoólicos", 23, "Zero", 26, "Gelatos Proteicos", 29, 8), 3)) + (ROUND(L197,4) &lt; INDEX('Tabela de ingredientes'!$O$1:$V$30, SWITCH(B197, "Gelatos de Leite", 7, "Sorbets", 10, "Gelatos de Leite com Fruta", 13, "Chocolate base água", 16, "Vegano", 19, "Alcoólicos", 22, "Zero", 25, "Gelatos Proteicos", 28, 7), 4)) + (ROUND(L197,4) &gt; INDEX('Tabela de ingredientes'!$O$1:$V$30, SWITCH(B197, "Gelatos de Leite", 8, "Sorbets", 11, "Gelatos de Leite com Fruta", 14, "Chocolate base água", 17, "Vegano", 20, "Alcoólicos", 23, "Zero", 26, "Gelatos Proteicos", 29, 8), 4)) + (ROUND(M197,4) &lt; INDEX('Tabela de ingredientes'!$O$1:$V$30, SWITCH(B197, "Gelatos de Leite", 7, "Sorbets", 10, "Gelatos de Leite com Fruta", 13, "Chocolate base água", 16, "Vegano", 19, "Alcoólicos", 22, "Zero", 25, "Gelatos Proteicos", 28, 7), 5)) + (ROUND(M197,4) &gt; INDEX('Tabela de ingredientes'!$O$1:$V$30, SWITCH(B197, "Gelatos de Leite", 8, "Sorbets", 11, "Gelatos de Leite com Fruta", 14, "Chocolate base água", 17, "Vegano", 20, "Alcoólicos", 23, "Zero", 26, "Gelatos Proteicos", 29, 8), 5)) + (ROUND(N197,4) &lt; INDEX('Tabela de ingredientes'!$O$1:$V$30, SWITCH(B197, "Gelatos de Leite", 7, "Sorbets", 10, "Gelatos de Leite com Fruta", 13, "Chocolate base água", 16, "Vegano", 19, "Alcoólicos", 22, "Zero", 25, "Gelatos Proteicos", 28, 7), 6)) + (ROUND(N197,4) &gt; INDEX('Tabela de ingredientes'!$O$1:$V$30, SWITCH(B197, "Gelatos de Leite", 8, "Sorbets", 11, "Gelatos de Leite com Fruta", 14, "Chocolate base água", 17, "Vegano", 20, "Alcoólicos", 23, "Zero", 26, "Gelatos Proteicos", 29, 8), 6)) + (ROUND(O197,4) &lt; INDEX('Tabela de ingredientes'!$O$1:$V$30, SWITCH(B197, "Gelatos de Leite", 7, "Sorbets", 10, "Gelatos de Leite com Fruta", 13, "Chocolate base água", 16, "Vegano", 19, "Alcoólicos", 22, "Zero", 25, "Gelatos Proteicos", 28, 7), 7)) + (ROUND(O197,4) &gt; INDEX('Tabela de ingredientes'!$O$1:$V$30, SWITCH(B197, "Gelatos de Leite", 8, "Sorbets", 11, "Gelatos de Leite com Fruta", 14, "Chocolate base água", 17, "Vegano", 20, "Alcoólicos", 23, "Zero", 26, "Gelatos Proteicos", 29, 8), 7)) + (ROUND(P197,4) &lt; INDEX('Tabela de ingredientes'!$O$1:$V$30, SWITCH(B197, "Gelatos de Leite", 7, "Sorbets", 10, "Gelatos de Leite com Fruta", 13, "Chocolate base água", 16, "Vegano", 19, "Alcoólicos", 22, "Zero", 25, "Gelatos Proteicos", 28, 7), 8)) + (ROUND(P197,4) &gt; INDEX('Tabela de ingredientes'!$O$1:$V$30, SWITCH(B197, "Gelatos de Leite", 8, "Sorbets", 11, "Gelatos de Leite com Fruta", 14, "Chocolate base água", 17, "Vegano", 20, "Alcoólicos", 23, "Zero", 26, "Gelatos Proteicos", 29, 8), 8)) + IF(B197="Gelatos Proteicos", (ROUND(Q197,4)&lt;'Tabela de ingredientes'!$W$28)+(ROUND(Q197,4)&gt;'Tabela de ingredientes'!$W$29), 0) = 0, "Ok", "Revisar"))</f>
        <v/>
      </c>
    </row>
    <row r="198">
      <c r="A198" s="39"/>
      <c r="B198" s="39" t="s">
        <v>187</v>
      </c>
      <c r="C198" s="39" t="s">
        <v>187</v>
      </c>
      <c r="D198" s="39" t="s">
        <v>187</v>
      </c>
      <c r="E198" s="39" t="s">
        <v>187</v>
      </c>
      <c r="F198" s="69" t="s">
        <v>187</v>
      </c>
      <c r="G198" s="69" t="s">
        <v>187</v>
      </c>
      <c r="H198" s="69" t="s">
        <v>187</v>
      </c>
      <c r="I198" s="59" t="s">
        <v>187</v>
      </c>
      <c r="J198" s="59" t="s">
        <v>187</v>
      </c>
      <c r="K198" s="59" t="s">
        <v>187</v>
      </c>
      <c r="L198" s="59" t="s">
        <v>187</v>
      </c>
      <c r="M198" s="59" t="s">
        <v>187</v>
      </c>
      <c r="N198" s="59" t="s">
        <v>187</v>
      </c>
      <c r="O198" s="39" t="s">
        <v>187</v>
      </c>
      <c r="P198" s="39" t="s">
        <v>187</v>
      </c>
      <c r="Q198" s="59" t="s">
        <v>187</v>
      </c>
      <c r="R198" s="39" t="s">
        <v>187</v>
      </c>
      <c r="S198" s="97" t="str">
        <f t="array" ref="S198">IF(A198="","", IF( (ROUND(I198,4) &lt; INDEX('Tabela de ingredientes'!$O$1:$V$30, SWITCH(B198, "Gelatos de Leite", 7, "Sorbets", 10, "Gelatos de Leite com Fruta", 13, "Chocolate base água", 16, "Vegano", 19, "Alcoólicos", 22, "Zero", 25, "Gelatos Proteicos", 28, 7), 1)) + (ROUND(I198,4) &gt; INDEX('Tabela de ingredientes'!$O$1:$V$30, SWITCH(B198, "Gelatos de Leite", 8, "Sorbets", 11, "Gelatos de Leite com Fruta", 14, "Chocolate base água", 17, "Vegano", 20, "Alcoólicos", 23, "Zero", 26, "Gelatos Proteicos", 29, 8), 1)) + (ROUND(J198,4) &lt; INDEX('Tabela de ingredientes'!$O$1:$V$30, SWITCH(B198, "Gelatos de Leite", 7, "Sorbets", 10, "Gelatos de Leite com Fruta", 13, "Chocolate base água", 16, "Vegano", 19, "Alcoólicos", 22, "Zero", 25, "Gelatos Proteicos", 28, 7), 2)) + (ROUND(J198,4) &gt; INDEX('Tabela de ingredientes'!$O$1:$V$30, SWITCH(B198, "Gelatos de Leite", 8, "Sorbets", 11, "Gelatos de Leite com Fruta", 14, "Chocolate base água", 17, "Vegano", 20, "Alcoólicos", 23, "Zero", 26, "Gelatos Proteicos", 29, 8), 2)) + (ROUND(K198,4) &lt; INDEX('Tabela de ingredientes'!$O$1:$V$30, SWITCH(B198, "Gelatos de Leite", 7, "Sorbets", 10, "Gelatos de Leite com Fruta", 13, "Chocolate base água", 16, "Vegano", 19, "Alcoólicos", 22, "Zero", 25, "Gelatos Proteicos", 28, 7), 3)) + (ROUND(K198,4) &gt; INDEX('Tabela de ingredientes'!$O$1:$V$30, SWITCH(B198, "Gelatos de Leite", 8, "Sorbets", 11, "Gelatos de Leite com Fruta", 14, "Chocolate base água", 17, "Vegano", 20, "Alcoólicos", 23, "Zero", 26, "Gelatos Proteicos", 29, 8), 3)) + (ROUND(L198,4) &lt; INDEX('Tabela de ingredientes'!$O$1:$V$30, SWITCH(B198, "Gelatos de Leite", 7, "Sorbets", 10, "Gelatos de Leite com Fruta", 13, "Chocolate base água", 16, "Vegano", 19, "Alcoólicos", 22, "Zero", 25, "Gelatos Proteicos", 28, 7), 4)) + (ROUND(L198,4) &gt; INDEX('Tabela de ingredientes'!$O$1:$V$30, SWITCH(B198, "Gelatos de Leite", 8, "Sorbets", 11, "Gelatos de Leite com Fruta", 14, "Chocolate base água", 17, "Vegano", 20, "Alcoólicos", 23, "Zero", 26, "Gelatos Proteicos", 29, 8), 4)) + (ROUND(M198,4) &lt; INDEX('Tabela de ingredientes'!$O$1:$V$30, SWITCH(B198, "Gelatos de Leite", 7, "Sorbets", 10, "Gelatos de Leite com Fruta", 13, "Chocolate base água", 16, "Vegano", 19, "Alcoólicos", 22, "Zero", 25, "Gelatos Proteicos", 28, 7), 5)) + (ROUND(M198,4) &gt; INDEX('Tabela de ingredientes'!$O$1:$V$30, SWITCH(B198, "Gelatos de Leite", 8, "Sorbets", 11, "Gelatos de Leite com Fruta", 14, "Chocolate base água", 17, "Vegano", 20, "Alcoólicos", 23, "Zero", 26, "Gelatos Proteicos", 29, 8), 5)) + (ROUND(N198,4) &lt; INDEX('Tabela de ingredientes'!$O$1:$V$30, SWITCH(B198, "Gelatos de Leite", 7, "Sorbets", 10, "Gelatos de Leite com Fruta", 13, "Chocolate base água", 16, "Vegano", 19, "Alcoólicos", 22, "Zero", 25, "Gelatos Proteicos", 28, 7), 6)) + (ROUND(N198,4) &gt; INDEX('Tabela de ingredientes'!$O$1:$V$30, SWITCH(B198, "Gelatos de Leite", 8, "Sorbets", 11, "Gelatos de Leite com Fruta", 14, "Chocolate base água", 17, "Vegano", 20, "Alcoólicos", 23, "Zero", 26, "Gelatos Proteicos", 29, 8), 6)) + (ROUND(O198,4) &lt; INDEX('Tabela de ingredientes'!$O$1:$V$30, SWITCH(B198, "Gelatos de Leite", 7, "Sorbets", 10, "Gelatos de Leite com Fruta", 13, "Chocolate base água", 16, "Vegano", 19, "Alcoólicos", 22, "Zero", 25, "Gelatos Proteicos", 28, 7), 7)) + (ROUND(O198,4) &gt; INDEX('Tabela de ingredientes'!$O$1:$V$30, SWITCH(B198, "Gelatos de Leite", 8, "Sorbets", 11, "Gelatos de Leite com Fruta", 14, "Chocolate base água", 17, "Vegano", 20, "Alcoólicos", 23, "Zero", 26, "Gelatos Proteicos", 29, 8), 7)) + (ROUND(P198,4) &lt; INDEX('Tabela de ingredientes'!$O$1:$V$30, SWITCH(B198, "Gelatos de Leite", 7, "Sorbets", 10, "Gelatos de Leite com Fruta", 13, "Chocolate base água", 16, "Vegano", 19, "Alcoólicos", 22, "Zero", 25, "Gelatos Proteicos", 28, 7), 8)) + (ROUND(P198,4) &gt; INDEX('Tabela de ingredientes'!$O$1:$V$30, SWITCH(B198, "Gelatos de Leite", 8, "Sorbets", 11, "Gelatos de Leite com Fruta", 14, "Chocolate base água", 17, "Vegano", 20, "Alcoólicos", 23, "Zero", 26, "Gelatos Proteicos", 29, 8), 8)) + IF(B198="Gelatos Proteicos", (ROUND(Q198,4)&lt;'Tabela de ingredientes'!$W$28)+(ROUND(Q198,4)&gt;'Tabela de ingredientes'!$W$29), 0) = 0, "Ok", "Revisar"))</f>
        <v/>
      </c>
    </row>
    <row r="199">
      <c r="A199" s="39"/>
      <c r="B199" s="39" t="s">
        <v>187</v>
      </c>
      <c r="C199" s="39" t="s">
        <v>187</v>
      </c>
      <c r="D199" s="39" t="s">
        <v>187</v>
      </c>
      <c r="E199" s="39" t="s">
        <v>187</v>
      </c>
      <c r="F199" s="69" t="s">
        <v>187</v>
      </c>
      <c r="G199" s="69" t="s">
        <v>187</v>
      </c>
      <c r="H199" s="69" t="s">
        <v>187</v>
      </c>
      <c r="I199" s="59" t="s">
        <v>187</v>
      </c>
      <c r="J199" s="59" t="s">
        <v>187</v>
      </c>
      <c r="K199" s="59" t="s">
        <v>187</v>
      </c>
      <c r="L199" s="59" t="s">
        <v>187</v>
      </c>
      <c r="M199" s="59" t="s">
        <v>187</v>
      </c>
      <c r="N199" s="59" t="s">
        <v>187</v>
      </c>
      <c r="O199" s="39" t="s">
        <v>187</v>
      </c>
      <c r="P199" s="39" t="s">
        <v>187</v>
      </c>
      <c r="Q199" s="59" t="s">
        <v>187</v>
      </c>
      <c r="R199" s="39" t="s">
        <v>187</v>
      </c>
      <c r="S199" s="97" t="str">
        <f t="array" ref="S199">IF(A199="","", IF( (ROUND(I199,4) &lt; INDEX('Tabela de ingredientes'!$O$1:$V$30, SWITCH(B199, "Gelatos de Leite", 7, "Sorbets", 10, "Gelatos de Leite com Fruta", 13, "Chocolate base água", 16, "Vegano", 19, "Alcoólicos", 22, "Zero", 25, "Gelatos Proteicos", 28, 7), 1)) + (ROUND(I199,4) &gt; INDEX('Tabela de ingredientes'!$O$1:$V$30, SWITCH(B199, "Gelatos de Leite", 8, "Sorbets", 11, "Gelatos de Leite com Fruta", 14, "Chocolate base água", 17, "Vegano", 20, "Alcoólicos", 23, "Zero", 26, "Gelatos Proteicos", 29, 8), 1)) + (ROUND(J199,4) &lt; INDEX('Tabela de ingredientes'!$O$1:$V$30, SWITCH(B199, "Gelatos de Leite", 7, "Sorbets", 10, "Gelatos de Leite com Fruta", 13, "Chocolate base água", 16, "Vegano", 19, "Alcoólicos", 22, "Zero", 25, "Gelatos Proteicos", 28, 7), 2)) + (ROUND(J199,4) &gt; INDEX('Tabela de ingredientes'!$O$1:$V$30, SWITCH(B199, "Gelatos de Leite", 8, "Sorbets", 11, "Gelatos de Leite com Fruta", 14, "Chocolate base água", 17, "Vegano", 20, "Alcoólicos", 23, "Zero", 26, "Gelatos Proteicos", 29, 8), 2)) + (ROUND(K199,4) &lt; INDEX('Tabela de ingredientes'!$O$1:$V$30, SWITCH(B199, "Gelatos de Leite", 7, "Sorbets", 10, "Gelatos de Leite com Fruta", 13, "Chocolate base água", 16, "Vegano", 19, "Alcoólicos", 22, "Zero", 25, "Gelatos Proteicos", 28, 7), 3)) + (ROUND(K199,4) &gt; INDEX('Tabela de ingredientes'!$O$1:$V$30, SWITCH(B199, "Gelatos de Leite", 8, "Sorbets", 11, "Gelatos de Leite com Fruta", 14, "Chocolate base água", 17, "Vegano", 20, "Alcoólicos", 23, "Zero", 26, "Gelatos Proteicos", 29, 8), 3)) + (ROUND(L199,4) &lt; INDEX('Tabela de ingredientes'!$O$1:$V$30, SWITCH(B199, "Gelatos de Leite", 7, "Sorbets", 10, "Gelatos de Leite com Fruta", 13, "Chocolate base água", 16, "Vegano", 19, "Alcoólicos", 22, "Zero", 25, "Gelatos Proteicos", 28, 7), 4)) + (ROUND(L199,4) &gt; INDEX('Tabela de ingredientes'!$O$1:$V$30, SWITCH(B199, "Gelatos de Leite", 8, "Sorbets", 11, "Gelatos de Leite com Fruta", 14, "Chocolate base água", 17, "Vegano", 20, "Alcoólicos", 23, "Zero", 26, "Gelatos Proteicos", 29, 8), 4)) + (ROUND(M199,4) &lt; INDEX('Tabela de ingredientes'!$O$1:$V$30, SWITCH(B199, "Gelatos de Leite", 7, "Sorbets", 10, "Gelatos de Leite com Fruta", 13, "Chocolate base água", 16, "Vegano", 19, "Alcoólicos", 22, "Zero", 25, "Gelatos Proteicos", 28, 7), 5)) + (ROUND(M199,4) &gt; INDEX('Tabela de ingredientes'!$O$1:$V$30, SWITCH(B199, "Gelatos de Leite", 8, "Sorbets", 11, "Gelatos de Leite com Fruta", 14, "Chocolate base água", 17, "Vegano", 20, "Alcoólicos", 23, "Zero", 26, "Gelatos Proteicos", 29, 8), 5)) + (ROUND(N199,4) &lt; INDEX('Tabela de ingredientes'!$O$1:$V$30, SWITCH(B199, "Gelatos de Leite", 7, "Sorbets", 10, "Gelatos de Leite com Fruta", 13, "Chocolate base água", 16, "Vegano", 19, "Alcoólicos", 22, "Zero", 25, "Gelatos Proteicos", 28, 7), 6)) + (ROUND(N199,4) &gt; INDEX('Tabela de ingredientes'!$O$1:$V$30, SWITCH(B199, "Gelatos de Leite", 8, "Sorbets", 11, "Gelatos de Leite com Fruta", 14, "Chocolate base água", 17, "Vegano", 20, "Alcoólicos", 23, "Zero", 26, "Gelatos Proteicos", 29, 8), 6)) + (ROUND(O199,4) &lt; INDEX('Tabela de ingredientes'!$O$1:$V$30, SWITCH(B199, "Gelatos de Leite", 7, "Sorbets", 10, "Gelatos de Leite com Fruta", 13, "Chocolate base água", 16, "Vegano", 19, "Alcoólicos", 22, "Zero", 25, "Gelatos Proteicos", 28, 7), 7)) + (ROUND(O199,4) &gt; INDEX('Tabela de ingredientes'!$O$1:$V$30, SWITCH(B199, "Gelatos de Leite", 8, "Sorbets", 11, "Gelatos de Leite com Fruta", 14, "Chocolate base água", 17, "Vegano", 20, "Alcoólicos", 23, "Zero", 26, "Gelatos Proteicos", 29, 8), 7)) + (ROUND(P199,4) &lt; INDEX('Tabela de ingredientes'!$O$1:$V$30, SWITCH(B199, "Gelatos de Leite", 7, "Sorbets", 10, "Gelatos de Leite com Fruta", 13, "Chocolate base água", 16, "Vegano", 19, "Alcoólicos", 22, "Zero", 25, "Gelatos Proteicos", 28, 7), 8)) + (ROUND(P199,4) &gt; INDEX('Tabela de ingredientes'!$O$1:$V$30, SWITCH(B199, "Gelatos de Leite", 8, "Sorbets", 11, "Gelatos de Leite com Fruta", 14, "Chocolate base água", 17, "Vegano", 20, "Alcoólicos", 23, "Zero", 26, "Gelatos Proteicos", 29, 8), 8)) + IF(B199="Gelatos Proteicos", (ROUND(Q199,4)&lt;'Tabela de ingredientes'!$W$28)+(ROUND(Q199,4)&gt;'Tabela de ingredientes'!$W$29), 0) = 0, "Ok", "Revisar"))</f>
        <v/>
      </c>
    </row>
    <row r="200">
      <c r="A200" s="39"/>
      <c r="B200" s="39" t="s">
        <v>187</v>
      </c>
      <c r="C200" s="39" t="s">
        <v>187</v>
      </c>
      <c r="D200" s="39" t="s">
        <v>187</v>
      </c>
      <c r="E200" s="39" t="s">
        <v>187</v>
      </c>
      <c r="F200" s="69" t="s">
        <v>187</v>
      </c>
      <c r="G200" s="69" t="s">
        <v>187</v>
      </c>
      <c r="H200" s="69" t="s">
        <v>187</v>
      </c>
      <c r="I200" s="59" t="s">
        <v>187</v>
      </c>
      <c r="J200" s="59" t="s">
        <v>187</v>
      </c>
      <c r="K200" s="59" t="s">
        <v>187</v>
      </c>
      <c r="L200" s="59" t="s">
        <v>187</v>
      </c>
      <c r="M200" s="59" t="s">
        <v>187</v>
      </c>
      <c r="N200" s="59" t="s">
        <v>187</v>
      </c>
      <c r="O200" s="39" t="s">
        <v>187</v>
      </c>
      <c r="P200" s="39" t="s">
        <v>187</v>
      </c>
      <c r="Q200" s="59" t="s">
        <v>187</v>
      </c>
      <c r="R200" s="39" t="s">
        <v>187</v>
      </c>
      <c r="S200" s="97" t="str">
        <f t="array" ref="S200">IF(A200="","", IF( (ROUND(I200,4) &lt; INDEX('Tabela de ingredientes'!$O$1:$V$30, SWITCH(B200, "Gelatos de Leite", 7, "Sorbets", 10, "Gelatos de Leite com Fruta", 13, "Chocolate base água", 16, "Vegano", 19, "Alcoólicos", 22, "Zero", 25, "Gelatos Proteicos", 28, 7), 1)) + (ROUND(I200,4) &gt; INDEX('Tabela de ingredientes'!$O$1:$V$30, SWITCH(B200, "Gelatos de Leite", 8, "Sorbets", 11, "Gelatos de Leite com Fruta", 14, "Chocolate base água", 17, "Vegano", 20, "Alcoólicos", 23, "Zero", 26, "Gelatos Proteicos", 29, 8), 1)) + (ROUND(J200,4) &lt; INDEX('Tabela de ingredientes'!$O$1:$V$30, SWITCH(B200, "Gelatos de Leite", 7, "Sorbets", 10, "Gelatos de Leite com Fruta", 13, "Chocolate base água", 16, "Vegano", 19, "Alcoólicos", 22, "Zero", 25, "Gelatos Proteicos", 28, 7), 2)) + (ROUND(J200,4) &gt; INDEX('Tabela de ingredientes'!$O$1:$V$30, SWITCH(B200, "Gelatos de Leite", 8, "Sorbets", 11, "Gelatos de Leite com Fruta", 14, "Chocolate base água", 17, "Vegano", 20, "Alcoólicos", 23, "Zero", 26, "Gelatos Proteicos", 29, 8), 2)) + (ROUND(K200,4) &lt; INDEX('Tabela de ingredientes'!$O$1:$V$30, SWITCH(B200, "Gelatos de Leite", 7, "Sorbets", 10, "Gelatos de Leite com Fruta", 13, "Chocolate base água", 16, "Vegano", 19, "Alcoólicos", 22, "Zero", 25, "Gelatos Proteicos", 28, 7), 3)) + (ROUND(K200,4) &gt; INDEX('Tabela de ingredientes'!$O$1:$V$30, SWITCH(B200, "Gelatos de Leite", 8, "Sorbets", 11, "Gelatos de Leite com Fruta", 14, "Chocolate base água", 17, "Vegano", 20, "Alcoólicos", 23, "Zero", 26, "Gelatos Proteicos", 29, 8), 3)) + (ROUND(L200,4) &lt; INDEX('Tabela de ingredientes'!$O$1:$V$30, SWITCH(B200, "Gelatos de Leite", 7, "Sorbets", 10, "Gelatos de Leite com Fruta", 13, "Chocolate base água", 16, "Vegano", 19, "Alcoólicos", 22, "Zero", 25, "Gelatos Proteicos", 28, 7), 4)) + (ROUND(L200,4) &gt; INDEX('Tabela de ingredientes'!$O$1:$V$30, SWITCH(B200, "Gelatos de Leite", 8, "Sorbets", 11, "Gelatos de Leite com Fruta", 14, "Chocolate base água", 17, "Vegano", 20, "Alcoólicos", 23, "Zero", 26, "Gelatos Proteicos", 29, 8), 4)) + (ROUND(M200,4) &lt; INDEX('Tabela de ingredientes'!$O$1:$V$30, SWITCH(B200, "Gelatos de Leite", 7, "Sorbets", 10, "Gelatos de Leite com Fruta", 13, "Chocolate base água", 16, "Vegano", 19, "Alcoólicos", 22, "Zero", 25, "Gelatos Proteicos", 28, 7), 5)) + (ROUND(M200,4) &gt; INDEX('Tabela de ingredientes'!$O$1:$V$30, SWITCH(B200, "Gelatos de Leite", 8, "Sorbets", 11, "Gelatos de Leite com Fruta", 14, "Chocolate base água", 17, "Vegano", 20, "Alcoólicos", 23, "Zero", 26, "Gelatos Proteicos", 29, 8), 5)) + (ROUND(N200,4) &lt; INDEX('Tabela de ingredientes'!$O$1:$V$30, SWITCH(B200, "Gelatos de Leite", 7, "Sorbets", 10, "Gelatos de Leite com Fruta", 13, "Chocolate base água", 16, "Vegano", 19, "Alcoólicos", 22, "Zero", 25, "Gelatos Proteicos", 28, 7), 6)) + (ROUND(N200,4) &gt; INDEX('Tabela de ingredientes'!$O$1:$V$30, SWITCH(B200, "Gelatos de Leite", 8, "Sorbets", 11, "Gelatos de Leite com Fruta", 14, "Chocolate base água", 17, "Vegano", 20, "Alcoólicos", 23, "Zero", 26, "Gelatos Proteicos", 29, 8), 6)) + (ROUND(O200,4) &lt; INDEX('Tabela de ingredientes'!$O$1:$V$30, SWITCH(B200, "Gelatos de Leite", 7, "Sorbets", 10, "Gelatos de Leite com Fruta", 13, "Chocolate base água", 16, "Vegano", 19, "Alcoólicos", 22, "Zero", 25, "Gelatos Proteicos", 28, 7), 7)) + (ROUND(O200,4) &gt; INDEX('Tabela de ingredientes'!$O$1:$V$30, SWITCH(B200, "Gelatos de Leite", 8, "Sorbets", 11, "Gelatos de Leite com Fruta", 14, "Chocolate base água", 17, "Vegano", 20, "Alcoólicos", 23, "Zero", 26, "Gelatos Proteicos", 29, 8), 7)) + (ROUND(P200,4) &lt; INDEX('Tabela de ingredientes'!$O$1:$V$30, SWITCH(B200, "Gelatos de Leite", 7, "Sorbets", 10, "Gelatos de Leite com Fruta", 13, "Chocolate base água", 16, "Vegano", 19, "Alcoólicos", 22, "Zero", 25, "Gelatos Proteicos", 28, 7), 8)) + (ROUND(P200,4) &gt; INDEX('Tabela de ingredientes'!$O$1:$V$30, SWITCH(B200, "Gelatos de Leite", 8, "Sorbets", 11, "Gelatos de Leite com Fruta", 14, "Chocolate base água", 17, "Vegano", 20, "Alcoólicos", 23, "Zero", 26, "Gelatos Proteicos", 29, 8), 8)) + IF(B200="Gelatos Proteicos", (ROUND(Q200,4)&lt;'Tabela de ingredientes'!$W$28)+(ROUND(Q200,4)&gt;'Tabela de ingredientes'!$W$29), 0) = 0, "Ok", "Revisar"))</f>
        <v/>
      </c>
    </row>
    <row r="201">
      <c r="A201" s="264"/>
      <c r="B201" s="264" t="s">
        <v>187</v>
      </c>
      <c r="C201" s="264" t="s">
        <v>187</v>
      </c>
      <c r="D201" s="264" t="s">
        <v>187</v>
      </c>
      <c r="E201" s="264" t="s">
        <v>187</v>
      </c>
      <c r="F201" s="264" t="s">
        <v>187</v>
      </c>
      <c r="G201" s="264" t="s">
        <v>187</v>
      </c>
      <c r="H201" s="264" t="s">
        <v>187</v>
      </c>
      <c r="I201" s="264" t="s">
        <v>187</v>
      </c>
      <c r="J201" s="264" t="s">
        <v>187</v>
      </c>
      <c r="K201" s="264" t="s">
        <v>187</v>
      </c>
      <c r="L201" s="264" t="s">
        <v>187</v>
      </c>
      <c r="M201" s="264" t="s">
        <v>187</v>
      </c>
      <c r="N201" s="264" t="s">
        <v>187</v>
      </c>
      <c r="O201" s="264" t="s">
        <v>187</v>
      </c>
      <c r="P201" s="264" t="s">
        <v>187</v>
      </c>
      <c r="Q201" s="264" t="s">
        <v>187</v>
      </c>
      <c r="R201" s="264" t="s">
        <v>187</v>
      </c>
      <c r="S201" s="97" t="str">
        <f t="array" ref="S201">IF(A201="","", IF( (ROUND(I201,4) &lt; INDEX('Tabela de ingredientes'!$O$1:$V$30, SWITCH(B201, "Gelatos de Leite", 7, "Sorbets", 10, "Gelatos de Leite com Fruta", 13, "Chocolate base água", 16, "Vegano", 19, "Alcoólicos", 22, "Zero", 25, "Gelatos Proteicos", 28, 7), 1)) + (ROUND(I201,4) &gt; INDEX('Tabela de ingredientes'!$O$1:$V$30, SWITCH(B201, "Gelatos de Leite", 8, "Sorbets", 11, "Gelatos de Leite com Fruta", 14, "Chocolate base água", 17, "Vegano", 20, "Alcoólicos", 23, "Zero", 26, "Gelatos Proteicos", 29, 8), 1)) + (ROUND(J201,4) &lt; INDEX('Tabela de ingredientes'!$O$1:$V$30, SWITCH(B201, "Gelatos de Leite", 7, "Sorbets", 10, "Gelatos de Leite com Fruta", 13, "Chocolate base água", 16, "Vegano", 19, "Alcoólicos", 22, "Zero", 25, "Gelatos Proteicos", 28, 7), 2)) + (ROUND(J201,4) &gt; INDEX('Tabela de ingredientes'!$O$1:$V$30, SWITCH(B201, "Gelatos de Leite", 8, "Sorbets", 11, "Gelatos de Leite com Fruta", 14, "Chocolate base água", 17, "Vegano", 20, "Alcoólicos", 23, "Zero", 26, "Gelatos Proteicos", 29, 8), 2)) + (ROUND(K201,4) &lt; INDEX('Tabela de ingredientes'!$O$1:$V$30, SWITCH(B201, "Gelatos de Leite", 7, "Sorbets", 10, "Gelatos de Leite com Fruta", 13, "Chocolate base água", 16, "Vegano", 19, "Alcoólicos", 22, "Zero", 25, "Gelatos Proteicos", 28, 7), 3)) + (ROUND(K201,4) &gt; INDEX('Tabela de ingredientes'!$O$1:$V$30, SWITCH(B201, "Gelatos de Leite", 8, "Sorbets", 11, "Gelatos de Leite com Fruta", 14, "Chocolate base água", 17, "Vegano", 20, "Alcoólicos", 23, "Zero", 26, "Gelatos Proteicos", 29, 8), 3)) + (ROUND(L201,4) &lt; INDEX('Tabela de ingredientes'!$O$1:$V$30, SWITCH(B201, "Gelatos de Leite", 7, "Sorbets", 10, "Gelatos de Leite com Fruta", 13, "Chocolate base água", 16, "Vegano", 19, "Alcoólicos", 22, "Zero", 25, "Gelatos Proteicos", 28, 7), 4)) + (ROUND(L201,4) &gt; INDEX('Tabela de ingredientes'!$O$1:$V$30, SWITCH(B201, "Gelatos de Leite", 8, "Sorbets", 11, "Gelatos de Leite com Fruta", 14, "Chocolate base água", 17, "Vegano", 20, "Alcoólicos", 23, "Zero", 26, "Gelatos Proteicos", 29, 8), 4)) + (ROUND(M201,4) &lt; INDEX('Tabela de ingredientes'!$O$1:$V$30, SWITCH(B201, "Gelatos de Leite", 7, "Sorbets", 10, "Gelatos de Leite com Fruta", 13, "Chocolate base água", 16, "Vegano", 19, "Alcoólicos", 22, "Zero", 25, "Gelatos Proteicos", 28, 7), 5)) + (ROUND(M201,4) &gt; INDEX('Tabela de ingredientes'!$O$1:$V$30, SWITCH(B201, "Gelatos de Leite", 8, "Sorbets", 11, "Gelatos de Leite com Fruta", 14, "Chocolate base água", 17, "Vegano", 20, "Alcoólicos", 23, "Zero", 26, "Gelatos Proteicos", 29, 8), 5)) + (ROUND(N201,4) &lt; INDEX('Tabela de ingredientes'!$O$1:$V$30, SWITCH(B201, "Gelatos de Leite", 7, "Sorbets", 10, "Gelatos de Leite com Fruta", 13, "Chocolate base água", 16, "Vegano", 19, "Alcoólicos", 22, "Zero", 25, "Gelatos Proteicos", 28, 7), 6)) + (ROUND(N201,4) &gt; INDEX('Tabela de ingredientes'!$O$1:$V$30, SWITCH(B201, "Gelatos de Leite", 8, "Sorbets", 11, "Gelatos de Leite com Fruta", 14, "Chocolate base água", 17, "Vegano", 20, "Alcoólicos", 23, "Zero", 26, "Gelatos Proteicos", 29, 8), 6)) + (ROUND(O201,4) &lt; INDEX('Tabela de ingredientes'!$O$1:$V$30, SWITCH(B201, "Gelatos de Leite", 7, "Sorbets", 10, "Gelatos de Leite com Fruta", 13, "Chocolate base água", 16, "Vegano", 19, "Alcoólicos", 22, "Zero", 25, "Gelatos Proteicos", 28, 7), 7)) + (ROUND(O201,4) &gt; INDEX('Tabela de ingredientes'!$O$1:$V$30, SWITCH(B201, "Gelatos de Leite", 8, "Sorbets", 11, "Gelatos de Leite com Fruta", 14, "Chocolate base água", 17, "Vegano", 20, "Alcoólicos", 23, "Zero", 26, "Gelatos Proteicos", 29, 8), 7)) + (ROUND(P201,4) &lt; INDEX('Tabela de ingredientes'!$O$1:$V$30, SWITCH(B201, "Gelatos de Leite", 7, "Sorbets", 10, "Gelatos de Leite com Fruta", 13, "Chocolate base água", 16, "Vegano", 19, "Alcoólicos", 22, "Zero", 25, "Gelatos Proteicos", 28, 7), 8)) + (ROUND(P201,4) &gt; INDEX('Tabela de ingredientes'!$O$1:$V$30, SWITCH(B201, "Gelatos de Leite", 8, "Sorbets", 11, "Gelatos de Leite com Fruta", 14, "Chocolate base água", 17, "Vegano", 20, "Alcoólicos", 23, "Zero", 26, "Gelatos Proteicos", 29, 8), 8)) + IF(B201="Gelatos Proteicos", (ROUND(Q201,4)&lt;'Tabela de ingredientes'!$W$28)+(ROUND(Q201,4)&gt;'Tabela de ingredientes'!$W$29), 0) = 0, "Ok", "Revisar"))</f>
        <v/>
      </c>
    </row>
    <row r="202">
      <c r="A202" s="264"/>
      <c r="B202" s="264" t="s">
        <v>187</v>
      </c>
      <c r="C202" s="264" t="s">
        <v>187</v>
      </c>
      <c r="D202" s="264" t="s">
        <v>187</v>
      </c>
      <c r="E202" s="264" t="s">
        <v>187</v>
      </c>
      <c r="F202" s="264" t="s">
        <v>187</v>
      </c>
      <c r="G202" s="264" t="s">
        <v>187</v>
      </c>
      <c r="H202" s="264" t="s">
        <v>187</v>
      </c>
      <c r="I202" s="264" t="s">
        <v>187</v>
      </c>
      <c r="J202" s="264" t="s">
        <v>187</v>
      </c>
      <c r="K202" s="264" t="s">
        <v>187</v>
      </c>
      <c r="L202" s="264" t="s">
        <v>187</v>
      </c>
      <c r="M202" s="264" t="s">
        <v>187</v>
      </c>
      <c r="N202" s="264" t="s">
        <v>187</v>
      </c>
      <c r="O202" s="264" t="s">
        <v>187</v>
      </c>
      <c r="P202" s="264" t="s">
        <v>187</v>
      </c>
      <c r="Q202" s="264" t="s">
        <v>187</v>
      </c>
      <c r="R202" s="264" t="s">
        <v>187</v>
      </c>
      <c r="S202" s="97" t="str">
        <f t="array" ref="S202">IF(A202="","", IF( (ROUND(I202,4) &lt; INDEX('Tabela de ingredientes'!$O$1:$V$30, SWITCH(B202, "Gelatos de Leite", 7, "Sorbets", 10, "Gelatos de Leite com Fruta", 13, "Chocolate base água", 16, "Vegano", 19, "Alcoólicos", 22, "Zero", 25, "Gelatos Proteicos", 28, 7), 1)) + (ROUND(I202,4) &gt; INDEX('Tabela de ingredientes'!$O$1:$V$30, SWITCH(B202, "Gelatos de Leite", 8, "Sorbets", 11, "Gelatos de Leite com Fruta", 14, "Chocolate base água", 17, "Vegano", 20, "Alcoólicos", 23, "Zero", 26, "Gelatos Proteicos", 29, 8), 1)) + (ROUND(J202,4) &lt; INDEX('Tabela de ingredientes'!$O$1:$V$30, SWITCH(B202, "Gelatos de Leite", 7, "Sorbets", 10, "Gelatos de Leite com Fruta", 13, "Chocolate base água", 16, "Vegano", 19, "Alcoólicos", 22, "Zero", 25, "Gelatos Proteicos", 28, 7), 2)) + (ROUND(J202,4) &gt; INDEX('Tabela de ingredientes'!$O$1:$V$30, SWITCH(B202, "Gelatos de Leite", 8, "Sorbets", 11, "Gelatos de Leite com Fruta", 14, "Chocolate base água", 17, "Vegano", 20, "Alcoólicos", 23, "Zero", 26, "Gelatos Proteicos", 29, 8), 2)) + (ROUND(K202,4) &lt; INDEX('Tabela de ingredientes'!$O$1:$V$30, SWITCH(B202, "Gelatos de Leite", 7, "Sorbets", 10, "Gelatos de Leite com Fruta", 13, "Chocolate base água", 16, "Vegano", 19, "Alcoólicos", 22, "Zero", 25, "Gelatos Proteicos", 28, 7), 3)) + (ROUND(K202,4) &gt; INDEX('Tabela de ingredientes'!$O$1:$V$30, SWITCH(B202, "Gelatos de Leite", 8, "Sorbets", 11, "Gelatos de Leite com Fruta", 14, "Chocolate base água", 17, "Vegano", 20, "Alcoólicos", 23, "Zero", 26, "Gelatos Proteicos", 29, 8), 3)) + (ROUND(L202,4) &lt; INDEX('Tabela de ingredientes'!$O$1:$V$30, SWITCH(B202, "Gelatos de Leite", 7, "Sorbets", 10, "Gelatos de Leite com Fruta", 13, "Chocolate base água", 16, "Vegano", 19, "Alcoólicos", 22, "Zero", 25, "Gelatos Proteicos", 28, 7), 4)) + (ROUND(L202,4) &gt; INDEX('Tabela de ingredientes'!$O$1:$V$30, SWITCH(B202, "Gelatos de Leite", 8, "Sorbets", 11, "Gelatos de Leite com Fruta", 14, "Chocolate base água", 17, "Vegano", 20, "Alcoólicos", 23, "Zero", 26, "Gelatos Proteicos", 29, 8), 4)) + (ROUND(M202,4) &lt; INDEX('Tabela de ingredientes'!$O$1:$V$30, SWITCH(B202, "Gelatos de Leite", 7, "Sorbets", 10, "Gelatos de Leite com Fruta", 13, "Chocolate base água", 16, "Vegano", 19, "Alcoólicos", 22, "Zero", 25, "Gelatos Proteicos", 28, 7), 5)) + (ROUND(M202,4) &gt; INDEX('Tabela de ingredientes'!$O$1:$V$30, SWITCH(B202, "Gelatos de Leite", 8, "Sorbets", 11, "Gelatos de Leite com Fruta", 14, "Chocolate base água", 17, "Vegano", 20, "Alcoólicos", 23, "Zero", 26, "Gelatos Proteicos", 29, 8), 5)) + (ROUND(N202,4) &lt; INDEX('Tabela de ingredientes'!$O$1:$V$30, SWITCH(B202, "Gelatos de Leite", 7, "Sorbets", 10, "Gelatos de Leite com Fruta", 13, "Chocolate base água", 16, "Vegano", 19, "Alcoólicos", 22, "Zero", 25, "Gelatos Proteicos", 28, 7), 6)) + (ROUND(N202,4) &gt; INDEX('Tabela de ingredientes'!$O$1:$V$30, SWITCH(B202, "Gelatos de Leite", 8, "Sorbets", 11, "Gelatos de Leite com Fruta", 14, "Chocolate base água", 17, "Vegano", 20, "Alcoólicos", 23, "Zero", 26, "Gelatos Proteicos", 29, 8), 6)) + (ROUND(O202,4) &lt; INDEX('Tabela de ingredientes'!$O$1:$V$30, SWITCH(B202, "Gelatos de Leite", 7, "Sorbets", 10, "Gelatos de Leite com Fruta", 13, "Chocolate base água", 16, "Vegano", 19, "Alcoólicos", 22, "Zero", 25, "Gelatos Proteicos", 28, 7), 7)) + (ROUND(O202,4) &gt; INDEX('Tabela de ingredientes'!$O$1:$V$30, SWITCH(B202, "Gelatos de Leite", 8, "Sorbets", 11, "Gelatos de Leite com Fruta", 14, "Chocolate base água", 17, "Vegano", 20, "Alcoólicos", 23, "Zero", 26, "Gelatos Proteicos", 29, 8), 7)) + (ROUND(P202,4) &lt; INDEX('Tabela de ingredientes'!$O$1:$V$30, SWITCH(B202, "Gelatos de Leite", 7, "Sorbets", 10, "Gelatos de Leite com Fruta", 13, "Chocolate base água", 16, "Vegano", 19, "Alcoólicos", 22, "Zero", 25, "Gelatos Proteicos", 28, 7), 8)) + (ROUND(P202,4) &gt; INDEX('Tabela de ingredientes'!$O$1:$V$30, SWITCH(B202, "Gelatos de Leite", 8, "Sorbets", 11, "Gelatos de Leite com Fruta", 14, "Chocolate base água", 17, "Vegano", 20, "Alcoólicos", 23, "Zero", 26, "Gelatos Proteicos", 29, 8), 8)) + IF(B202="Gelatos Proteicos", (ROUND(Q202,4)&lt;'Tabela de ingredientes'!$W$28)+(ROUND(Q202,4)&gt;'Tabela de ingredientes'!$W$29), 0) = 0, "Ok", "Revisar"))</f>
        <v/>
      </c>
    </row>
    <row r="203">
      <c r="A203" s="264"/>
      <c r="B203" s="264" t="s">
        <v>187</v>
      </c>
      <c r="C203" s="264" t="s">
        <v>187</v>
      </c>
      <c r="D203" s="264" t="s">
        <v>187</v>
      </c>
      <c r="E203" s="264" t="s">
        <v>187</v>
      </c>
      <c r="F203" s="264" t="s">
        <v>187</v>
      </c>
      <c r="G203" s="264" t="s">
        <v>187</v>
      </c>
      <c r="H203" s="264" t="s">
        <v>187</v>
      </c>
      <c r="I203" s="264" t="s">
        <v>187</v>
      </c>
      <c r="J203" s="264" t="s">
        <v>187</v>
      </c>
      <c r="K203" s="264" t="s">
        <v>187</v>
      </c>
      <c r="L203" s="264" t="s">
        <v>187</v>
      </c>
      <c r="M203" s="264" t="s">
        <v>187</v>
      </c>
      <c r="N203" s="264" t="s">
        <v>187</v>
      </c>
      <c r="O203" s="264" t="s">
        <v>187</v>
      </c>
      <c r="P203" s="264" t="s">
        <v>187</v>
      </c>
      <c r="Q203" s="264" t="s">
        <v>187</v>
      </c>
      <c r="R203" s="264" t="s">
        <v>187</v>
      </c>
      <c r="S203" s="97" t="str">
        <f t="array" ref="S203">IF(A203="","", IF( (ROUND(I203,4) &lt; INDEX('Tabela de ingredientes'!$O$1:$V$30, SWITCH(B203, "Gelatos de Leite", 7, "Sorbets", 10, "Gelatos de Leite com Fruta", 13, "Chocolate base água", 16, "Vegano", 19, "Alcoólicos", 22, "Zero", 25, "Gelatos Proteicos", 28, 7), 1)) + (ROUND(I203,4) &gt; INDEX('Tabela de ingredientes'!$O$1:$V$30, SWITCH(B203, "Gelatos de Leite", 8, "Sorbets", 11, "Gelatos de Leite com Fruta", 14, "Chocolate base água", 17, "Vegano", 20, "Alcoólicos", 23, "Zero", 26, "Gelatos Proteicos", 29, 8), 1)) + (ROUND(J203,4) &lt; INDEX('Tabela de ingredientes'!$O$1:$V$30, SWITCH(B203, "Gelatos de Leite", 7, "Sorbets", 10, "Gelatos de Leite com Fruta", 13, "Chocolate base água", 16, "Vegano", 19, "Alcoólicos", 22, "Zero", 25, "Gelatos Proteicos", 28, 7), 2)) + (ROUND(J203,4) &gt; INDEX('Tabela de ingredientes'!$O$1:$V$30, SWITCH(B203, "Gelatos de Leite", 8, "Sorbets", 11, "Gelatos de Leite com Fruta", 14, "Chocolate base água", 17, "Vegano", 20, "Alcoólicos", 23, "Zero", 26, "Gelatos Proteicos", 29, 8), 2)) + (ROUND(K203,4) &lt; INDEX('Tabela de ingredientes'!$O$1:$V$30, SWITCH(B203, "Gelatos de Leite", 7, "Sorbets", 10, "Gelatos de Leite com Fruta", 13, "Chocolate base água", 16, "Vegano", 19, "Alcoólicos", 22, "Zero", 25, "Gelatos Proteicos", 28, 7), 3)) + (ROUND(K203,4) &gt; INDEX('Tabela de ingredientes'!$O$1:$V$30, SWITCH(B203, "Gelatos de Leite", 8, "Sorbets", 11, "Gelatos de Leite com Fruta", 14, "Chocolate base água", 17, "Vegano", 20, "Alcoólicos", 23, "Zero", 26, "Gelatos Proteicos", 29, 8), 3)) + (ROUND(L203,4) &lt; INDEX('Tabela de ingredientes'!$O$1:$V$30, SWITCH(B203, "Gelatos de Leite", 7, "Sorbets", 10, "Gelatos de Leite com Fruta", 13, "Chocolate base água", 16, "Vegano", 19, "Alcoólicos", 22, "Zero", 25, "Gelatos Proteicos", 28, 7), 4)) + (ROUND(L203,4) &gt; INDEX('Tabela de ingredientes'!$O$1:$V$30, SWITCH(B203, "Gelatos de Leite", 8, "Sorbets", 11, "Gelatos de Leite com Fruta", 14, "Chocolate base água", 17, "Vegano", 20, "Alcoólicos", 23, "Zero", 26, "Gelatos Proteicos", 29, 8), 4)) + (ROUND(M203,4) &lt; INDEX('Tabela de ingredientes'!$O$1:$V$30, SWITCH(B203, "Gelatos de Leite", 7, "Sorbets", 10, "Gelatos de Leite com Fruta", 13, "Chocolate base água", 16, "Vegano", 19, "Alcoólicos", 22, "Zero", 25, "Gelatos Proteicos", 28, 7), 5)) + (ROUND(M203,4) &gt; INDEX('Tabela de ingredientes'!$O$1:$V$30, SWITCH(B203, "Gelatos de Leite", 8, "Sorbets", 11, "Gelatos de Leite com Fruta", 14, "Chocolate base água", 17, "Vegano", 20, "Alcoólicos", 23, "Zero", 26, "Gelatos Proteicos", 29, 8), 5)) + (ROUND(N203,4) &lt; INDEX('Tabela de ingredientes'!$O$1:$V$30, SWITCH(B203, "Gelatos de Leite", 7, "Sorbets", 10, "Gelatos de Leite com Fruta", 13, "Chocolate base água", 16, "Vegano", 19, "Alcoólicos", 22, "Zero", 25, "Gelatos Proteicos", 28, 7), 6)) + (ROUND(N203,4) &gt; INDEX('Tabela de ingredientes'!$O$1:$V$30, SWITCH(B203, "Gelatos de Leite", 8, "Sorbets", 11, "Gelatos de Leite com Fruta", 14, "Chocolate base água", 17, "Vegano", 20, "Alcoólicos", 23, "Zero", 26, "Gelatos Proteicos", 29, 8), 6)) + (ROUND(O203,4) &lt; INDEX('Tabela de ingredientes'!$O$1:$V$30, SWITCH(B203, "Gelatos de Leite", 7, "Sorbets", 10, "Gelatos de Leite com Fruta", 13, "Chocolate base água", 16, "Vegano", 19, "Alcoólicos", 22, "Zero", 25, "Gelatos Proteicos", 28, 7), 7)) + (ROUND(O203,4) &gt; INDEX('Tabela de ingredientes'!$O$1:$V$30, SWITCH(B203, "Gelatos de Leite", 8, "Sorbets", 11, "Gelatos de Leite com Fruta", 14, "Chocolate base água", 17, "Vegano", 20, "Alcoólicos", 23, "Zero", 26, "Gelatos Proteicos", 29, 8), 7)) + (ROUND(P203,4) &lt; INDEX('Tabela de ingredientes'!$O$1:$V$30, SWITCH(B203, "Gelatos de Leite", 7, "Sorbets", 10, "Gelatos de Leite com Fruta", 13, "Chocolate base água", 16, "Vegano", 19, "Alcoólicos", 22, "Zero", 25, "Gelatos Proteicos", 28, 7), 8)) + (ROUND(P203,4) &gt; INDEX('Tabela de ingredientes'!$O$1:$V$30, SWITCH(B203, "Gelatos de Leite", 8, "Sorbets", 11, "Gelatos de Leite com Fruta", 14, "Chocolate base água", 17, "Vegano", 20, "Alcoólicos", 23, "Zero", 26, "Gelatos Proteicos", 29, 8), 8)) + IF(B203="Gelatos Proteicos", (ROUND(Q203,4)&lt;'Tabela de ingredientes'!$W$28)+(ROUND(Q203,4)&gt;'Tabela de ingredientes'!$W$29), 0) = 0, "Ok", "Revisar"))</f>
        <v/>
      </c>
    </row>
    <row r="204">
      <c r="A204" s="264"/>
      <c r="B204" s="264" t="s">
        <v>187</v>
      </c>
      <c r="C204" s="264" t="s">
        <v>187</v>
      </c>
      <c r="D204" s="264" t="s">
        <v>187</v>
      </c>
      <c r="E204" s="264" t="s">
        <v>187</v>
      </c>
      <c r="F204" s="264" t="s">
        <v>187</v>
      </c>
      <c r="G204" s="264" t="s">
        <v>187</v>
      </c>
      <c r="H204" s="264" t="s">
        <v>187</v>
      </c>
      <c r="I204" s="264" t="s">
        <v>187</v>
      </c>
      <c r="J204" s="264" t="s">
        <v>187</v>
      </c>
      <c r="K204" s="264" t="s">
        <v>187</v>
      </c>
      <c r="L204" s="264" t="s">
        <v>187</v>
      </c>
      <c r="M204" s="264" t="s">
        <v>187</v>
      </c>
      <c r="N204" s="264" t="s">
        <v>187</v>
      </c>
      <c r="O204" s="264" t="s">
        <v>187</v>
      </c>
      <c r="P204" s="264" t="s">
        <v>187</v>
      </c>
      <c r="Q204" s="264" t="s">
        <v>187</v>
      </c>
      <c r="R204" s="264" t="s">
        <v>187</v>
      </c>
      <c r="S204" s="97" t="str">
        <f t="array" ref="S204">IF(A204="","", IF( (ROUND(I204,4) &lt; INDEX('Tabela de ingredientes'!$O$1:$V$30, SWITCH(B204, "Gelatos de Leite", 7, "Sorbets", 10, "Gelatos de Leite com Fruta", 13, "Chocolate base água", 16, "Vegano", 19, "Alcoólicos", 22, "Zero", 25, "Gelatos Proteicos", 28, 7), 1)) + (ROUND(I204,4) &gt; INDEX('Tabela de ingredientes'!$O$1:$V$30, SWITCH(B204, "Gelatos de Leite", 8, "Sorbets", 11, "Gelatos de Leite com Fruta", 14, "Chocolate base água", 17, "Vegano", 20, "Alcoólicos", 23, "Zero", 26, "Gelatos Proteicos", 29, 8), 1)) + (ROUND(J204,4) &lt; INDEX('Tabela de ingredientes'!$O$1:$V$30, SWITCH(B204, "Gelatos de Leite", 7, "Sorbets", 10, "Gelatos de Leite com Fruta", 13, "Chocolate base água", 16, "Vegano", 19, "Alcoólicos", 22, "Zero", 25, "Gelatos Proteicos", 28, 7), 2)) + (ROUND(J204,4) &gt; INDEX('Tabela de ingredientes'!$O$1:$V$30, SWITCH(B204, "Gelatos de Leite", 8, "Sorbets", 11, "Gelatos de Leite com Fruta", 14, "Chocolate base água", 17, "Vegano", 20, "Alcoólicos", 23, "Zero", 26, "Gelatos Proteicos", 29, 8), 2)) + (ROUND(K204,4) &lt; INDEX('Tabela de ingredientes'!$O$1:$V$30, SWITCH(B204, "Gelatos de Leite", 7, "Sorbets", 10, "Gelatos de Leite com Fruta", 13, "Chocolate base água", 16, "Vegano", 19, "Alcoólicos", 22, "Zero", 25, "Gelatos Proteicos", 28, 7), 3)) + (ROUND(K204,4) &gt; INDEX('Tabela de ingredientes'!$O$1:$V$30, SWITCH(B204, "Gelatos de Leite", 8, "Sorbets", 11, "Gelatos de Leite com Fruta", 14, "Chocolate base água", 17, "Vegano", 20, "Alcoólicos", 23, "Zero", 26, "Gelatos Proteicos", 29, 8), 3)) + (ROUND(L204,4) &lt; INDEX('Tabela de ingredientes'!$O$1:$V$30, SWITCH(B204, "Gelatos de Leite", 7, "Sorbets", 10, "Gelatos de Leite com Fruta", 13, "Chocolate base água", 16, "Vegano", 19, "Alcoólicos", 22, "Zero", 25, "Gelatos Proteicos", 28, 7), 4)) + (ROUND(L204,4) &gt; INDEX('Tabela de ingredientes'!$O$1:$V$30, SWITCH(B204, "Gelatos de Leite", 8, "Sorbets", 11, "Gelatos de Leite com Fruta", 14, "Chocolate base água", 17, "Vegano", 20, "Alcoólicos", 23, "Zero", 26, "Gelatos Proteicos", 29, 8), 4)) + (ROUND(M204,4) &lt; INDEX('Tabela de ingredientes'!$O$1:$V$30, SWITCH(B204, "Gelatos de Leite", 7, "Sorbets", 10, "Gelatos de Leite com Fruta", 13, "Chocolate base água", 16, "Vegano", 19, "Alcoólicos", 22, "Zero", 25, "Gelatos Proteicos", 28, 7), 5)) + (ROUND(M204,4) &gt; INDEX('Tabela de ingredientes'!$O$1:$V$30, SWITCH(B204, "Gelatos de Leite", 8, "Sorbets", 11, "Gelatos de Leite com Fruta", 14, "Chocolate base água", 17, "Vegano", 20, "Alcoólicos", 23, "Zero", 26, "Gelatos Proteicos", 29, 8), 5)) + (ROUND(N204,4) &lt; INDEX('Tabela de ingredientes'!$O$1:$V$30, SWITCH(B204, "Gelatos de Leite", 7, "Sorbets", 10, "Gelatos de Leite com Fruta", 13, "Chocolate base água", 16, "Vegano", 19, "Alcoólicos", 22, "Zero", 25, "Gelatos Proteicos", 28, 7), 6)) + (ROUND(N204,4) &gt; INDEX('Tabela de ingredientes'!$O$1:$V$30, SWITCH(B204, "Gelatos de Leite", 8, "Sorbets", 11, "Gelatos de Leite com Fruta", 14, "Chocolate base água", 17, "Vegano", 20, "Alcoólicos", 23, "Zero", 26, "Gelatos Proteicos", 29, 8), 6)) + (ROUND(O204,4) &lt; INDEX('Tabela de ingredientes'!$O$1:$V$30, SWITCH(B204, "Gelatos de Leite", 7, "Sorbets", 10, "Gelatos de Leite com Fruta", 13, "Chocolate base água", 16, "Vegano", 19, "Alcoólicos", 22, "Zero", 25, "Gelatos Proteicos", 28, 7), 7)) + (ROUND(O204,4) &gt; INDEX('Tabela de ingredientes'!$O$1:$V$30, SWITCH(B204, "Gelatos de Leite", 8, "Sorbets", 11, "Gelatos de Leite com Fruta", 14, "Chocolate base água", 17, "Vegano", 20, "Alcoólicos", 23, "Zero", 26, "Gelatos Proteicos", 29, 8), 7)) + (ROUND(P204,4) &lt; INDEX('Tabela de ingredientes'!$O$1:$V$30, SWITCH(B204, "Gelatos de Leite", 7, "Sorbets", 10, "Gelatos de Leite com Fruta", 13, "Chocolate base água", 16, "Vegano", 19, "Alcoólicos", 22, "Zero", 25, "Gelatos Proteicos", 28, 7), 8)) + (ROUND(P204,4) &gt; INDEX('Tabela de ingredientes'!$O$1:$V$30, SWITCH(B204, "Gelatos de Leite", 8, "Sorbets", 11, "Gelatos de Leite com Fruta", 14, "Chocolate base água", 17, "Vegano", 20, "Alcoólicos", 23, "Zero", 26, "Gelatos Proteicos", 29, 8), 8)) + IF(B204="Gelatos Proteicos", (ROUND(Q204,4)&lt;'Tabela de ingredientes'!$W$28)+(ROUND(Q204,4)&gt;'Tabela de ingredientes'!$W$29), 0) = 0, "Ok", "Revisar"))</f>
        <v/>
      </c>
    </row>
    <row r="205">
      <c r="A205" s="264"/>
      <c r="B205" s="264" t="s">
        <v>187</v>
      </c>
      <c r="C205" s="264" t="s">
        <v>187</v>
      </c>
      <c r="D205" s="264" t="s">
        <v>187</v>
      </c>
      <c r="E205" s="264" t="s">
        <v>187</v>
      </c>
      <c r="F205" s="264" t="s">
        <v>187</v>
      </c>
      <c r="G205" s="264" t="s">
        <v>187</v>
      </c>
      <c r="H205" s="264" t="s">
        <v>187</v>
      </c>
      <c r="I205" s="264" t="s">
        <v>187</v>
      </c>
      <c r="J205" s="264" t="s">
        <v>187</v>
      </c>
      <c r="K205" s="264" t="s">
        <v>187</v>
      </c>
      <c r="L205" s="264" t="s">
        <v>187</v>
      </c>
      <c r="M205" s="264" t="s">
        <v>187</v>
      </c>
      <c r="N205" s="264" t="s">
        <v>187</v>
      </c>
      <c r="O205" s="264" t="s">
        <v>187</v>
      </c>
      <c r="P205" s="264" t="s">
        <v>187</v>
      </c>
      <c r="Q205" s="264" t="s">
        <v>187</v>
      </c>
      <c r="R205" s="264" t="s">
        <v>187</v>
      </c>
      <c r="S205" s="97" t="str">
        <f t="array" ref="S205">IF(A205="","", IF( (ROUND(I205,4) &lt; INDEX('Tabela de ingredientes'!$O$1:$V$30, SWITCH(B205, "Gelatos de Leite", 7, "Sorbets", 10, "Gelatos de Leite com Fruta", 13, "Chocolate base água", 16, "Vegano", 19, "Alcoólicos", 22, "Zero", 25, "Gelatos Proteicos", 28, 7), 1)) + (ROUND(I205,4) &gt; INDEX('Tabela de ingredientes'!$O$1:$V$30, SWITCH(B205, "Gelatos de Leite", 8, "Sorbets", 11, "Gelatos de Leite com Fruta", 14, "Chocolate base água", 17, "Vegano", 20, "Alcoólicos", 23, "Zero", 26, "Gelatos Proteicos", 29, 8), 1)) + (ROUND(J205,4) &lt; INDEX('Tabela de ingredientes'!$O$1:$V$30, SWITCH(B205, "Gelatos de Leite", 7, "Sorbets", 10, "Gelatos de Leite com Fruta", 13, "Chocolate base água", 16, "Vegano", 19, "Alcoólicos", 22, "Zero", 25, "Gelatos Proteicos", 28, 7), 2)) + (ROUND(J205,4) &gt; INDEX('Tabela de ingredientes'!$O$1:$V$30, SWITCH(B205, "Gelatos de Leite", 8, "Sorbets", 11, "Gelatos de Leite com Fruta", 14, "Chocolate base água", 17, "Vegano", 20, "Alcoólicos", 23, "Zero", 26, "Gelatos Proteicos", 29, 8), 2)) + (ROUND(K205,4) &lt; INDEX('Tabela de ingredientes'!$O$1:$V$30, SWITCH(B205, "Gelatos de Leite", 7, "Sorbets", 10, "Gelatos de Leite com Fruta", 13, "Chocolate base água", 16, "Vegano", 19, "Alcoólicos", 22, "Zero", 25, "Gelatos Proteicos", 28, 7), 3)) + (ROUND(K205,4) &gt; INDEX('Tabela de ingredientes'!$O$1:$V$30, SWITCH(B205, "Gelatos de Leite", 8, "Sorbets", 11, "Gelatos de Leite com Fruta", 14, "Chocolate base água", 17, "Vegano", 20, "Alcoólicos", 23, "Zero", 26, "Gelatos Proteicos", 29, 8), 3)) + (ROUND(L205,4) &lt; INDEX('Tabela de ingredientes'!$O$1:$V$30, SWITCH(B205, "Gelatos de Leite", 7, "Sorbets", 10, "Gelatos de Leite com Fruta", 13, "Chocolate base água", 16, "Vegano", 19, "Alcoólicos", 22, "Zero", 25, "Gelatos Proteicos", 28, 7), 4)) + (ROUND(L205,4) &gt; INDEX('Tabela de ingredientes'!$O$1:$V$30, SWITCH(B205, "Gelatos de Leite", 8, "Sorbets", 11, "Gelatos de Leite com Fruta", 14, "Chocolate base água", 17, "Vegano", 20, "Alcoólicos", 23, "Zero", 26, "Gelatos Proteicos", 29, 8), 4)) + (ROUND(M205,4) &lt; INDEX('Tabela de ingredientes'!$O$1:$V$30, SWITCH(B205, "Gelatos de Leite", 7, "Sorbets", 10, "Gelatos de Leite com Fruta", 13, "Chocolate base água", 16, "Vegano", 19, "Alcoólicos", 22, "Zero", 25, "Gelatos Proteicos", 28, 7), 5)) + (ROUND(M205,4) &gt; INDEX('Tabela de ingredientes'!$O$1:$V$30, SWITCH(B205, "Gelatos de Leite", 8, "Sorbets", 11, "Gelatos de Leite com Fruta", 14, "Chocolate base água", 17, "Vegano", 20, "Alcoólicos", 23, "Zero", 26, "Gelatos Proteicos", 29, 8), 5)) + (ROUND(N205,4) &lt; INDEX('Tabela de ingredientes'!$O$1:$V$30, SWITCH(B205, "Gelatos de Leite", 7, "Sorbets", 10, "Gelatos de Leite com Fruta", 13, "Chocolate base água", 16, "Vegano", 19, "Alcoólicos", 22, "Zero", 25, "Gelatos Proteicos", 28, 7), 6)) + (ROUND(N205,4) &gt; INDEX('Tabela de ingredientes'!$O$1:$V$30, SWITCH(B205, "Gelatos de Leite", 8, "Sorbets", 11, "Gelatos de Leite com Fruta", 14, "Chocolate base água", 17, "Vegano", 20, "Alcoólicos", 23, "Zero", 26, "Gelatos Proteicos", 29, 8), 6)) + (ROUND(O205,4) &lt; INDEX('Tabela de ingredientes'!$O$1:$V$30, SWITCH(B205, "Gelatos de Leite", 7, "Sorbets", 10, "Gelatos de Leite com Fruta", 13, "Chocolate base água", 16, "Vegano", 19, "Alcoólicos", 22, "Zero", 25, "Gelatos Proteicos", 28, 7), 7)) + (ROUND(O205,4) &gt; INDEX('Tabela de ingredientes'!$O$1:$V$30, SWITCH(B205, "Gelatos de Leite", 8, "Sorbets", 11, "Gelatos de Leite com Fruta", 14, "Chocolate base água", 17, "Vegano", 20, "Alcoólicos", 23, "Zero", 26, "Gelatos Proteicos", 29, 8), 7)) + (ROUND(P205,4) &lt; INDEX('Tabela de ingredientes'!$O$1:$V$30, SWITCH(B205, "Gelatos de Leite", 7, "Sorbets", 10, "Gelatos de Leite com Fruta", 13, "Chocolate base água", 16, "Vegano", 19, "Alcoólicos", 22, "Zero", 25, "Gelatos Proteicos", 28, 7), 8)) + (ROUND(P205,4) &gt; INDEX('Tabela de ingredientes'!$O$1:$V$30, SWITCH(B205, "Gelatos de Leite", 8, "Sorbets", 11, "Gelatos de Leite com Fruta", 14, "Chocolate base água", 17, "Vegano", 20, "Alcoólicos", 23, "Zero", 26, "Gelatos Proteicos", 29, 8), 8)) + IF(B205="Gelatos Proteicos", (ROUND(Q205,4)&lt;'Tabela de ingredientes'!$W$28)+(ROUND(Q205,4)&gt;'Tabela de ingredientes'!$W$29), 0) = 0, "Ok", "Revisar"))</f>
        <v/>
      </c>
    </row>
    <row r="206">
      <c r="A206" s="264"/>
      <c r="B206" s="264" t="s">
        <v>187</v>
      </c>
      <c r="C206" s="264" t="s">
        <v>187</v>
      </c>
      <c r="D206" s="264" t="s">
        <v>187</v>
      </c>
      <c r="E206" s="264" t="s">
        <v>187</v>
      </c>
      <c r="F206" s="264" t="s">
        <v>187</v>
      </c>
      <c r="G206" s="264" t="s">
        <v>187</v>
      </c>
      <c r="H206" s="264" t="s">
        <v>187</v>
      </c>
      <c r="I206" s="264" t="s">
        <v>187</v>
      </c>
      <c r="J206" s="264" t="s">
        <v>187</v>
      </c>
      <c r="K206" s="264" t="s">
        <v>187</v>
      </c>
      <c r="L206" s="264" t="s">
        <v>187</v>
      </c>
      <c r="M206" s="264" t="s">
        <v>187</v>
      </c>
      <c r="N206" s="264" t="s">
        <v>187</v>
      </c>
      <c r="O206" s="264" t="s">
        <v>187</v>
      </c>
      <c r="P206" s="264" t="s">
        <v>187</v>
      </c>
      <c r="Q206" s="264" t="s">
        <v>187</v>
      </c>
      <c r="R206" s="264" t="s">
        <v>187</v>
      </c>
      <c r="S206" s="97" t="str">
        <f t="array" ref="S206">IF(A206="","", IF( (ROUND(I206,4) &lt; INDEX('Tabela de ingredientes'!$O$1:$V$30, SWITCH(B206, "Gelatos de Leite", 7, "Sorbets", 10, "Gelatos de Leite com Fruta", 13, "Chocolate base água", 16, "Vegano", 19, "Alcoólicos", 22, "Zero", 25, "Gelatos Proteicos", 28, 7), 1)) + (ROUND(I206,4) &gt; INDEX('Tabela de ingredientes'!$O$1:$V$30, SWITCH(B206, "Gelatos de Leite", 8, "Sorbets", 11, "Gelatos de Leite com Fruta", 14, "Chocolate base água", 17, "Vegano", 20, "Alcoólicos", 23, "Zero", 26, "Gelatos Proteicos", 29, 8), 1)) + (ROUND(J206,4) &lt; INDEX('Tabela de ingredientes'!$O$1:$V$30, SWITCH(B206, "Gelatos de Leite", 7, "Sorbets", 10, "Gelatos de Leite com Fruta", 13, "Chocolate base água", 16, "Vegano", 19, "Alcoólicos", 22, "Zero", 25, "Gelatos Proteicos", 28, 7), 2)) + (ROUND(J206,4) &gt; INDEX('Tabela de ingredientes'!$O$1:$V$30, SWITCH(B206, "Gelatos de Leite", 8, "Sorbets", 11, "Gelatos de Leite com Fruta", 14, "Chocolate base água", 17, "Vegano", 20, "Alcoólicos", 23, "Zero", 26, "Gelatos Proteicos", 29, 8), 2)) + (ROUND(K206,4) &lt; INDEX('Tabela de ingredientes'!$O$1:$V$30, SWITCH(B206, "Gelatos de Leite", 7, "Sorbets", 10, "Gelatos de Leite com Fruta", 13, "Chocolate base água", 16, "Vegano", 19, "Alcoólicos", 22, "Zero", 25, "Gelatos Proteicos", 28, 7), 3)) + (ROUND(K206,4) &gt; INDEX('Tabela de ingredientes'!$O$1:$V$30, SWITCH(B206, "Gelatos de Leite", 8, "Sorbets", 11, "Gelatos de Leite com Fruta", 14, "Chocolate base água", 17, "Vegano", 20, "Alcoólicos", 23, "Zero", 26, "Gelatos Proteicos", 29, 8), 3)) + (ROUND(L206,4) &lt; INDEX('Tabela de ingredientes'!$O$1:$V$30, SWITCH(B206, "Gelatos de Leite", 7, "Sorbets", 10, "Gelatos de Leite com Fruta", 13, "Chocolate base água", 16, "Vegano", 19, "Alcoólicos", 22, "Zero", 25, "Gelatos Proteicos", 28, 7), 4)) + (ROUND(L206,4) &gt; INDEX('Tabela de ingredientes'!$O$1:$V$30, SWITCH(B206, "Gelatos de Leite", 8, "Sorbets", 11, "Gelatos de Leite com Fruta", 14, "Chocolate base água", 17, "Vegano", 20, "Alcoólicos", 23, "Zero", 26, "Gelatos Proteicos", 29, 8), 4)) + (ROUND(M206,4) &lt; INDEX('Tabela de ingredientes'!$O$1:$V$30, SWITCH(B206, "Gelatos de Leite", 7, "Sorbets", 10, "Gelatos de Leite com Fruta", 13, "Chocolate base água", 16, "Vegano", 19, "Alcoólicos", 22, "Zero", 25, "Gelatos Proteicos", 28, 7), 5)) + (ROUND(M206,4) &gt; INDEX('Tabela de ingredientes'!$O$1:$V$30, SWITCH(B206, "Gelatos de Leite", 8, "Sorbets", 11, "Gelatos de Leite com Fruta", 14, "Chocolate base água", 17, "Vegano", 20, "Alcoólicos", 23, "Zero", 26, "Gelatos Proteicos", 29, 8), 5)) + (ROUND(N206,4) &lt; INDEX('Tabela de ingredientes'!$O$1:$V$30, SWITCH(B206, "Gelatos de Leite", 7, "Sorbets", 10, "Gelatos de Leite com Fruta", 13, "Chocolate base água", 16, "Vegano", 19, "Alcoólicos", 22, "Zero", 25, "Gelatos Proteicos", 28, 7), 6)) + (ROUND(N206,4) &gt; INDEX('Tabela de ingredientes'!$O$1:$V$30, SWITCH(B206, "Gelatos de Leite", 8, "Sorbets", 11, "Gelatos de Leite com Fruta", 14, "Chocolate base água", 17, "Vegano", 20, "Alcoólicos", 23, "Zero", 26, "Gelatos Proteicos", 29, 8), 6)) + (ROUND(O206,4) &lt; INDEX('Tabela de ingredientes'!$O$1:$V$30, SWITCH(B206, "Gelatos de Leite", 7, "Sorbets", 10, "Gelatos de Leite com Fruta", 13, "Chocolate base água", 16, "Vegano", 19, "Alcoólicos", 22, "Zero", 25, "Gelatos Proteicos", 28, 7), 7)) + (ROUND(O206,4) &gt; INDEX('Tabela de ingredientes'!$O$1:$V$30, SWITCH(B206, "Gelatos de Leite", 8, "Sorbets", 11, "Gelatos de Leite com Fruta", 14, "Chocolate base água", 17, "Vegano", 20, "Alcoólicos", 23, "Zero", 26, "Gelatos Proteicos", 29, 8), 7)) + (ROUND(P206,4) &lt; INDEX('Tabela de ingredientes'!$O$1:$V$30, SWITCH(B206, "Gelatos de Leite", 7, "Sorbets", 10, "Gelatos de Leite com Fruta", 13, "Chocolate base água", 16, "Vegano", 19, "Alcoólicos", 22, "Zero", 25, "Gelatos Proteicos", 28, 7), 8)) + (ROUND(P206,4) &gt; INDEX('Tabela de ingredientes'!$O$1:$V$30, SWITCH(B206, "Gelatos de Leite", 8, "Sorbets", 11, "Gelatos de Leite com Fruta", 14, "Chocolate base água", 17, "Vegano", 20, "Alcoólicos", 23, "Zero", 26, "Gelatos Proteicos", 29, 8), 8)) + IF(B206="Gelatos Proteicos", (ROUND(Q206,4)&lt;'Tabela de ingredientes'!$W$28)+(ROUND(Q206,4)&gt;'Tabela de ingredientes'!$W$29), 0) = 0, "Ok", "Revisar"))</f>
        <v/>
      </c>
    </row>
    <row r="207">
      <c r="A207" s="264"/>
      <c r="B207" s="264" t="s">
        <v>187</v>
      </c>
      <c r="C207" s="264" t="s">
        <v>187</v>
      </c>
      <c r="D207" s="264" t="s">
        <v>187</v>
      </c>
      <c r="E207" s="264" t="s">
        <v>187</v>
      </c>
      <c r="F207" s="264" t="s">
        <v>187</v>
      </c>
      <c r="G207" s="264" t="s">
        <v>187</v>
      </c>
      <c r="H207" s="264" t="s">
        <v>187</v>
      </c>
      <c r="I207" s="264" t="s">
        <v>187</v>
      </c>
      <c r="J207" s="264" t="s">
        <v>187</v>
      </c>
      <c r="K207" s="264" t="s">
        <v>187</v>
      </c>
      <c r="L207" s="264" t="s">
        <v>187</v>
      </c>
      <c r="M207" s="264" t="s">
        <v>187</v>
      </c>
      <c r="N207" s="264" t="s">
        <v>187</v>
      </c>
      <c r="O207" s="264" t="s">
        <v>187</v>
      </c>
      <c r="P207" s="264" t="s">
        <v>187</v>
      </c>
      <c r="Q207" s="264" t="s">
        <v>187</v>
      </c>
      <c r="R207" s="264" t="s">
        <v>187</v>
      </c>
      <c r="S207" s="97" t="str">
        <f t="array" ref="S207">IF(A207="","", IF( (ROUND(I207,4) &lt; INDEX('Tabela de ingredientes'!$O$1:$V$30, SWITCH(B207, "Gelatos de Leite", 7, "Sorbets", 10, "Gelatos de Leite com Fruta", 13, "Chocolate base água", 16, "Vegano", 19, "Alcoólicos", 22, "Zero", 25, "Gelatos Proteicos", 28, 7), 1)) + (ROUND(I207,4) &gt; INDEX('Tabela de ingredientes'!$O$1:$V$30, SWITCH(B207, "Gelatos de Leite", 8, "Sorbets", 11, "Gelatos de Leite com Fruta", 14, "Chocolate base água", 17, "Vegano", 20, "Alcoólicos", 23, "Zero", 26, "Gelatos Proteicos", 29, 8), 1)) + (ROUND(J207,4) &lt; INDEX('Tabela de ingredientes'!$O$1:$V$30, SWITCH(B207, "Gelatos de Leite", 7, "Sorbets", 10, "Gelatos de Leite com Fruta", 13, "Chocolate base água", 16, "Vegano", 19, "Alcoólicos", 22, "Zero", 25, "Gelatos Proteicos", 28, 7), 2)) + (ROUND(J207,4) &gt; INDEX('Tabela de ingredientes'!$O$1:$V$30, SWITCH(B207, "Gelatos de Leite", 8, "Sorbets", 11, "Gelatos de Leite com Fruta", 14, "Chocolate base água", 17, "Vegano", 20, "Alcoólicos", 23, "Zero", 26, "Gelatos Proteicos", 29, 8), 2)) + (ROUND(K207,4) &lt; INDEX('Tabela de ingredientes'!$O$1:$V$30, SWITCH(B207, "Gelatos de Leite", 7, "Sorbets", 10, "Gelatos de Leite com Fruta", 13, "Chocolate base água", 16, "Vegano", 19, "Alcoólicos", 22, "Zero", 25, "Gelatos Proteicos", 28, 7), 3)) + (ROUND(K207,4) &gt; INDEX('Tabela de ingredientes'!$O$1:$V$30, SWITCH(B207, "Gelatos de Leite", 8, "Sorbets", 11, "Gelatos de Leite com Fruta", 14, "Chocolate base água", 17, "Vegano", 20, "Alcoólicos", 23, "Zero", 26, "Gelatos Proteicos", 29, 8), 3)) + (ROUND(L207,4) &lt; INDEX('Tabela de ingredientes'!$O$1:$V$30, SWITCH(B207, "Gelatos de Leite", 7, "Sorbets", 10, "Gelatos de Leite com Fruta", 13, "Chocolate base água", 16, "Vegano", 19, "Alcoólicos", 22, "Zero", 25, "Gelatos Proteicos", 28, 7), 4)) + (ROUND(L207,4) &gt; INDEX('Tabela de ingredientes'!$O$1:$V$30, SWITCH(B207, "Gelatos de Leite", 8, "Sorbets", 11, "Gelatos de Leite com Fruta", 14, "Chocolate base água", 17, "Vegano", 20, "Alcoólicos", 23, "Zero", 26, "Gelatos Proteicos", 29, 8), 4)) + (ROUND(M207,4) &lt; INDEX('Tabela de ingredientes'!$O$1:$V$30, SWITCH(B207, "Gelatos de Leite", 7, "Sorbets", 10, "Gelatos de Leite com Fruta", 13, "Chocolate base água", 16, "Vegano", 19, "Alcoólicos", 22, "Zero", 25, "Gelatos Proteicos", 28, 7), 5)) + (ROUND(M207,4) &gt; INDEX('Tabela de ingredientes'!$O$1:$V$30, SWITCH(B207, "Gelatos de Leite", 8, "Sorbets", 11, "Gelatos de Leite com Fruta", 14, "Chocolate base água", 17, "Vegano", 20, "Alcoólicos", 23, "Zero", 26, "Gelatos Proteicos", 29, 8), 5)) + (ROUND(N207,4) &lt; INDEX('Tabela de ingredientes'!$O$1:$V$30, SWITCH(B207, "Gelatos de Leite", 7, "Sorbets", 10, "Gelatos de Leite com Fruta", 13, "Chocolate base água", 16, "Vegano", 19, "Alcoólicos", 22, "Zero", 25, "Gelatos Proteicos", 28, 7), 6)) + (ROUND(N207,4) &gt; INDEX('Tabela de ingredientes'!$O$1:$V$30, SWITCH(B207, "Gelatos de Leite", 8, "Sorbets", 11, "Gelatos de Leite com Fruta", 14, "Chocolate base água", 17, "Vegano", 20, "Alcoólicos", 23, "Zero", 26, "Gelatos Proteicos", 29, 8), 6)) + (ROUND(O207,4) &lt; INDEX('Tabela de ingredientes'!$O$1:$V$30, SWITCH(B207, "Gelatos de Leite", 7, "Sorbets", 10, "Gelatos de Leite com Fruta", 13, "Chocolate base água", 16, "Vegano", 19, "Alcoólicos", 22, "Zero", 25, "Gelatos Proteicos", 28, 7), 7)) + (ROUND(O207,4) &gt; INDEX('Tabela de ingredientes'!$O$1:$V$30, SWITCH(B207, "Gelatos de Leite", 8, "Sorbets", 11, "Gelatos de Leite com Fruta", 14, "Chocolate base água", 17, "Vegano", 20, "Alcoólicos", 23, "Zero", 26, "Gelatos Proteicos", 29, 8), 7)) + (ROUND(P207,4) &lt; INDEX('Tabela de ingredientes'!$O$1:$V$30, SWITCH(B207, "Gelatos de Leite", 7, "Sorbets", 10, "Gelatos de Leite com Fruta", 13, "Chocolate base água", 16, "Vegano", 19, "Alcoólicos", 22, "Zero", 25, "Gelatos Proteicos", 28, 7), 8)) + (ROUND(P207,4) &gt; INDEX('Tabela de ingredientes'!$O$1:$V$30, SWITCH(B207, "Gelatos de Leite", 8, "Sorbets", 11, "Gelatos de Leite com Fruta", 14, "Chocolate base água", 17, "Vegano", 20, "Alcoólicos", 23, "Zero", 26, "Gelatos Proteicos", 29, 8), 8)) + IF(B207="Gelatos Proteicos", (ROUND(Q207,4)&lt;'Tabela de ingredientes'!$W$28)+(ROUND(Q207,4)&gt;'Tabela de ingredientes'!$W$29), 0) = 0, "Ok", "Revisar"))</f>
        <v/>
      </c>
    </row>
    <row r="208">
      <c r="A208" s="264"/>
      <c r="B208" s="264" t="s">
        <v>187</v>
      </c>
      <c r="C208" s="264" t="s">
        <v>187</v>
      </c>
      <c r="D208" s="264" t="s">
        <v>187</v>
      </c>
      <c r="E208" s="264" t="s">
        <v>187</v>
      </c>
      <c r="F208" s="264" t="s">
        <v>187</v>
      </c>
      <c r="G208" s="264" t="s">
        <v>187</v>
      </c>
      <c r="H208" s="264" t="s">
        <v>187</v>
      </c>
      <c r="I208" s="264" t="s">
        <v>187</v>
      </c>
      <c r="J208" s="264" t="s">
        <v>187</v>
      </c>
      <c r="K208" s="264" t="s">
        <v>187</v>
      </c>
      <c r="L208" s="264" t="s">
        <v>187</v>
      </c>
      <c r="M208" s="264" t="s">
        <v>187</v>
      </c>
      <c r="N208" s="264" t="s">
        <v>187</v>
      </c>
      <c r="O208" s="264" t="s">
        <v>187</v>
      </c>
      <c r="P208" s="264" t="s">
        <v>187</v>
      </c>
      <c r="Q208" s="264" t="s">
        <v>187</v>
      </c>
      <c r="R208" s="264" t="s">
        <v>187</v>
      </c>
      <c r="S208" s="97" t="str">
        <f t="array" ref="S208">IF(A208="","", IF( (ROUND(I208,4) &lt; INDEX('Tabela de ingredientes'!$O$1:$V$30, SWITCH(B208, "Gelatos de Leite", 7, "Sorbets", 10, "Gelatos de Leite com Fruta", 13, "Chocolate base água", 16, "Vegano", 19, "Alcoólicos", 22, "Zero", 25, "Gelatos Proteicos", 28, 7), 1)) + (ROUND(I208,4) &gt; INDEX('Tabela de ingredientes'!$O$1:$V$30, SWITCH(B208, "Gelatos de Leite", 8, "Sorbets", 11, "Gelatos de Leite com Fruta", 14, "Chocolate base água", 17, "Vegano", 20, "Alcoólicos", 23, "Zero", 26, "Gelatos Proteicos", 29, 8), 1)) + (ROUND(J208,4) &lt; INDEX('Tabela de ingredientes'!$O$1:$V$30, SWITCH(B208, "Gelatos de Leite", 7, "Sorbets", 10, "Gelatos de Leite com Fruta", 13, "Chocolate base água", 16, "Vegano", 19, "Alcoólicos", 22, "Zero", 25, "Gelatos Proteicos", 28, 7), 2)) + (ROUND(J208,4) &gt; INDEX('Tabela de ingredientes'!$O$1:$V$30, SWITCH(B208, "Gelatos de Leite", 8, "Sorbets", 11, "Gelatos de Leite com Fruta", 14, "Chocolate base água", 17, "Vegano", 20, "Alcoólicos", 23, "Zero", 26, "Gelatos Proteicos", 29, 8), 2)) + (ROUND(K208,4) &lt; INDEX('Tabela de ingredientes'!$O$1:$V$30, SWITCH(B208, "Gelatos de Leite", 7, "Sorbets", 10, "Gelatos de Leite com Fruta", 13, "Chocolate base água", 16, "Vegano", 19, "Alcoólicos", 22, "Zero", 25, "Gelatos Proteicos", 28, 7), 3)) + (ROUND(K208,4) &gt; INDEX('Tabela de ingredientes'!$O$1:$V$30, SWITCH(B208, "Gelatos de Leite", 8, "Sorbets", 11, "Gelatos de Leite com Fruta", 14, "Chocolate base água", 17, "Vegano", 20, "Alcoólicos", 23, "Zero", 26, "Gelatos Proteicos", 29, 8), 3)) + (ROUND(L208,4) &lt; INDEX('Tabela de ingredientes'!$O$1:$V$30, SWITCH(B208, "Gelatos de Leite", 7, "Sorbets", 10, "Gelatos de Leite com Fruta", 13, "Chocolate base água", 16, "Vegano", 19, "Alcoólicos", 22, "Zero", 25, "Gelatos Proteicos", 28, 7), 4)) + (ROUND(L208,4) &gt; INDEX('Tabela de ingredientes'!$O$1:$V$30, SWITCH(B208, "Gelatos de Leite", 8, "Sorbets", 11, "Gelatos de Leite com Fruta", 14, "Chocolate base água", 17, "Vegano", 20, "Alcoólicos", 23, "Zero", 26, "Gelatos Proteicos", 29, 8), 4)) + (ROUND(M208,4) &lt; INDEX('Tabela de ingredientes'!$O$1:$V$30, SWITCH(B208, "Gelatos de Leite", 7, "Sorbets", 10, "Gelatos de Leite com Fruta", 13, "Chocolate base água", 16, "Vegano", 19, "Alcoólicos", 22, "Zero", 25, "Gelatos Proteicos", 28, 7), 5)) + (ROUND(M208,4) &gt; INDEX('Tabela de ingredientes'!$O$1:$V$30, SWITCH(B208, "Gelatos de Leite", 8, "Sorbets", 11, "Gelatos de Leite com Fruta", 14, "Chocolate base água", 17, "Vegano", 20, "Alcoólicos", 23, "Zero", 26, "Gelatos Proteicos", 29, 8), 5)) + (ROUND(N208,4) &lt; INDEX('Tabela de ingredientes'!$O$1:$V$30, SWITCH(B208, "Gelatos de Leite", 7, "Sorbets", 10, "Gelatos de Leite com Fruta", 13, "Chocolate base água", 16, "Vegano", 19, "Alcoólicos", 22, "Zero", 25, "Gelatos Proteicos", 28, 7), 6)) + (ROUND(N208,4) &gt; INDEX('Tabela de ingredientes'!$O$1:$V$30, SWITCH(B208, "Gelatos de Leite", 8, "Sorbets", 11, "Gelatos de Leite com Fruta", 14, "Chocolate base água", 17, "Vegano", 20, "Alcoólicos", 23, "Zero", 26, "Gelatos Proteicos", 29, 8), 6)) + (ROUND(O208,4) &lt; INDEX('Tabela de ingredientes'!$O$1:$V$30, SWITCH(B208, "Gelatos de Leite", 7, "Sorbets", 10, "Gelatos de Leite com Fruta", 13, "Chocolate base água", 16, "Vegano", 19, "Alcoólicos", 22, "Zero", 25, "Gelatos Proteicos", 28, 7), 7)) + (ROUND(O208,4) &gt; INDEX('Tabela de ingredientes'!$O$1:$V$30, SWITCH(B208, "Gelatos de Leite", 8, "Sorbets", 11, "Gelatos de Leite com Fruta", 14, "Chocolate base água", 17, "Vegano", 20, "Alcoólicos", 23, "Zero", 26, "Gelatos Proteicos", 29, 8), 7)) + (ROUND(P208,4) &lt; INDEX('Tabela de ingredientes'!$O$1:$V$30, SWITCH(B208, "Gelatos de Leite", 7, "Sorbets", 10, "Gelatos de Leite com Fruta", 13, "Chocolate base água", 16, "Vegano", 19, "Alcoólicos", 22, "Zero", 25, "Gelatos Proteicos", 28, 7), 8)) + (ROUND(P208,4) &gt; INDEX('Tabela de ingredientes'!$O$1:$V$30, SWITCH(B208, "Gelatos de Leite", 8, "Sorbets", 11, "Gelatos de Leite com Fruta", 14, "Chocolate base água", 17, "Vegano", 20, "Alcoólicos", 23, "Zero", 26, "Gelatos Proteicos", 29, 8), 8)) + IF(B208="Gelatos Proteicos", (ROUND(Q208,4)&lt;'Tabela de ingredientes'!$W$28)+(ROUND(Q208,4)&gt;'Tabela de ingredientes'!$W$29), 0) = 0, "Ok", "Revisar"))</f>
        <v/>
      </c>
    </row>
    <row r="209">
      <c r="A209" s="264"/>
      <c r="B209" s="264" t="s">
        <v>187</v>
      </c>
      <c r="C209" s="264" t="s">
        <v>187</v>
      </c>
      <c r="D209" s="264" t="s">
        <v>187</v>
      </c>
      <c r="E209" s="264" t="s">
        <v>187</v>
      </c>
      <c r="F209" s="264" t="s">
        <v>187</v>
      </c>
      <c r="G209" s="264" t="s">
        <v>187</v>
      </c>
      <c r="H209" s="264" t="s">
        <v>187</v>
      </c>
      <c r="I209" s="264" t="s">
        <v>187</v>
      </c>
      <c r="J209" s="264" t="s">
        <v>187</v>
      </c>
      <c r="K209" s="264" t="s">
        <v>187</v>
      </c>
      <c r="L209" s="264" t="s">
        <v>187</v>
      </c>
      <c r="M209" s="264" t="s">
        <v>187</v>
      </c>
      <c r="N209" s="264" t="s">
        <v>187</v>
      </c>
      <c r="O209" s="264" t="s">
        <v>187</v>
      </c>
      <c r="P209" s="264" t="s">
        <v>187</v>
      </c>
      <c r="Q209" s="264" t="s">
        <v>187</v>
      </c>
      <c r="R209" s="264" t="s">
        <v>187</v>
      </c>
      <c r="S209" s="97" t="str">
        <f t="array" ref="S209">IF(A209="","", IF( (ROUND(I209,4) &lt; INDEX('Tabela de ingredientes'!$O$1:$V$30, SWITCH(B209, "Gelatos de Leite", 7, "Sorbets", 10, "Gelatos de Leite com Fruta", 13, "Chocolate base água", 16, "Vegano", 19, "Alcoólicos", 22, "Zero", 25, "Gelatos Proteicos", 28, 7), 1)) + (ROUND(I209,4) &gt; INDEX('Tabela de ingredientes'!$O$1:$V$30, SWITCH(B209, "Gelatos de Leite", 8, "Sorbets", 11, "Gelatos de Leite com Fruta", 14, "Chocolate base água", 17, "Vegano", 20, "Alcoólicos", 23, "Zero", 26, "Gelatos Proteicos", 29, 8), 1)) + (ROUND(J209,4) &lt; INDEX('Tabela de ingredientes'!$O$1:$V$30, SWITCH(B209, "Gelatos de Leite", 7, "Sorbets", 10, "Gelatos de Leite com Fruta", 13, "Chocolate base água", 16, "Vegano", 19, "Alcoólicos", 22, "Zero", 25, "Gelatos Proteicos", 28, 7), 2)) + (ROUND(J209,4) &gt; INDEX('Tabela de ingredientes'!$O$1:$V$30, SWITCH(B209, "Gelatos de Leite", 8, "Sorbets", 11, "Gelatos de Leite com Fruta", 14, "Chocolate base água", 17, "Vegano", 20, "Alcoólicos", 23, "Zero", 26, "Gelatos Proteicos", 29, 8), 2)) + (ROUND(K209,4) &lt; INDEX('Tabela de ingredientes'!$O$1:$V$30, SWITCH(B209, "Gelatos de Leite", 7, "Sorbets", 10, "Gelatos de Leite com Fruta", 13, "Chocolate base água", 16, "Vegano", 19, "Alcoólicos", 22, "Zero", 25, "Gelatos Proteicos", 28, 7), 3)) + (ROUND(K209,4) &gt; INDEX('Tabela de ingredientes'!$O$1:$V$30, SWITCH(B209, "Gelatos de Leite", 8, "Sorbets", 11, "Gelatos de Leite com Fruta", 14, "Chocolate base água", 17, "Vegano", 20, "Alcoólicos", 23, "Zero", 26, "Gelatos Proteicos", 29, 8), 3)) + (ROUND(L209,4) &lt; INDEX('Tabela de ingredientes'!$O$1:$V$30, SWITCH(B209, "Gelatos de Leite", 7, "Sorbets", 10, "Gelatos de Leite com Fruta", 13, "Chocolate base água", 16, "Vegano", 19, "Alcoólicos", 22, "Zero", 25, "Gelatos Proteicos", 28, 7), 4)) + (ROUND(L209,4) &gt; INDEX('Tabela de ingredientes'!$O$1:$V$30, SWITCH(B209, "Gelatos de Leite", 8, "Sorbets", 11, "Gelatos de Leite com Fruta", 14, "Chocolate base água", 17, "Vegano", 20, "Alcoólicos", 23, "Zero", 26, "Gelatos Proteicos", 29, 8), 4)) + (ROUND(M209,4) &lt; INDEX('Tabela de ingredientes'!$O$1:$V$30, SWITCH(B209, "Gelatos de Leite", 7, "Sorbets", 10, "Gelatos de Leite com Fruta", 13, "Chocolate base água", 16, "Vegano", 19, "Alcoólicos", 22, "Zero", 25, "Gelatos Proteicos", 28, 7), 5)) + (ROUND(M209,4) &gt; INDEX('Tabela de ingredientes'!$O$1:$V$30, SWITCH(B209, "Gelatos de Leite", 8, "Sorbets", 11, "Gelatos de Leite com Fruta", 14, "Chocolate base água", 17, "Vegano", 20, "Alcoólicos", 23, "Zero", 26, "Gelatos Proteicos", 29, 8), 5)) + (ROUND(N209,4) &lt; INDEX('Tabela de ingredientes'!$O$1:$V$30, SWITCH(B209, "Gelatos de Leite", 7, "Sorbets", 10, "Gelatos de Leite com Fruta", 13, "Chocolate base água", 16, "Vegano", 19, "Alcoólicos", 22, "Zero", 25, "Gelatos Proteicos", 28, 7), 6)) + (ROUND(N209,4) &gt; INDEX('Tabela de ingredientes'!$O$1:$V$30, SWITCH(B209, "Gelatos de Leite", 8, "Sorbets", 11, "Gelatos de Leite com Fruta", 14, "Chocolate base água", 17, "Vegano", 20, "Alcoólicos", 23, "Zero", 26, "Gelatos Proteicos", 29, 8), 6)) + (ROUND(O209,4) &lt; INDEX('Tabela de ingredientes'!$O$1:$V$30, SWITCH(B209, "Gelatos de Leite", 7, "Sorbets", 10, "Gelatos de Leite com Fruta", 13, "Chocolate base água", 16, "Vegano", 19, "Alcoólicos", 22, "Zero", 25, "Gelatos Proteicos", 28, 7), 7)) + (ROUND(O209,4) &gt; INDEX('Tabela de ingredientes'!$O$1:$V$30, SWITCH(B209, "Gelatos de Leite", 8, "Sorbets", 11, "Gelatos de Leite com Fruta", 14, "Chocolate base água", 17, "Vegano", 20, "Alcoólicos", 23, "Zero", 26, "Gelatos Proteicos", 29, 8), 7)) + (ROUND(P209,4) &lt; INDEX('Tabela de ingredientes'!$O$1:$V$30, SWITCH(B209, "Gelatos de Leite", 7, "Sorbets", 10, "Gelatos de Leite com Fruta", 13, "Chocolate base água", 16, "Vegano", 19, "Alcoólicos", 22, "Zero", 25, "Gelatos Proteicos", 28, 7), 8)) + (ROUND(P209,4) &gt; INDEX('Tabela de ingredientes'!$O$1:$V$30, SWITCH(B209, "Gelatos de Leite", 8, "Sorbets", 11, "Gelatos de Leite com Fruta", 14, "Chocolate base água", 17, "Vegano", 20, "Alcoólicos", 23, "Zero", 26, "Gelatos Proteicos", 29, 8), 8)) + IF(B209="Gelatos Proteicos", (ROUND(Q209,4)&lt;'Tabela de ingredientes'!$W$28)+(ROUND(Q209,4)&gt;'Tabela de ingredientes'!$W$29), 0) = 0, "Ok", "Revisar"))</f>
        <v/>
      </c>
    </row>
    <row r="210">
      <c r="A210" s="264"/>
      <c r="B210" s="264" t="s">
        <v>187</v>
      </c>
      <c r="C210" s="264" t="s">
        <v>187</v>
      </c>
      <c r="D210" s="264" t="s">
        <v>187</v>
      </c>
      <c r="E210" s="264" t="s">
        <v>187</v>
      </c>
      <c r="F210" s="264" t="s">
        <v>187</v>
      </c>
      <c r="G210" s="264" t="s">
        <v>187</v>
      </c>
      <c r="H210" s="264" t="s">
        <v>187</v>
      </c>
      <c r="I210" s="264" t="s">
        <v>187</v>
      </c>
      <c r="J210" s="264" t="s">
        <v>187</v>
      </c>
      <c r="K210" s="264" t="s">
        <v>187</v>
      </c>
      <c r="L210" s="264" t="s">
        <v>187</v>
      </c>
      <c r="M210" s="264" t="s">
        <v>187</v>
      </c>
      <c r="N210" s="264" t="s">
        <v>187</v>
      </c>
      <c r="O210" s="264" t="s">
        <v>187</v>
      </c>
      <c r="P210" s="264" t="s">
        <v>187</v>
      </c>
      <c r="Q210" s="264" t="s">
        <v>187</v>
      </c>
      <c r="R210" s="264" t="s">
        <v>187</v>
      </c>
      <c r="S210" s="97" t="str">
        <f t="array" ref="S210">IF(A210="","", IF( (ROUND(I210,4) &lt; INDEX('Tabela de ingredientes'!$O$1:$V$30, SWITCH(B210, "Gelatos de Leite", 7, "Sorbets", 10, "Gelatos de Leite com Fruta", 13, "Chocolate base água", 16, "Vegano", 19, "Alcoólicos", 22, "Zero", 25, "Gelatos Proteicos", 28, 7), 1)) + (ROUND(I210,4) &gt; INDEX('Tabela de ingredientes'!$O$1:$V$30, SWITCH(B210, "Gelatos de Leite", 8, "Sorbets", 11, "Gelatos de Leite com Fruta", 14, "Chocolate base água", 17, "Vegano", 20, "Alcoólicos", 23, "Zero", 26, "Gelatos Proteicos", 29, 8), 1)) + (ROUND(J210,4) &lt; INDEX('Tabela de ingredientes'!$O$1:$V$30, SWITCH(B210, "Gelatos de Leite", 7, "Sorbets", 10, "Gelatos de Leite com Fruta", 13, "Chocolate base água", 16, "Vegano", 19, "Alcoólicos", 22, "Zero", 25, "Gelatos Proteicos", 28, 7), 2)) + (ROUND(J210,4) &gt; INDEX('Tabela de ingredientes'!$O$1:$V$30, SWITCH(B210, "Gelatos de Leite", 8, "Sorbets", 11, "Gelatos de Leite com Fruta", 14, "Chocolate base água", 17, "Vegano", 20, "Alcoólicos", 23, "Zero", 26, "Gelatos Proteicos", 29, 8), 2)) + (ROUND(K210,4) &lt; INDEX('Tabela de ingredientes'!$O$1:$V$30, SWITCH(B210, "Gelatos de Leite", 7, "Sorbets", 10, "Gelatos de Leite com Fruta", 13, "Chocolate base água", 16, "Vegano", 19, "Alcoólicos", 22, "Zero", 25, "Gelatos Proteicos", 28, 7), 3)) + (ROUND(K210,4) &gt; INDEX('Tabela de ingredientes'!$O$1:$V$30, SWITCH(B210, "Gelatos de Leite", 8, "Sorbets", 11, "Gelatos de Leite com Fruta", 14, "Chocolate base água", 17, "Vegano", 20, "Alcoólicos", 23, "Zero", 26, "Gelatos Proteicos", 29, 8), 3)) + (ROUND(L210,4) &lt; INDEX('Tabela de ingredientes'!$O$1:$V$30, SWITCH(B210, "Gelatos de Leite", 7, "Sorbets", 10, "Gelatos de Leite com Fruta", 13, "Chocolate base água", 16, "Vegano", 19, "Alcoólicos", 22, "Zero", 25, "Gelatos Proteicos", 28, 7), 4)) + (ROUND(L210,4) &gt; INDEX('Tabela de ingredientes'!$O$1:$V$30, SWITCH(B210, "Gelatos de Leite", 8, "Sorbets", 11, "Gelatos de Leite com Fruta", 14, "Chocolate base água", 17, "Vegano", 20, "Alcoólicos", 23, "Zero", 26, "Gelatos Proteicos", 29, 8), 4)) + (ROUND(M210,4) &lt; INDEX('Tabela de ingredientes'!$O$1:$V$30, SWITCH(B210, "Gelatos de Leite", 7, "Sorbets", 10, "Gelatos de Leite com Fruta", 13, "Chocolate base água", 16, "Vegano", 19, "Alcoólicos", 22, "Zero", 25, "Gelatos Proteicos", 28, 7), 5)) + (ROUND(M210,4) &gt; INDEX('Tabela de ingredientes'!$O$1:$V$30, SWITCH(B210, "Gelatos de Leite", 8, "Sorbets", 11, "Gelatos de Leite com Fruta", 14, "Chocolate base água", 17, "Vegano", 20, "Alcoólicos", 23, "Zero", 26, "Gelatos Proteicos", 29, 8), 5)) + (ROUND(N210,4) &lt; INDEX('Tabela de ingredientes'!$O$1:$V$30, SWITCH(B210, "Gelatos de Leite", 7, "Sorbets", 10, "Gelatos de Leite com Fruta", 13, "Chocolate base água", 16, "Vegano", 19, "Alcoólicos", 22, "Zero", 25, "Gelatos Proteicos", 28, 7), 6)) + (ROUND(N210,4) &gt; INDEX('Tabela de ingredientes'!$O$1:$V$30, SWITCH(B210, "Gelatos de Leite", 8, "Sorbets", 11, "Gelatos de Leite com Fruta", 14, "Chocolate base água", 17, "Vegano", 20, "Alcoólicos", 23, "Zero", 26, "Gelatos Proteicos", 29, 8), 6)) + (ROUND(O210,4) &lt; INDEX('Tabela de ingredientes'!$O$1:$V$30, SWITCH(B210, "Gelatos de Leite", 7, "Sorbets", 10, "Gelatos de Leite com Fruta", 13, "Chocolate base água", 16, "Vegano", 19, "Alcoólicos", 22, "Zero", 25, "Gelatos Proteicos", 28, 7), 7)) + (ROUND(O210,4) &gt; INDEX('Tabela de ingredientes'!$O$1:$V$30, SWITCH(B210, "Gelatos de Leite", 8, "Sorbets", 11, "Gelatos de Leite com Fruta", 14, "Chocolate base água", 17, "Vegano", 20, "Alcoólicos", 23, "Zero", 26, "Gelatos Proteicos", 29, 8), 7)) + (ROUND(P210,4) &lt; INDEX('Tabela de ingredientes'!$O$1:$V$30, SWITCH(B210, "Gelatos de Leite", 7, "Sorbets", 10, "Gelatos de Leite com Fruta", 13, "Chocolate base água", 16, "Vegano", 19, "Alcoólicos", 22, "Zero", 25, "Gelatos Proteicos", 28, 7), 8)) + (ROUND(P210,4) &gt; INDEX('Tabela de ingredientes'!$O$1:$V$30, SWITCH(B210, "Gelatos de Leite", 8, "Sorbets", 11, "Gelatos de Leite com Fruta", 14, "Chocolate base água", 17, "Vegano", 20, "Alcoólicos", 23, "Zero", 26, "Gelatos Proteicos", 29, 8), 8)) + IF(B210="Gelatos Proteicos", (ROUND(Q210,4)&lt;'Tabela de ingredientes'!$W$28)+(ROUND(Q210,4)&gt;'Tabela de ingredientes'!$W$29), 0) = 0, "Ok", "Revisar"))</f>
        <v/>
      </c>
    </row>
    <row r="211">
      <c r="A211" s="264"/>
      <c r="B211" s="264" t="s">
        <v>187</v>
      </c>
      <c r="C211" s="264" t="s">
        <v>187</v>
      </c>
      <c r="D211" s="264" t="s">
        <v>187</v>
      </c>
      <c r="E211" s="264" t="s">
        <v>187</v>
      </c>
      <c r="F211" s="264" t="s">
        <v>187</v>
      </c>
      <c r="G211" s="264" t="s">
        <v>187</v>
      </c>
      <c r="H211" s="264" t="s">
        <v>187</v>
      </c>
      <c r="I211" s="264" t="s">
        <v>187</v>
      </c>
      <c r="J211" s="264" t="s">
        <v>187</v>
      </c>
      <c r="K211" s="264" t="s">
        <v>187</v>
      </c>
      <c r="L211" s="264" t="s">
        <v>187</v>
      </c>
      <c r="M211" s="264" t="s">
        <v>187</v>
      </c>
      <c r="N211" s="264" t="s">
        <v>187</v>
      </c>
      <c r="O211" s="264" t="s">
        <v>187</v>
      </c>
      <c r="P211" s="264" t="s">
        <v>187</v>
      </c>
      <c r="Q211" s="264" t="s">
        <v>187</v>
      </c>
      <c r="R211" s="264" t="s">
        <v>187</v>
      </c>
      <c r="S211" s="97" t="str">
        <f t="array" ref="S211">IF(A211="","", IF( (ROUND(I211,4) &lt; INDEX('Tabela de ingredientes'!$O$1:$V$30, SWITCH(B211, "Gelatos de Leite", 7, "Sorbets", 10, "Gelatos de Leite com Fruta", 13, "Chocolate base água", 16, "Vegano", 19, "Alcoólicos", 22, "Zero", 25, "Gelatos Proteicos", 28, 7), 1)) + (ROUND(I211,4) &gt; INDEX('Tabela de ingredientes'!$O$1:$V$30, SWITCH(B211, "Gelatos de Leite", 8, "Sorbets", 11, "Gelatos de Leite com Fruta", 14, "Chocolate base água", 17, "Vegano", 20, "Alcoólicos", 23, "Zero", 26, "Gelatos Proteicos", 29, 8), 1)) + (ROUND(J211,4) &lt; INDEX('Tabela de ingredientes'!$O$1:$V$30, SWITCH(B211, "Gelatos de Leite", 7, "Sorbets", 10, "Gelatos de Leite com Fruta", 13, "Chocolate base água", 16, "Vegano", 19, "Alcoólicos", 22, "Zero", 25, "Gelatos Proteicos", 28, 7), 2)) + (ROUND(J211,4) &gt; INDEX('Tabela de ingredientes'!$O$1:$V$30, SWITCH(B211, "Gelatos de Leite", 8, "Sorbets", 11, "Gelatos de Leite com Fruta", 14, "Chocolate base água", 17, "Vegano", 20, "Alcoólicos", 23, "Zero", 26, "Gelatos Proteicos", 29, 8), 2)) + (ROUND(K211,4) &lt; INDEX('Tabela de ingredientes'!$O$1:$V$30, SWITCH(B211, "Gelatos de Leite", 7, "Sorbets", 10, "Gelatos de Leite com Fruta", 13, "Chocolate base água", 16, "Vegano", 19, "Alcoólicos", 22, "Zero", 25, "Gelatos Proteicos", 28, 7), 3)) + (ROUND(K211,4) &gt; INDEX('Tabela de ingredientes'!$O$1:$V$30, SWITCH(B211, "Gelatos de Leite", 8, "Sorbets", 11, "Gelatos de Leite com Fruta", 14, "Chocolate base água", 17, "Vegano", 20, "Alcoólicos", 23, "Zero", 26, "Gelatos Proteicos", 29, 8), 3)) + (ROUND(L211,4) &lt; INDEX('Tabela de ingredientes'!$O$1:$V$30, SWITCH(B211, "Gelatos de Leite", 7, "Sorbets", 10, "Gelatos de Leite com Fruta", 13, "Chocolate base água", 16, "Vegano", 19, "Alcoólicos", 22, "Zero", 25, "Gelatos Proteicos", 28, 7), 4)) + (ROUND(L211,4) &gt; INDEX('Tabela de ingredientes'!$O$1:$V$30, SWITCH(B211, "Gelatos de Leite", 8, "Sorbets", 11, "Gelatos de Leite com Fruta", 14, "Chocolate base água", 17, "Vegano", 20, "Alcoólicos", 23, "Zero", 26, "Gelatos Proteicos", 29, 8), 4)) + (ROUND(M211,4) &lt; INDEX('Tabela de ingredientes'!$O$1:$V$30, SWITCH(B211, "Gelatos de Leite", 7, "Sorbets", 10, "Gelatos de Leite com Fruta", 13, "Chocolate base água", 16, "Vegano", 19, "Alcoólicos", 22, "Zero", 25, "Gelatos Proteicos", 28, 7), 5)) + (ROUND(M211,4) &gt; INDEX('Tabela de ingredientes'!$O$1:$V$30, SWITCH(B211, "Gelatos de Leite", 8, "Sorbets", 11, "Gelatos de Leite com Fruta", 14, "Chocolate base água", 17, "Vegano", 20, "Alcoólicos", 23, "Zero", 26, "Gelatos Proteicos", 29, 8), 5)) + (ROUND(N211,4) &lt; INDEX('Tabela de ingredientes'!$O$1:$V$30, SWITCH(B211, "Gelatos de Leite", 7, "Sorbets", 10, "Gelatos de Leite com Fruta", 13, "Chocolate base água", 16, "Vegano", 19, "Alcoólicos", 22, "Zero", 25, "Gelatos Proteicos", 28, 7), 6)) + (ROUND(N211,4) &gt; INDEX('Tabela de ingredientes'!$O$1:$V$30, SWITCH(B211, "Gelatos de Leite", 8, "Sorbets", 11, "Gelatos de Leite com Fruta", 14, "Chocolate base água", 17, "Vegano", 20, "Alcoólicos", 23, "Zero", 26, "Gelatos Proteicos", 29, 8), 6)) + (ROUND(O211,4) &lt; INDEX('Tabela de ingredientes'!$O$1:$V$30, SWITCH(B211, "Gelatos de Leite", 7, "Sorbets", 10, "Gelatos de Leite com Fruta", 13, "Chocolate base água", 16, "Vegano", 19, "Alcoólicos", 22, "Zero", 25, "Gelatos Proteicos", 28, 7), 7)) + (ROUND(O211,4) &gt; INDEX('Tabela de ingredientes'!$O$1:$V$30, SWITCH(B211, "Gelatos de Leite", 8, "Sorbets", 11, "Gelatos de Leite com Fruta", 14, "Chocolate base água", 17, "Vegano", 20, "Alcoólicos", 23, "Zero", 26, "Gelatos Proteicos", 29, 8), 7)) + (ROUND(P211,4) &lt; INDEX('Tabela de ingredientes'!$O$1:$V$30, SWITCH(B211, "Gelatos de Leite", 7, "Sorbets", 10, "Gelatos de Leite com Fruta", 13, "Chocolate base água", 16, "Vegano", 19, "Alcoólicos", 22, "Zero", 25, "Gelatos Proteicos", 28, 7), 8)) + (ROUND(P211,4) &gt; INDEX('Tabela de ingredientes'!$O$1:$V$30, SWITCH(B211, "Gelatos de Leite", 8, "Sorbets", 11, "Gelatos de Leite com Fruta", 14, "Chocolate base água", 17, "Vegano", 20, "Alcoólicos", 23, "Zero", 26, "Gelatos Proteicos", 29, 8), 8)) + IF(B211="Gelatos Proteicos", (ROUND(Q211,4)&lt;'Tabela de ingredientes'!$W$28)+(ROUND(Q211,4)&gt;'Tabela de ingredientes'!$W$29), 0) = 0, "Ok", "Revisar"))</f>
        <v/>
      </c>
    </row>
    <row r="212">
      <c r="A212" s="264"/>
      <c r="B212" s="264" t="s">
        <v>187</v>
      </c>
      <c r="C212" s="264" t="s">
        <v>187</v>
      </c>
      <c r="D212" s="264" t="s">
        <v>187</v>
      </c>
      <c r="E212" s="264" t="s">
        <v>187</v>
      </c>
      <c r="F212" s="264" t="s">
        <v>187</v>
      </c>
      <c r="G212" s="264" t="s">
        <v>187</v>
      </c>
      <c r="H212" s="264" t="s">
        <v>187</v>
      </c>
      <c r="I212" s="264" t="s">
        <v>187</v>
      </c>
      <c r="J212" s="264" t="s">
        <v>187</v>
      </c>
      <c r="K212" s="264" t="s">
        <v>187</v>
      </c>
      <c r="L212" s="264" t="s">
        <v>187</v>
      </c>
      <c r="M212" s="264" t="s">
        <v>187</v>
      </c>
      <c r="N212" s="264" t="s">
        <v>187</v>
      </c>
      <c r="O212" s="264" t="s">
        <v>187</v>
      </c>
      <c r="P212" s="264" t="s">
        <v>187</v>
      </c>
      <c r="Q212" s="264" t="s">
        <v>187</v>
      </c>
      <c r="R212" s="264" t="s">
        <v>187</v>
      </c>
      <c r="S212" s="97" t="str">
        <f t="array" ref="S212">IF(A212="","", IF( (ROUND(I212,4) &lt; INDEX('Tabela de ingredientes'!$O$1:$V$30, SWITCH(B212, "Gelatos de Leite", 7, "Sorbets", 10, "Gelatos de Leite com Fruta", 13, "Chocolate base água", 16, "Vegano", 19, "Alcoólicos", 22, "Zero", 25, "Gelatos Proteicos", 28, 7), 1)) + (ROUND(I212,4) &gt; INDEX('Tabela de ingredientes'!$O$1:$V$30, SWITCH(B212, "Gelatos de Leite", 8, "Sorbets", 11, "Gelatos de Leite com Fruta", 14, "Chocolate base água", 17, "Vegano", 20, "Alcoólicos", 23, "Zero", 26, "Gelatos Proteicos", 29, 8), 1)) + (ROUND(J212,4) &lt; INDEX('Tabela de ingredientes'!$O$1:$V$30, SWITCH(B212, "Gelatos de Leite", 7, "Sorbets", 10, "Gelatos de Leite com Fruta", 13, "Chocolate base água", 16, "Vegano", 19, "Alcoólicos", 22, "Zero", 25, "Gelatos Proteicos", 28, 7), 2)) + (ROUND(J212,4) &gt; INDEX('Tabela de ingredientes'!$O$1:$V$30, SWITCH(B212, "Gelatos de Leite", 8, "Sorbets", 11, "Gelatos de Leite com Fruta", 14, "Chocolate base água", 17, "Vegano", 20, "Alcoólicos", 23, "Zero", 26, "Gelatos Proteicos", 29, 8), 2)) + (ROUND(K212,4) &lt; INDEX('Tabela de ingredientes'!$O$1:$V$30, SWITCH(B212, "Gelatos de Leite", 7, "Sorbets", 10, "Gelatos de Leite com Fruta", 13, "Chocolate base água", 16, "Vegano", 19, "Alcoólicos", 22, "Zero", 25, "Gelatos Proteicos", 28, 7), 3)) + (ROUND(K212,4) &gt; INDEX('Tabela de ingredientes'!$O$1:$V$30, SWITCH(B212, "Gelatos de Leite", 8, "Sorbets", 11, "Gelatos de Leite com Fruta", 14, "Chocolate base água", 17, "Vegano", 20, "Alcoólicos", 23, "Zero", 26, "Gelatos Proteicos", 29, 8), 3)) + (ROUND(L212,4) &lt; INDEX('Tabela de ingredientes'!$O$1:$V$30, SWITCH(B212, "Gelatos de Leite", 7, "Sorbets", 10, "Gelatos de Leite com Fruta", 13, "Chocolate base água", 16, "Vegano", 19, "Alcoólicos", 22, "Zero", 25, "Gelatos Proteicos", 28, 7), 4)) + (ROUND(L212,4) &gt; INDEX('Tabela de ingredientes'!$O$1:$V$30, SWITCH(B212, "Gelatos de Leite", 8, "Sorbets", 11, "Gelatos de Leite com Fruta", 14, "Chocolate base água", 17, "Vegano", 20, "Alcoólicos", 23, "Zero", 26, "Gelatos Proteicos", 29, 8), 4)) + (ROUND(M212,4) &lt; INDEX('Tabela de ingredientes'!$O$1:$V$30, SWITCH(B212, "Gelatos de Leite", 7, "Sorbets", 10, "Gelatos de Leite com Fruta", 13, "Chocolate base água", 16, "Vegano", 19, "Alcoólicos", 22, "Zero", 25, "Gelatos Proteicos", 28, 7), 5)) + (ROUND(M212,4) &gt; INDEX('Tabela de ingredientes'!$O$1:$V$30, SWITCH(B212, "Gelatos de Leite", 8, "Sorbets", 11, "Gelatos de Leite com Fruta", 14, "Chocolate base água", 17, "Vegano", 20, "Alcoólicos", 23, "Zero", 26, "Gelatos Proteicos", 29, 8), 5)) + (ROUND(N212,4) &lt; INDEX('Tabela de ingredientes'!$O$1:$V$30, SWITCH(B212, "Gelatos de Leite", 7, "Sorbets", 10, "Gelatos de Leite com Fruta", 13, "Chocolate base água", 16, "Vegano", 19, "Alcoólicos", 22, "Zero", 25, "Gelatos Proteicos", 28, 7), 6)) + (ROUND(N212,4) &gt; INDEX('Tabela de ingredientes'!$O$1:$V$30, SWITCH(B212, "Gelatos de Leite", 8, "Sorbets", 11, "Gelatos de Leite com Fruta", 14, "Chocolate base água", 17, "Vegano", 20, "Alcoólicos", 23, "Zero", 26, "Gelatos Proteicos", 29, 8), 6)) + (ROUND(O212,4) &lt; INDEX('Tabela de ingredientes'!$O$1:$V$30, SWITCH(B212, "Gelatos de Leite", 7, "Sorbets", 10, "Gelatos de Leite com Fruta", 13, "Chocolate base água", 16, "Vegano", 19, "Alcoólicos", 22, "Zero", 25, "Gelatos Proteicos", 28, 7), 7)) + (ROUND(O212,4) &gt; INDEX('Tabela de ingredientes'!$O$1:$V$30, SWITCH(B212, "Gelatos de Leite", 8, "Sorbets", 11, "Gelatos de Leite com Fruta", 14, "Chocolate base água", 17, "Vegano", 20, "Alcoólicos", 23, "Zero", 26, "Gelatos Proteicos", 29, 8), 7)) + (ROUND(P212,4) &lt; INDEX('Tabela de ingredientes'!$O$1:$V$30, SWITCH(B212, "Gelatos de Leite", 7, "Sorbets", 10, "Gelatos de Leite com Fruta", 13, "Chocolate base água", 16, "Vegano", 19, "Alcoólicos", 22, "Zero", 25, "Gelatos Proteicos", 28, 7), 8)) + (ROUND(P212,4) &gt; INDEX('Tabela de ingredientes'!$O$1:$V$30, SWITCH(B212, "Gelatos de Leite", 8, "Sorbets", 11, "Gelatos de Leite com Fruta", 14, "Chocolate base água", 17, "Vegano", 20, "Alcoólicos", 23, "Zero", 26, "Gelatos Proteicos", 29, 8), 8)) + IF(B212="Gelatos Proteicos", (ROUND(Q212,4)&lt;'Tabela de ingredientes'!$W$28)+(ROUND(Q212,4)&gt;'Tabela de ingredientes'!$W$29), 0) = 0, "Ok", "Revisar"))</f>
        <v/>
      </c>
    </row>
    <row r="213">
      <c r="A213" s="264"/>
      <c r="B213" s="264" t="s">
        <v>187</v>
      </c>
      <c r="C213" s="264" t="s">
        <v>187</v>
      </c>
      <c r="D213" s="264" t="s">
        <v>187</v>
      </c>
      <c r="E213" s="264" t="s">
        <v>187</v>
      </c>
      <c r="F213" s="264" t="s">
        <v>187</v>
      </c>
      <c r="G213" s="264" t="s">
        <v>187</v>
      </c>
      <c r="H213" s="264" t="s">
        <v>187</v>
      </c>
      <c r="I213" s="264" t="s">
        <v>187</v>
      </c>
      <c r="J213" s="264" t="s">
        <v>187</v>
      </c>
      <c r="K213" s="264" t="s">
        <v>187</v>
      </c>
      <c r="L213" s="264" t="s">
        <v>187</v>
      </c>
      <c r="M213" s="264" t="s">
        <v>187</v>
      </c>
      <c r="N213" s="264" t="s">
        <v>187</v>
      </c>
      <c r="O213" s="264" t="s">
        <v>187</v>
      </c>
      <c r="P213" s="264" t="s">
        <v>187</v>
      </c>
      <c r="Q213" s="264" t="s">
        <v>187</v>
      </c>
      <c r="R213" s="264" t="s">
        <v>187</v>
      </c>
      <c r="S213" s="97" t="str">
        <f t="array" ref="S213">IF(A213="","", IF( (ROUND(I213,4) &lt; INDEX('Tabela de ingredientes'!$O$1:$V$30, SWITCH(B213, "Gelatos de Leite", 7, "Sorbets", 10, "Gelatos de Leite com Fruta", 13, "Chocolate base água", 16, "Vegano", 19, "Alcoólicos", 22, "Zero", 25, "Gelatos Proteicos", 28, 7), 1)) + (ROUND(I213,4) &gt; INDEX('Tabela de ingredientes'!$O$1:$V$30, SWITCH(B213, "Gelatos de Leite", 8, "Sorbets", 11, "Gelatos de Leite com Fruta", 14, "Chocolate base água", 17, "Vegano", 20, "Alcoólicos", 23, "Zero", 26, "Gelatos Proteicos", 29, 8), 1)) + (ROUND(J213,4) &lt; INDEX('Tabela de ingredientes'!$O$1:$V$30, SWITCH(B213, "Gelatos de Leite", 7, "Sorbets", 10, "Gelatos de Leite com Fruta", 13, "Chocolate base água", 16, "Vegano", 19, "Alcoólicos", 22, "Zero", 25, "Gelatos Proteicos", 28, 7), 2)) + (ROUND(J213,4) &gt; INDEX('Tabela de ingredientes'!$O$1:$V$30, SWITCH(B213, "Gelatos de Leite", 8, "Sorbets", 11, "Gelatos de Leite com Fruta", 14, "Chocolate base água", 17, "Vegano", 20, "Alcoólicos", 23, "Zero", 26, "Gelatos Proteicos", 29, 8), 2)) + (ROUND(K213,4) &lt; INDEX('Tabela de ingredientes'!$O$1:$V$30, SWITCH(B213, "Gelatos de Leite", 7, "Sorbets", 10, "Gelatos de Leite com Fruta", 13, "Chocolate base água", 16, "Vegano", 19, "Alcoólicos", 22, "Zero", 25, "Gelatos Proteicos", 28, 7), 3)) + (ROUND(K213,4) &gt; INDEX('Tabela de ingredientes'!$O$1:$V$30, SWITCH(B213, "Gelatos de Leite", 8, "Sorbets", 11, "Gelatos de Leite com Fruta", 14, "Chocolate base água", 17, "Vegano", 20, "Alcoólicos", 23, "Zero", 26, "Gelatos Proteicos", 29, 8), 3)) + (ROUND(L213,4) &lt; INDEX('Tabela de ingredientes'!$O$1:$V$30, SWITCH(B213, "Gelatos de Leite", 7, "Sorbets", 10, "Gelatos de Leite com Fruta", 13, "Chocolate base água", 16, "Vegano", 19, "Alcoólicos", 22, "Zero", 25, "Gelatos Proteicos", 28, 7), 4)) + (ROUND(L213,4) &gt; INDEX('Tabela de ingredientes'!$O$1:$V$30, SWITCH(B213, "Gelatos de Leite", 8, "Sorbets", 11, "Gelatos de Leite com Fruta", 14, "Chocolate base água", 17, "Vegano", 20, "Alcoólicos", 23, "Zero", 26, "Gelatos Proteicos", 29, 8), 4)) + (ROUND(M213,4) &lt; INDEX('Tabela de ingredientes'!$O$1:$V$30, SWITCH(B213, "Gelatos de Leite", 7, "Sorbets", 10, "Gelatos de Leite com Fruta", 13, "Chocolate base água", 16, "Vegano", 19, "Alcoólicos", 22, "Zero", 25, "Gelatos Proteicos", 28, 7), 5)) + (ROUND(M213,4) &gt; INDEX('Tabela de ingredientes'!$O$1:$V$30, SWITCH(B213, "Gelatos de Leite", 8, "Sorbets", 11, "Gelatos de Leite com Fruta", 14, "Chocolate base água", 17, "Vegano", 20, "Alcoólicos", 23, "Zero", 26, "Gelatos Proteicos", 29, 8), 5)) + (ROUND(N213,4) &lt; INDEX('Tabela de ingredientes'!$O$1:$V$30, SWITCH(B213, "Gelatos de Leite", 7, "Sorbets", 10, "Gelatos de Leite com Fruta", 13, "Chocolate base água", 16, "Vegano", 19, "Alcoólicos", 22, "Zero", 25, "Gelatos Proteicos", 28, 7), 6)) + (ROUND(N213,4) &gt; INDEX('Tabela de ingredientes'!$O$1:$V$30, SWITCH(B213, "Gelatos de Leite", 8, "Sorbets", 11, "Gelatos de Leite com Fruta", 14, "Chocolate base água", 17, "Vegano", 20, "Alcoólicos", 23, "Zero", 26, "Gelatos Proteicos", 29, 8), 6)) + (ROUND(O213,4) &lt; INDEX('Tabela de ingredientes'!$O$1:$V$30, SWITCH(B213, "Gelatos de Leite", 7, "Sorbets", 10, "Gelatos de Leite com Fruta", 13, "Chocolate base água", 16, "Vegano", 19, "Alcoólicos", 22, "Zero", 25, "Gelatos Proteicos", 28, 7), 7)) + (ROUND(O213,4) &gt; INDEX('Tabela de ingredientes'!$O$1:$V$30, SWITCH(B213, "Gelatos de Leite", 8, "Sorbets", 11, "Gelatos de Leite com Fruta", 14, "Chocolate base água", 17, "Vegano", 20, "Alcoólicos", 23, "Zero", 26, "Gelatos Proteicos", 29, 8), 7)) + (ROUND(P213,4) &lt; INDEX('Tabela de ingredientes'!$O$1:$V$30, SWITCH(B213, "Gelatos de Leite", 7, "Sorbets", 10, "Gelatos de Leite com Fruta", 13, "Chocolate base água", 16, "Vegano", 19, "Alcoólicos", 22, "Zero", 25, "Gelatos Proteicos", 28, 7), 8)) + (ROUND(P213,4) &gt; INDEX('Tabela de ingredientes'!$O$1:$V$30, SWITCH(B213, "Gelatos de Leite", 8, "Sorbets", 11, "Gelatos de Leite com Fruta", 14, "Chocolate base água", 17, "Vegano", 20, "Alcoólicos", 23, "Zero", 26, "Gelatos Proteicos", 29, 8), 8)) + IF(B213="Gelatos Proteicos", (ROUND(Q213,4)&lt;'Tabela de ingredientes'!$W$28)+(ROUND(Q213,4)&gt;'Tabela de ingredientes'!$W$29), 0) = 0, "Ok", "Revisar"))</f>
        <v/>
      </c>
    </row>
    <row r="214">
      <c r="A214" s="264"/>
      <c r="B214" s="264" t="s">
        <v>187</v>
      </c>
      <c r="C214" s="264" t="s">
        <v>187</v>
      </c>
      <c r="D214" s="264" t="s">
        <v>187</v>
      </c>
      <c r="E214" s="264" t="s">
        <v>187</v>
      </c>
      <c r="F214" s="264" t="s">
        <v>187</v>
      </c>
      <c r="G214" s="264" t="s">
        <v>187</v>
      </c>
      <c r="H214" s="264" t="s">
        <v>187</v>
      </c>
      <c r="I214" s="264" t="s">
        <v>187</v>
      </c>
      <c r="J214" s="264" t="s">
        <v>187</v>
      </c>
      <c r="K214" s="264" t="s">
        <v>187</v>
      </c>
      <c r="L214" s="264" t="s">
        <v>187</v>
      </c>
      <c r="M214" s="264" t="s">
        <v>187</v>
      </c>
      <c r="N214" s="264" t="s">
        <v>187</v>
      </c>
      <c r="O214" s="264" t="s">
        <v>187</v>
      </c>
      <c r="P214" s="264" t="s">
        <v>187</v>
      </c>
      <c r="Q214" s="264" t="s">
        <v>187</v>
      </c>
      <c r="R214" s="264" t="s">
        <v>187</v>
      </c>
      <c r="S214" s="97" t="str">
        <f t="array" ref="S214">IF(A214="","", IF( (ROUND(I214,4) &lt; INDEX('Tabela de ingredientes'!$O$1:$V$30, SWITCH(B214, "Gelatos de Leite", 7, "Sorbets", 10, "Gelatos de Leite com Fruta", 13, "Chocolate base água", 16, "Vegano", 19, "Alcoólicos", 22, "Zero", 25, "Gelatos Proteicos", 28, 7), 1)) + (ROUND(I214,4) &gt; INDEX('Tabela de ingredientes'!$O$1:$V$30, SWITCH(B214, "Gelatos de Leite", 8, "Sorbets", 11, "Gelatos de Leite com Fruta", 14, "Chocolate base água", 17, "Vegano", 20, "Alcoólicos", 23, "Zero", 26, "Gelatos Proteicos", 29, 8), 1)) + (ROUND(J214,4) &lt; INDEX('Tabela de ingredientes'!$O$1:$V$30, SWITCH(B214, "Gelatos de Leite", 7, "Sorbets", 10, "Gelatos de Leite com Fruta", 13, "Chocolate base água", 16, "Vegano", 19, "Alcoólicos", 22, "Zero", 25, "Gelatos Proteicos", 28, 7), 2)) + (ROUND(J214,4) &gt; INDEX('Tabela de ingredientes'!$O$1:$V$30, SWITCH(B214, "Gelatos de Leite", 8, "Sorbets", 11, "Gelatos de Leite com Fruta", 14, "Chocolate base água", 17, "Vegano", 20, "Alcoólicos", 23, "Zero", 26, "Gelatos Proteicos", 29, 8), 2)) + (ROUND(K214,4) &lt; INDEX('Tabela de ingredientes'!$O$1:$V$30, SWITCH(B214, "Gelatos de Leite", 7, "Sorbets", 10, "Gelatos de Leite com Fruta", 13, "Chocolate base água", 16, "Vegano", 19, "Alcoólicos", 22, "Zero", 25, "Gelatos Proteicos", 28, 7), 3)) + (ROUND(K214,4) &gt; INDEX('Tabela de ingredientes'!$O$1:$V$30, SWITCH(B214, "Gelatos de Leite", 8, "Sorbets", 11, "Gelatos de Leite com Fruta", 14, "Chocolate base água", 17, "Vegano", 20, "Alcoólicos", 23, "Zero", 26, "Gelatos Proteicos", 29, 8), 3)) + (ROUND(L214,4) &lt; INDEX('Tabela de ingredientes'!$O$1:$V$30, SWITCH(B214, "Gelatos de Leite", 7, "Sorbets", 10, "Gelatos de Leite com Fruta", 13, "Chocolate base água", 16, "Vegano", 19, "Alcoólicos", 22, "Zero", 25, "Gelatos Proteicos", 28, 7), 4)) + (ROUND(L214,4) &gt; INDEX('Tabela de ingredientes'!$O$1:$V$30, SWITCH(B214, "Gelatos de Leite", 8, "Sorbets", 11, "Gelatos de Leite com Fruta", 14, "Chocolate base água", 17, "Vegano", 20, "Alcoólicos", 23, "Zero", 26, "Gelatos Proteicos", 29, 8), 4)) + (ROUND(M214,4) &lt; INDEX('Tabela de ingredientes'!$O$1:$V$30, SWITCH(B214, "Gelatos de Leite", 7, "Sorbets", 10, "Gelatos de Leite com Fruta", 13, "Chocolate base água", 16, "Vegano", 19, "Alcoólicos", 22, "Zero", 25, "Gelatos Proteicos", 28, 7), 5)) + (ROUND(M214,4) &gt; INDEX('Tabela de ingredientes'!$O$1:$V$30, SWITCH(B214, "Gelatos de Leite", 8, "Sorbets", 11, "Gelatos de Leite com Fruta", 14, "Chocolate base água", 17, "Vegano", 20, "Alcoólicos", 23, "Zero", 26, "Gelatos Proteicos", 29, 8), 5)) + (ROUND(N214,4) &lt; INDEX('Tabela de ingredientes'!$O$1:$V$30, SWITCH(B214, "Gelatos de Leite", 7, "Sorbets", 10, "Gelatos de Leite com Fruta", 13, "Chocolate base água", 16, "Vegano", 19, "Alcoólicos", 22, "Zero", 25, "Gelatos Proteicos", 28, 7), 6)) + (ROUND(N214,4) &gt; INDEX('Tabela de ingredientes'!$O$1:$V$30, SWITCH(B214, "Gelatos de Leite", 8, "Sorbets", 11, "Gelatos de Leite com Fruta", 14, "Chocolate base água", 17, "Vegano", 20, "Alcoólicos", 23, "Zero", 26, "Gelatos Proteicos", 29, 8), 6)) + (ROUND(O214,4) &lt; INDEX('Tabela de ingredientes'!$O$1:$V$30, SWITCH(B214, "Gelatos de Leite", 7, "Sorbets", 10, "Gelatos de Leite com Fruta", 13, "Chocolate base água", 16, "Vegano", 19, "Alcoólicos", 22, "Zero", 25, "Gelatos Proteicos", 28, 7), 7)) + (ROUND(O214,4) &gt; INDEX('Tabela de ingredientes'!$O$1:$V$30, SWITCH(B214, "Gelatos de Leite", 8, "Sorbets", 11, "Gelatos de Leite com Fruta", 14, "Chocolate base água", 17, "Vegano", 20, "Alcoólicos", 23, "Zero", 26, "Gelatos Proteicos", 29, 8), 7)) + (ROUND(P214,4) &lt; INDEX('Tabela de ingredientes'!$O$1:$V$30, SWITCH(B214, "Gelatos de Leite", 7, "Sorbets", 10, "Gelatos de Leite com Fruta", 13, "Chocolate base água", 16, "Vegano", 19, "Alcoólicos", 22, "Zero", 25, "Gelatos Proteicos", 28, 7), 8)) + (ROUND(P214,4) &gt; INDEX('Tabela de ingredientes'!$O$1:$V$30, SWITCH(B214, "Gelatos de Leite", 8, "Sorbets", 11, "Gelatos de Leite com Fruta", 14, "Chocolate base água", 17, "Vegano", 20, "Alcoólicos", 23, "Zero", 26, "Gelatos Proteicos", 29, 8), 8)) + IF(B214="Gelatos Proteicos", (ROUND(Q214,4)&lt;'Tabela de ingredientes'!$W$28)+(ROUND(Q214,4)&gt;'Tabela de ingredientes'!$W$29), 0) = 0, "Ok", "Revisar"))</f>
        <v/>
      </c>
    </row>
    <row r="215">
      <c r="A215" s="264"/>
      <c r="B215" s="264" t="s">
        <v>187</v>
      </c>
      <c r="C215" s="264" t="s">
        <v>187</v>
      </c>
      <c r="D215" s="264" t="s">
        <v>187</v>
      </c>
      <c r="E215" s="264" t="s">
        <v>187</v>
      </c>
      <c r="F215" s="264" t="s">
        <v>187</v>
      </c>
      <c r="G215" s="264" t="s">
        <v>187</v>
      </c>
      <c r="H215" s="264" t="s">
        <v>187</v>
      </c>
      <c r="I215" s="264" t="s">
        <v>187</v>
      </c>
      <c r="J215" s="264" t="s">
        <v>187</v>
      </c>
      <c r="K215" s="264" t="s">
        <v>187</v>
      </c>
      <c r="L215" s="264" t="s">
        <v>187</v>
      </c>
      <c r="M215" s="264" t="s">
        <v>187</v>
      </c>
      <c r="N215" s="264" t="s">
        <v>187</v>
      </c>
      <c r="O215" s="264" t="s">
        <v>187</v>
      </c>
      <c r="P215" s="264" t="s">
        <v>187</v>
      </c>
      <c r="Q215" s="264" t="s">
        <v>187</v>
      </c>
      <c r="R215" s="264" t="s">
        <v>187</v>
      </c>
      <c r="S215" s="97" t="str">
        <f t="array" ref="S215">IF(A215="","", IF( (ROUND(I215,4) &lt; INDEX('Tabela de ingredientes'!$O$1:$V$30, SWITCH(B215, "Gelatos de Leite", 7, "Sorbets", 10, "Gelatos de Leite com Fruta", 13, "Chocolate base água", 16, "Vegano", 19, "Alcoólicos", 22, "Zero", 25, "Gelatos Proteicos", 28, 7), 1)) + (ROUND(I215,4) &gt; INDEX('Tabela de ingredientes'!$O$1:$V$30, SWITCH(B215, "Gelatos de Leite", 8, "Sorbets", 11, "Gelatos de Leite com Fruta", 14, "Chocolate base água", 17, "Vegano", 20, "Alcoólicos", 23, "Zero", 26, "Gelatos Proteicos", 29, 8), 1)) + (ROUND(J215,4) &lt; INDEX('Tabela de ingredientes'!$O$1:$V$30, SWITCH(B215, "Gelatos de Leite", 7, "Sorbets", 10, "Gelatos de Leite com Fruta", 13, "Chocolate base água", 16, "Vegano", 19, "Alcoólicos", 22, "Zero", 25, "Gelatos Proteicos", 28, 7), 2)) + (ROUND(J215,4) &gt; INDEX('Tabela de ingredientes'!$O$1:$V$30, SWITCH(B215, "Gelatos de Leite", 8, "Sorbets", 11, "Gelatos de Leite com Fruta", 14, "Chocolate base água", 17, "Vegano", 20, "Alcoólicos", 23, "Zero", 26, "Gelatos Proteicos", 29, 8), 2)) + (ROUND(K215,4) &lt; INDEX('Tabela de ingredientes'!$O$1:$V$30, SWITCH(B215, "Gelatos de Leite", 7, "Sorbets", 10, "Gelatos de Leite com Fruta", 13, "Chocolate base água", 16, "Vegano", 19, "Alcoólicos", 22, "Zero", 25, "Gelatos Proteicos", 28, 7), 3)) + (ROUND(K215,4) &gt; INDEX('Tabela de ingredientes'!$O$1:$V$30, SWITCH(B215, "Gelatos de Leite", 8, "Sorbets", 11, "Gelatos de Leite com Fruta", 14, "Chocolate base água", 17, "Vegano", 20, "Alcoólicos", 23, "Zero", 26, "Gelatos Proteicos", 29, 8), 3)) + (ROUND(L215,4) &lt; INDEX('Tabela de ingredientes'!$O$1:$V$30, SWITCH(B215, "Gelatos de Leite", 7, "Sorbets", 10, "Gelatos de Leite com Fruta", 13, "Chocolate base água", 16, "Vegano", 19, "Alcoólicos", 22, "Zero", 25, "Gelatos Proteicos", 28, 7), 4)) + (ROUND(L215,4) &gt; INDEX('Tabela de ingredientes'!$O$1:$V$30, SWITCH(B215, "Gelatos de Leite", 8, "Sorbets", 11, "Gelatos de Leite com Fruta", 14, "Chocolate base água", 17, "Vegano", 20, "Alcoólicos", 23, "Zero", 26, "Gelatos Proteicos", 29, 8), 4)) + (ROUND(M215,4) &lt; INDEX('Tabela de ingredientes'!$O$1:$V$30, SWITCH(B215, "Gelatos de Leite", 7, "Sorbets", 10, "Gelatos de Leite com Fruta", 13, "Chocolate base água", 16, "Vegano", 19, "Alcoólicos", 22, "Zero", 25, "Gelatos Proteicos", 28, 7), 5)) + (ROUND(M215,4) &gt; INDEX('Tabela de ingredientes'!$O$1:$V$30, SWITCH(B215, "Gelatos de Leite", 8, "Sorbets", 11, "Gelatos de Leite com Fruta", 14, "Chocolate base água", 17, "Vegano", 20, "Alcoólicos", 23, "Zero", 26, "Gelatos Proteicos", 29, 8), 5)) + (ROUND(N215,4) &lt; INDEX('Tabela de ingredientes'!$O$1:$V$30, SWITCH(B215, "Gelatos de Leite", 7, "Sorbets", 10, "Gelatos de Leite com Fruta", 13, "Chocolate base água", 16, "Vegano", 19, "Alcoólicos", 22, "Zero", 25, "Gelatos Proteicos", 28, 7), 6)) + (ROUND(N215,4) &gt; INDEX('Tabela de ingredientes'!$O$1:$V$30, SWITCH(B215, "Gelatos de Leite", 8, "Sorbets", 11, "Gelatos de Leite com Fruta", 14, "Chocolate base água", 17, "Vegano", 20, "Alcoólicos", 23, "Zero", 26, "Gelatos Proteicos", 29, 8), 6)) + (ROUND(O215,4) &lt; INDEX('Tabela de ingredientes'!$O$1:$V$30, SWITCH(B215, "Gelatos de Leite", 7, "Sorbets", 10, "Gelatos de Leite com Fruta", 13, "Chocolate base água", 16, "Vegano", 19, "Alcoólicos", 22, "Zero", 25, "Gelatos Proteicos", 28, 7), 7)) + (ROUND(O215,4) &gt; INDEX('Tabela de ingredientes'!$O$1:$V$30, SWITCH(B215, "Gelatos de Leite", 8, "Sorbets", 11, "Gelatos de Leite com Fruta", 14, "Chocolate base água", 17, "Vegano", 20, "Alcoólicos", 23, "Zero", 26, "Gelatos Proteicos", 29, 8), 7)) + (ROUND(P215,4) &lt; INDEX('Tabela de ingredientes'!$O$1:$V$30, SWITCH(B215, "Gelatos de Leite", 7, "Sorbets", 10, "Gelatos de Leite com Fruta", 13, "Chocolate base água", 16, "Vegano", 19, "Alcoólicos", 22, "Zero", 25, "Gelatos Proteicos", 28, 7), 8)) + (ROUND(P215,4) &gt; INDEX('Tabela de ingredientes'!$O$1:$V$30, SWITCH(B215, "Gelatos de Leite", 8, "Sorbets", 11, "Gelatos de Leite com Fruta", 14, "Chocolate base água", 17, "Vegano", 20, "Alcoólicos", 23, "Zero", 26, "Gelatos Proteicos", 29, 8), 8)) + IF(B215="Gelatos Proteicos", (ROUND(Q215,4)&lt;'Tabela de ingredientes'!$W$28)+(ROUND(Q215,4)&gt;'Tabela de ingredientes'!$W$29), 0) = 0, "Ok", "Revisar"))</f>
        <v/>
      </c>
    </row>
    <row r="216">
      <c r="A216" s="264"/>
      <c r="B216" s="264" t="s">
        <v>187</v>
      </c>
      <c r="C216" s="264" t="s">
        <v>187</v>
      </c>
      <c r="D216" s="264" t="s">
        <v>187</v>
      </c>
      <c r="E216" s="264" t="s">
        <v>187</v>
      </c>
      <c r="F216" s="264" t="s">
        <v>187</v>
      </c>
      <c r="G216" s="264" t="s">
        <v>187</v>
      </c>
      <c r="H216" s="264" t="s">
        <v>187</v>
      </c>
      <c r="I216" s="264" t="s">
        <v>187</v>
      </c>
      <c r="J216" s="264" t="s">
        <v>187</v>
      </c>
      <c r="K216" s="264" t="s">
        <v>187</v>
      </c>
      <c r="L216" s="264" t="s">
        <v>187</v>
      </c>
      <c r="M216" s="264" t="s">
        <v>187</v>
      </c>
      <c r="N216" s="264" t="s">
        <v>187</v>
      </c>
      <c r="O216" s="264" t="s">
        <v>187</v>
      </c>
      <c r="P216" s="264" t="s">
        <v>187</v>
      </c>
      <c r="Q216" s="264" t="s">
        <v>187</v>
      </c>
      <c r="R216" s="264" t="s">
        <v>187</v>
      </c>
      <c r="S216" s="97" t="str">
        <f t="array" ref="S216">IF(A216="","", IF( (ROUND(I216,4) &lt; INDEX('Tabela de ingredientes'!$O$1:$V$30, SWITCH(B216, "Gelatos de Leite", 7, "Sorbets", 10, "Gelatos de Leite com Fruta", 13, "Chocolate base água", 16, "Vegano", 19, "Alcoólicos", 22, "Zero", 25, "Gelatos Proteicos", 28, 7), 1)) + (ROUND(I216,4) &gt; INDEX('Tabela de ingredientes'!$O$1:$V$30, SWITCH(B216, "Gelatos de Leite", 8, "Sorbets", 11, "Gelatos de Leite com Fruta", 14, "Chocolate base água", 17, "Vegano", 20, "Alcoólicos", 23, "Zero", 26, "Gelatos Proteicos", 29, 8), 1)) + (ROUND(J216,4) &lt; INDEX('Tabela de ingredientes'!$O$1:$V$30, SWITCH(B216, "Gelatos de Leite", 7, "Sorbets", 10, "Gelatos de Leite com Fruta", 13, "Chocolate base água", 16, "Vegano", 19, "Alcoólicos", 22, "Zero", 25, "Gelatos Proteicos", 28, 7), 2)) + (ROUND(J216,4) &gt; INDEX('Tabela de ingredientes'!$O$1:$V$30, SWITCH(B216, "Gelatos de Leite", 8, "Sorbets", 11, "Gelatos de Leite com Fruta", 14, "Chocolate base água", 17, "Vegano", 20, "Alcoólicos", 23, "Zero", 26, "Gelatos Proteicos", 29, 8), 2)) + (ROUND(K216,4) &lt; INDEX('Tabela de ingredientes'!$O$1:$V$30, SWITCH(B216, "Gelatos de Leite", 7, "Sorbets", 10, "Gelatos de Leite com Fruta", 13, "Chocolate base água", 16, "Vegano", 19, "Alcoólicos", 22, "Zero", 25, "Gelatos Proteicos", 28, 7), 3)) + (ROUND(K216,4) &gt; INDEX('Tabela de ingredientes'!$O$1:$V$30, SWITCH(B216, "Gelatos de Leite", 8, "Sorbets", 11, "Gelatos de Leite com Fruta", 14, "Chocolate base água", 17, "Vegano", 20, "Alcoólicos", 23, "Zero", 26, "Gelatos Proteicos", 29, 8), 3)) + (ROUND(L216,4) &lt; INDEX('Tabela de ingredientes'!$O$1:$V$30, SWITCH(B216, "Gelatos de Leite", 7, "Sorbets", 10, "Gelatos de Leite com Fruta", 13, "Chocolate base água", 16, "Vegano", 19, "Alcoólicos", 22, "Zero", 25, "Gelatos Proteicos", 28, 7), 4)) + (ROUND(L216,4) &gt; INDEX('Tabela de ingredientes'!$O$1:$V$30, SWITCH(B216, "Gelatos de Leite", 8, "Sorbets", 11, "Gelatos de Leite com Fruta", 14, "Chocolate base água", 17, "Vegano", 20, "Alcoólicos", 23, "Zero", 26, "Gelatos Proteicos", 29, 8), 4)) + (ROUND(M216,4) &lt; INDEX('Tabela de ingredientes'!$O$1:$V$30, SWITCH(B216, "Gelatos de Leite", 7, "Sorbets", 10, "Gelatos de Leite com Fruta", 13, "Chocolate base água", 16, "Vegano", 19, "Alcoólicos", 22, "Zero", 25, "Gelatos Proteicos", 28, 7), 5)) + (ROUND(M216,4) &gt; INDEX('Tabela de ingredientes'!$O$1:$V$30, SWITCH(B216, "Gelatos de Leite", 8, "Sorbets", 11, "Gelatos de Leite com Fruta", 14, "Chocolate base água", 17, "Vegano", 20, "Alcoólicos", 23, "Zero", 26, "Gelatos Proteicos", 29, 8), 5)) + (ROUND(N216,4) &lt; INDEX('Tabela de ingredientes'!$O$1:$V$30, SWITCH(B216, "Gelatos de Leite", 7, "Sorbets", 10, "Gelatos de Leite com Fruta", 13, "Chocolate base água", 16, "Vegano", 19, "Alcoólicos", 22, "Zero", 25, "Gelatos Proteicos", 28, 7), 6)) + (ROUND(N216,4) &gt; INDEX('Tabela de ingredientes'!$O$1:$V$30, SWITCH(B216, "Gelatos de Leite", 8, "Sorbets", 11, "Gelatos de Leite com Fruta", 14, "Chocolate base água", 17, "Vegano", 20, "Alcoólicos", 23, "Zero", 26, "Gelatos Proteicos", 29, 8), 6)) + (ROUND(O216,4) &lt; INDEX('Tabela de ingredientes'!$O$1:$V$30, SWITCH(B216, "Gelatos de Leite", 7, "Sorbets", 10, "Gelatos de Leite com Fruta", 13, "Chocolate base água", 16, "Vegano", 19, "Alcoólicos", 22, "Zero", 25, "Gelatos Proteicos", 28, 7), 7)) + (ROUND(O216,4) &gt; INDEX('Tabela de ingredientes'!$O$1:$V$30, SWITCH(B216, "Gelatos de Leite", 8, "Sorbets", 11, "Gelatos de Leite com Fruta", 14, "Chocolate base água", 17, "Vegano", 20, "Alcoólicos", 23, "Zero", 26, "Gelatos Proteicos", 29, 8), 7)) + (ROUND(P216,4) &lt; INDEX('Tabela de ingredientes'!$O$1:$V$30, SWITCH(B216, "Gelatos de Leite", 7, "Sorbets", 10, "Gelatos de Leite com Fruta", 13, "Chocolate base água", 16, "Vegano", 19, "Alcoólicos", 22, "Zero", 25, "Gelatos Proteicos", 28, 7), 8)) + (ROUND(P216,4) &gt; INDEX('Tabela de ingredientes'!$O$1:$V$30, SWITCH(B216, "Gelatos de Leite", 8, "Sorbets", 11, "Gelatos de Leite com Fruta", 14, "Chocolate base água", 17, "Vegano", 20, "Alcoólicos", 23, "Zero", 26, "Gelatos Proteicos", 29, 8), 8)) + IF(B216="Gelatos Proteicos", (ROUND(Q216,4)&lt;'Tabela de ingredientes'!$W$28)+(ROUND(Q216,4)&gt;'Tabela de ingredientes'!$W$29), 0) = 0, "Ok", "Revisar"))</f>
        <v/>
      </c>
    </row>
    <row r="217">
      <c r="A217" s="264"/>
      <c r="B217" s="264" t="s">
        <v>187</v>
      </c>
      <c r="C217" s="264" t="s">
        <v>187</v>
      </c>
      <c r="D217" s="264" t="s">
        <v>187</v>
      </c>
      <c r="E217" s="264" t="s">
        <v>187</v>
      </c>
      <c r="F217" s="264" t="s">
        <v>187</v>
      </c>
      <c r="G217" s="264" t="s">
        <v>187</v>
      </c>
      <c r="H217" s="264" t="s">
        <v>187</v>
      </c>
      <c r="I217" s="264" t="s">
        <v>187</v>
      </c>
      <c r="J217" s="264" t="s">
        <v>187</v>
      </c>
      <c r="K217" s="264" t="s">
        <v>187</v>
      </c>
      <c r="L217" s="264" t="s">
        <v>187</v>
      </c>
      <c r="M217" s="264" t="s">
        <v>187</v>
      </c>
      <c r="N217" s="264" t="s">
        <v>187</v>
      </c>
      <c r="O217" s="264" t="s">
        <v>187</v>
      </c>
      <c r="P217" s="264" t="s">
        <v>187</v>
      </c>
      <c r="Q217" s="264" t="s">
        <v>187</v>
      </c>
      <c r="R217" s="264" t="s">
        <v>187</v>
      </c>
      <c r="S217" s="97" t="str">
        <f t="array" ref="S217">IF(A217="","", IF( (ROUND(I217,4) &lt; INDEX('Tabela de ingredientes'!$O$1:$V$30, SWITCH(B217, "Gelatos de Leite", 7, "Sorbets", 10, "Gelatos de Leite com Fruta", 13, "Chocolate base água", 16, "Vegano", 19, "Alcoólicos", 22, "Zero", 25, "Gelatos Proteicos", 28, 7), 1)) + (ROUND(I217,4) &gt; INDEX('Tabela de ingredientes'!$O$1:$V$30, SWITCH(B217, "Gelatos de Leite", 8, "Sorbets", 11, "Gelatos de Leite com Fruta", 14, "Chocolate base água", 17, "Vegano", 20, "Alcoólicos", 23, "Zero", 26, "Gelatos Proteicos", 29, 8), 1)) + (ROUND(J217,4) &lt; INDEX('Tabela de ingredientes'!$O$1:$V$30, SWITCH(B217, "Gelatos de Leite", 7, "Sorbets", 10, "Gelatos de Leite com Fruta", 13, "Chocolate base água", 16, "Vegano", 19, "Alcoólicos", 22, "Zero", 25, "Gelatos Proteicos", 28, 7), 2)) + (ROUND(J217,4) &gt; INDEX('Tabela de ingredientes'!$O$1:$V$30, SWITCH(B217, "Gelatos de Leite", 8, "Sorbets", 11, "Gelatos de Leite com Fruta", 14, "Chocolate base água", 17, "Vegano", 20, "Alcoólicos", 23, "Zero", 26, "Gelatos Proteicos", 29, 8), 2)) + (ROUND(K217,4) &lt; INDEX('Tabela de ingredientes'!$O$1:$V$30, SWITCH(B217, "Gelatos de Leite", 7, "Sorbets", 10, "Gelatos de Leite com Fruta", 13, "Chocolate base água", 16, "Vegano", 19, "Alcoólicos", 22, "Zero", 25, "Gelatos Proteicos", 28, 7), 3)) + (ROUND(K217,4) &gt; INDEX('Tabela de ingredientes'!$O$1:$V$30, SWITCH(B217, "Gelatos de Leite", 8, "Sorbets", 11, "Gelatos de Leite com Fruta", 14, "Chocolate base água", 17, "Vegano", 20, "Alcoólicos", 23, "Zero", 26, "Gelatos Proteicos", 29, 8), 3)) + (ROUND(L217,4) &lt; INDEX('Tabela de ingredientes'!$O$1:$V$30, SWITCH(B217, "Gelatos de Leite", 7, "Sorbets", 10, "Gelatos de Leite com Fruta", 13, "Chocolate base água", 16, "Vegano", 19, "Alcoólicos", 22, "Zero", 25, "Gelatos Proteicos", 28, 7), 4)) + (ROUND(L217,4) &gt; INDEX('Tabela de ingredientes'!$O$1:$V$30, SWITCH(B217, "Gelatos de Leite", 8, "Sorbets", 11, "Gelatos de Leite com Fruta", 14, "Chocolate base água", 17, "Vegano", 20, "Alcoólicos", 23, "Zero", 26, "Gelatos Proteicos", 29, 8), 4)) + (ROUND(M217,4) &lt; INDEX('Tabela de ingredientes'!$O$1:$V$30, SWITCH(B217, "Gelatos de Leite", 7, "Sorbets", 10, "Gelatos de Leite com Fruta", 13, "Chocolate base água", 16, "Vegano", 19, "Alcoólicos", 22, "Zero", 25, "Gelatos Proteicos", 28, 7), 5)) + (ROUND(M217,4) &gt; INDEX('Tabela de ingredientes'!$O$1:$V$30, SWITCH(B217, "Gelatos de Leite", 8, "Sorbets", 11, "Gelatos de Leite com Fruta", 14, "Chocolate base água", 17, "Vegano", 20, "Alcoólicos", 23, "Zero", 26, "Gelatos Proteicos", 29, 8), 5)) + (ROUND(N217,4) &lt; INDEX('Tabela de ingredientes'!$O$1:$V$30, SWITCH(B217, "Gelatos de Leite", 7, "Sorbets", 10, "Gelatos de Leite com Fruta", 13, "Chocolate base água", 16, "Vegano", 19, "Alcoólicos", 22, "Zero", 25, "Gelatos Proteicos", 28, 7), 6)) + (ROUND(N217,4) &gt; INDEX('Tabela de ingredientes'!$O$1:$V$30, SWITCH(B217, "Gelatos de Leite", 8, "Sorbets", 11, "Gelatos de Leite com Fruta", 14, "Chocolate base água", 17, "Vegano", 20, "Alcoólicos", 23, "Zero", 26, "Gelatos Proteicos", 29, 8), 6)) + (ROUND(O217,4) &lt; INDEX('Tabela de ingredientes'!$O$1:$V$30, SWITCH(B217, "Gelatos de Leite", 7, "Sorbets", 10, "Gelatos de Leite com Fruta", 13, "Chocolate base água", 16, "Vegano", 19, "Alcoólicos", 22, "Zero", 25, "Gelatos Proteicos", 28, 7), 7)) + (ROUND(O217,4) &gt; INDEX('Tabela de ingredientes'!$O$1:$V$30, SWITCH(B217, "Gelatos de Leite", 8, "Sorbets", 11, "Gelatos de Leite com Fruta", 14, "Chocolate base água", 17, "Vegano", 20, "Alcoólicos", 23, "Zero", 26, "Gelatos Proteicos", 29, 8), 7)) + (ROUND(P217,4) &lt; INDEX('Tabela de ingredientes'!$O$1:$V$30, SWITCH(B217, "Gelatos de Leite", 7, "Sorbets", 10, "Gelatos de Leite com Fruta", 13, "Chocolate base água", 16, "Vegano", 19, "Alcoólicos", 22, "Zero", 25, "Gelatos Proteicos", 28, 7), 8)) + (ROUND(P217,4) &gt; INDEX('Tabela de ingredientes'!$O$1:$V$30, SWITCH(B217, "Gelatos de Leite", 8, "Sorbets", 11, "Gelatos de Leite com Fruta", 14, "Chocolate base água", 17, "Vegano", 20, "Alcoólicos", 23, "Zero", 26, "Gelatos Proteicos", 29, 8), 8)) + IF(B217="Gelatos Proteicos", (ROUND(Q217,4)&lt;'Tabela de ingredientes'!$W$28)+(ROUND(Q217,4)&gt;'Tabela de ingredientes'!$W$29), 0) = 0, "Ok", "Revisar"))</f>
        <v/>
      </c>
    </row>
    <row r="218">
      <c r="A218" s="264"/>
      <c r="B218" s="264" t="s">
        <v>187</v>
      </c>
      <c r="C218" s="264" t="s">
        <v>187</v>
      </c>
      <c r="D218" s="264" t="s">
        <v>187</v>
      </c>
      <c r="E218" s="264" t="s">
        <v>187</v>
      </c>
      <c r="F218" s="264" t="s">
        <v>187</v>
      </c>
      <c r="G218" s="264" t="s">
        <v>187</v>
      </c>
      <c r="H218" s="264" t="s">
        <v>187</v>
      </c>
      <c r="I218" s="264" t="s">
        <v>187</v>
      </c>
      <c r="J218" s="264" t="s">
        <v>187</v>
      </c>
      <c r="K218" s="264" t="s">
        <v>187</v>
      </c>
      <c r="L218" s="264" t="s">
        <v>187</v>
      </c>
      <c r="M218" s="264" t="s">
        <v>187</v>
      </c>
      <c r="N218" s="264" t="s">
        <v>187</v>
      </c>
      <c r="O218" s="264" t="s">
        <v>187</v>
      </c>
      <c r="P218" s="264" t="s">
        <v>187</v>
      </c>
      <c r="Q218" s="264" t="s">
        <v>187</v>
      </c>
      <c r="R218" s="264" t="s">
        <v>187</v>
      </c>
      <c r="S218" s="97" t="str">
        <f t="array" ref="S218">IF(A218="","", IF( (ROUND(I218,4) &lt; INDEX('Tabela de ingredientes'!$O$1:$V$30, SWITCH(B218, "Gelatos de Leite", 7, "Sorbets", 10, "Gelatos de Leite com Fruta", 13, "Chocolate base água", 16, "Vegano", 19, "Alcoólicos", 22, "Zero", 25, "Gelatos Proteicos", 28, 7), 1)) + (ROUND(I218,4) &gt; INDEX('Tabela de ingredientes'!$O$1:$V$30, SWITCH(B218, "Gelatos de Leite", 8, "Sorbets", 11, "Gelatos de Leite com Fruta", 14, "Chocolate base água", 17, "Vegano", 20, "Alcoólicos", 23, "Zero", 26, "Gelatos Proteicos", 29, 8), 1)) + (ROUND(J218,4) &lt; INDEX('Tabela de ingredientes'!$O$1:$V$30, SWITCH(B218, "Gelatos de Leite", 7, "Sorbets", 10, "Gelatos de Leite com Fruta", 13, "Chocolate base água", 16, "Vegano", 19, "Alcoólicos", 22, "Zero", 25, "Gelatos Proteicos", 28, 7), 2)) + (ROUND(J218,4) &gt; INDEX('Tabela de ingredientes'!$O$1:$V$30, SWITCH(B218, "Gelatos de Leite", 8, "Sorbets", 11, "Gelatos de Leite com Fruta", 14, "Chocolate base água", 17, "Vegano", 20, "Alcoólicos", 23, "Zero", 26, "Gelatos Proteicos", 29, 8), 2)) + (ROUND(K218,4) &lt; INDEX('Tabela de ingredientes'!$O$1:$V$30, SWITCH(B218, "Gelatos de Leite", 7, "Sorbets", 10, "Gelatos de Leite com Fruta", 13, "Chocolate base água", 16, "Vegano", 19, "Alcoólicos", 22, "Zero", 25, "Gelatos Proteicos", 28, 7), 3)) + (ROUND(K218,4) &gt; INDEX('Tabela de ingredientes'!$O$1:$V$30, SWITCH(B218, "Gelatos de Leite", 8, "Sorbets", 11, "Gelatos de Leite com Fruta", 14, "Chocolate base água", 17, "Vegano", 20, "Alcoólicos", 23, "Zero", 26, "Gelatos Proteicos", 29, 8), 3)) + (ROUND(L218,4) &lt; INDEX('Tabela de ingredientes'!$O$1:$V$30, SWITCH(B218, "Gelatos de Leite", 7, "Sorbets", 10, "Gelatos de Leite com Fruta", 13, "Chocolate base água", 16, "Vegano", 19, "Alcoólicos", 22, "Zero", 25, "Gelatos Proteicos", 28, 7), 4)) + (ROUND(L218,4) &gt; INDEX('Tabela de ingredientes'!$O$1:$V$30, SWITCH(B218, "Gelatos de Leite", 8, "Sorbets", 11, "Gelatos de Leite com Fruta", 14, "Chocolate base água", 17, "Vegano", 20, "Alcoólicos", 23, "Zero", 26, "Gelatos Proteicos", 29, 8), 4)) + (ROUND(M218,4) &lt; INDEX('Tabela de ingredientes'!$O$1:$V$30, SWITCH(B218, "Gelatos de Leite", 7, "Sorbets", 10, "Gelatos de Leite com Fruta", 13, "Chocolate base água", 16, "Vegano", 19, "Alcoólicos", 22, "Zero", 25, "Gelatos Proteicos", 28, 7), 5)) + (ROUND(M218,4) &gt; INDEX('Tabela de ingredientes'!$O$1:$V$30, SWITCH(B218, "Gelatos de Leite", 8, "Sorbets", 11, "Gelatos de Leite com Fruta", 14, "Chocolate base água", 17, "Vegano", 20, "Alcoólicos", 23, "Zero", 26, "Gelatos Proteicos", 29, 8), 5)) + (ROUND(N218,4) &lt; INDEX('Tabela de ingredientes'!$O$1:$V$30, SWITCH(B218, "Gelatos de Leite", 7, "Sorbets", 10, "Gelatos de Leite com Fruta", 13, "Chocolate base água", 16, "Vegano", 19, "Alcoólicos", 22, "Zero", 25, "Gelatos Proteicos", 28, 7), 6)) + (ROUND(N218,4) &gt; INDEX('Tabela de ingredientes'!$O$1:$V$30, SWITCH(B218, "Gelatos de Leite", 8, "Sorbets", 11, "Gelatos de Leite com Fruta", 14, "Chocolate base água", 17, "Vegano", 20, "Alcoólicos", 23, "Zero", 26, "Gelatos Proteicos", 29, 8), 6)) + (ROUND(O218,4) &lt; INDEX('Tabela de ingredientes'!$O$1:$V$30, SWITCH(B218, "Gelatos de Leite", 7, "Sorbets", 10, "Gelatos de Leite com Fruta", 13, "Chocolate base água", 16, "Vegano", 19, "Alcoólicos", 22, "Zero", 25, "Gelatos Proteicos", 28, 7), 7)) + (ROUND(O218,4) &gt; INDEX('Tabela de ingredientes'!$O$1:$V$30, SWITCH(B218, "Gelatos de Leite", 8, "Sorbets", 11, "Gelatos de Leite com Fruta", 14, "Chocolate base água", 17, "Vegano", 20, "Alcoólicos", 23, "Zero", 26, "Gelatos Proteicos", 29, 8), 7)) + (ROUND(P218,4) &lt; INDEX('Tabela de ingredientes'!$O$1:$V$30, SWITCH(B218, "Gelatos de Leite", 7, "Sorbets", 10, "Gelatos de Leite com Fruta", 13, "Chocolate base água", 16, "Vegano", 19, "Alcoólicos", 22, "Zero", 25, "Gelatos Proteicos", 28, 7), 8)) + (ROUND(P218,4) &gt; INDEX('Tabela de ingredientes'!$O$1:$V$30, SWITCH(B218, "Gelatos de Leite", 8, "Sorbets", 11, "Gelatos de Leite com Fruta", 14, "Chocolate base água", 17, "Vegano", 20, "Alcoólicos", 23, "Zero", 26, "Gelatos Proteicos", 29, 8), 8)) + IF(B218="Gelatos Proteicos", (ROUND(Q218,4)&lt;'Tabela de ingredientes'!$W$28)+(ROUND(Q218,4)&gt;'Tabela de ingredientes'!$W$29), 0) = 0, "Ok", "Revisar"))</f>
        <v/>
      </c>
    </row>
    <row r="219">
      <c r="A219" s="264"/>
      <c r="B219" s="264" t="s">
        <v>187</v>
      </c>
      <c r="C219" s="264" t="s">
        <v>187</v>
      </c>
      <c r="D219" s="264" t="s">
        <v>187</v>
      </c>
      <c r="E219" s="264" t="s">
        <v>187</v>
      </c>
      <c r="F219" s="264" t="s">
        <v>187</v>
      </c>
      <c r="G219" s="264" t="s">
        <v>187</v>
      </c>
      <c r="H219" s="264" t="s">
        <v>187</v>
      </c>
      <c r="I219" s="264" t="s">
        <v>187</v>
      </c>
      <c r="J219" s="264" t="s">
        <v>187</v>
      </c>
      <c r="K219" s="264" t="s">
        <v>187</v>
      </c>
      <c r="L219" s="264" t="s">
        <v>187</v>
      </c>
      <c r="M219" s="264" t="s">
        <v>187</v>
      </c>
      <c r="N219" s="264" t="s">
        <v>187</v>
      </c>
      <c r="O219" s="264" t="s">
        <v>187</v>
      </c>
      <c r="P219" s="264" t="s">
        <v>187</v>
      </c>
      <c r="Q219" s="264" t="s">
        <v>187</v>
      </c>
      <c r="R219" s="264" t="s">
        <v>187</v>
      </c>
      <c r="S219" s="97" t="str">
        <f t="array" ref="S219">IF(A219="","", IF( (ROUND(I219,4) &lt; INDEX('Tabela de ingredientes'!$O$1:$V$30, SWITCH(B219, "Gelatos de Leite", 7, "Sorbets", 10, "Gelatos de Leite com Fruta", 13, "Chocolate base água", 16, "Vegano", 19, "Alcoólicos", 22, "Zero", 25, "Gelatos Proteicos", 28, 7), 1)) + (ROUND(I219,4) &gt; INDEX('Tabela de ingredientes'!$O$1:$V$30, SWITCH(B219, "Gelatos de Leite", 8, "Sorbets", 11, "Gelatos de Leite com Fruta", 14, "Chocolate base água", 17, "Vegano", 20, "Alcoólicos", 23, "Zero", 26, "Gelatos Proteicos", 29, 8), 1)) + (ROUND(J219,4) &lt; INDEX('Tabela de ingredientes'!$O$1:$V$30, SWITCH(B219, "Gelatos de Leite", 7, "Sorbets", 10, "Gelatos de Leite com Fruta", 13, "Chocolate base água", 16, "Vegano", 19, "Alcoólicos", 22, "Zero", 25, "Gelatos Proteicos", 28, 7), 2)) + (ROUND(J219,4) &gt; INDEX('Tabela de ingredientes'!$O$1:$V$30, SWITCH(B219, "Gelatos de Leite", 8, "Sorbets", 11, "Gelatos de Leite com Fruta", 14, "Chocolate base água", 17, "Vegano", 20, "Alcoólicos", 23, "Zero", 26, "Gelatos Proteicos", 29, 8), 2)) + (ROUND(K219,4) &lt; INDEX('Tabela de ingredientes'!$O$1:$V$30, SWITCH(B219, "Gelatos de Leite", 7, "Sorbets", 10, "Gelatos de Leite com Fruta", 13, "Chocolate base água", 16, "Vegano", 19, "Alcoólicos", 22, "Zero", 25, "Gelatos Proteicos", 28, 7), 3)) + (ROUND(K219,4) &gt; INDEX('Tabela de ingredientes'!$O$1:$V$30, SWITCH(B219, "Gelatos de Leite", 8, "Sorbets", 11, "Gelatos de Leite com Fruta", 14, "Chocolate base água", 17, "Vegano", 20, "Alcoólicos", 23, "Zero", 26, "Gelatos Proteicos", 29, 8), 3)) + (ROUND(L219,4) &lt; INDEX('Tabela de ingredientes'!$O$1:$V$30, SWITCH(B219, "Gelatos de Leite", 7, "Sorbets", 10, "Gelatos de Leite com Fruta", 13, "Chocolate base água", 16, "Vegano", 19, "Alcoólicos", 22, "Zero", 25, "Gelatos Proteicos", 28, 7), 4)) + (ROUND(L219,4) &gt; INDEX('Tabela de ingredientes'!$O$1:$V$30, SWITCH(B219, "Gelatos de Leite", 8, "Sorbets", 11, "Gelatos de Leite com Fruta", 14, "Chocolate base água", 17, "Vegano", 20, "Alcoólicos", 23, "Zero", 26, "Gelatos Proteicos", 29, 8), 4)) + (ROUND(M219,4) &lt; INDEX('Tabela de ingredientes'!$O$1:$V$30, SWITCH(B219, "Gelatos de Leite", 7, "Sorbets", 10, "Gelatos de Leite com Fruta", 13, "Chocolate base água", 16, "Vegano", 19, "Alcoólicos", 22, "Zero", 25, "Gelatos Proteicos", 28, 7), 5)) + (ROUND(M219,4) &gt; INDEX('Tabela de ingredientes'!$O$1:$V$30, SWITCH(B219, "Gelatos de Leite", 8, "Sorbets", 11, "Gelatos de Leite com Fruta", 14, "Chocolate base água", 17, "Vegano", 20, "Alcoólicos", 23, "Zero", 26, "Gelatos Proteicos", 29, 8), 5)) + (ROUND(N219,4) &lt; INDEX('Tabela de ingredientes'!$O$1:$V$30, SWITCH(B219, "Gelatos de Leite", 7, "Sorbets", 10, "Gelatos de Leite com Fruta", 13, "Chocolate base água", 16, "Vegano", 19, "Alcoólicos", 22, "Zero", 25, "Gelatos Proteicos", 28, 7), 6)) + (ROUND(N219,4) &gt; INDEX('Tabela de ingredientes'!$O$1:$V$30, SWITCH(B219, "Gelatos de Leite", 8, "Sorbets", 11, "Gelatos de Leite com Fruta", 14, "Chocolate base água", 17, "Vegano", 20, "Alcoólicos", 23, "Zero", 26, "Gelatos Proteicos", 29, 8), 6)) + (ROUND(O219,4) &lt; INDEX('Tabela de ingredientes'!$O$1:$V$30, SWITCH(B219, "Gelatos de Leite", 7, "Sorbets", 10, "Gelatos de Leite com Fruta", 13, "Chocolate base água", 16, "Vegano", 19, "Alcoólicos", 22, "Zero", 25, "Gelatos Proteicos", 28, 7), 7)) + (ROUND(O219,4) &gt; INDEX('Tabela de ingredientes'!$O$1:$V$30, SWITCH(B219, "Gelatos de Leite", 8, "Sorbets", 11, "Gelatos de Leite com Fruta", 14, "Chocolate base água", 17, "Vegano", 20, "Alcoólicos", 23, "Zero", 26, "Gelatos Proteicos", 29, 8), 7)) + (ROUND(P219,4) &lt; INDEX('Tabela de ingredientes'!$O$1:$V$30, SWITCH(B219, "Gelatos de Leite", 7, "Sorbets", 10, "Gelatos de Leite com Fruta", 13, "Chocolate base água", 16, "Vegano", 19, "Alcoólicos", 22, "Zero", 25, "Gelatos Proteicos", 28, 7), 8)) + (ROUND(P219,4) &gt; INDEX('Tabela de ingredientes'!$O$1:$V$30, SWITCH(B219, "Gelatos de Leite", 8, "Sorbets", 11, "Gelatos de Leite com Fruta", 14, "Chocolate base água", 17, "Vegano", 20, "Alcoólicos", 23, "Zero", 26, "Gelatos Proteicos", 29, 8), 8)) + IF(B219="Gelatos Proteicos", (ROUND(Q219,4)&lt;'Tabela de ingredientes'!$W$28)+(ROUND(Q219,4)&gt;'Tabela de ingredientes'!$W$29), 0) = 0, "Ok", "Revisar"))</f>
        <v/>
      </c>
    </row>
    <row r="220">
      <c r="A220" s="264"/>
      <c r="B220" s="264" t="s">
        <v>187</v>
      </c>
      <c r="C220" s="264" t="s">
        <v>187</v>
      </c>
      <c r="D220" s="264" t="s">
        <v>187</v>
      </c>
      <c r="E220" s="264" t="s">
        <v>187</v>
      </c>
      <c r="F220" s="264" t="s">
        <v>187</v>
      </c>
      <c r="G220" s="264" t="s">
        <v>187</v>
      </c>
      <c r="H220" s="264" t="s">
        <v>187</v>
      </c>
      <c r="I220" s="264" t="s">
        <v>187</v>
      </c>
      <c r="J220" s="264" t="s">
        <v>187</v>
      </c>
      <c r="K220" s="264" t="s">
        <v>187</v>
      </c>
      <c r="L220" s="264" t="s">
        <v>187</v>
      </c>
      <c r="M220" s="264" t="s">
        <v>187</v>
      </c>
      <c r="N220" s="264" t="s">
        <v>187</v>
      </c>
      <c r="O220" s="264" t="s">
        <v>187</v>
      </c>
      <c r="P220" s="264" t="s">
        <v>187</v>
      </c>
      <c r="Q220" s="264" t="s">
        <v>187</v>
      </c>
      <c r="R220" s="264" t="s">
        <v>187</v>
      </c>
      <c r="S220" s="97" t="str">
        <f t="array" ref="S220">IF(A220="","", IF( (ROUND(I220,4) &lt; INDEX('Tabela de ingredientes'!$O$1:$V$30, SWITCH(B220, "Gelatos de Leite", 7, "Sorbets", 10, "Gelatos de Leite com Fruta", 13, "Chocolate base água", 16, "Vegano", 19, "Alcoólicos", 22, "Zero", 25, "Gelatos Proteicos", 28, 7), 1)) + (ROUND(I220,4) &gt; INDEX('Tabela de ingredientes'!$O$1:$V$30, SWITCH(B220, "Gelatos de Leite", 8, "Sorbets", 11, "Gelatos de Leite com Fruta", 14, "Chocolate base água", 17, "Vegano", 20, "Alcoólicos", 23, "Zero", 26, "Gelatos Proteicos", 29, 8), 1)) + (ROUND(J220,4) &lt; INDEX('Tabela de ingredientes'!$O$1:$V$30, SWITCH(B220, "Gelatos de Leite", 7, "Sorbets", 10, "Gelatos de Leite com Fruta", 13, "Chocolate base água", 16, "Vegano", 19, "Alcoólicos", 22, "Zero", 25, "Gelatos Proteicos", 28, 7), 2)) + (ROUND(J220,4) &gt; INDEX('Tabela de ingredientes'!$O$1:$V$30, SWITCH(B220, "Gelatos de Leite", 8, "Sorbets", 11, "Gelatos de Leite com Fruta", 14, "Chocolate base água", 17, "Vegano", 20, "Alcoólicos", 23, "Zero", 26, "Gelatos Proteicos", 29, 8), 2)) + (ROUND(K220,4) &lt; INDEX('Tabela de ingredientes'!$O$1:$V$30, SWITCH(B220, "Gelatos de Leite", 7, "Sorbets", 10, "Gelatos de Leite com Fruta", 13, "Chocolate base água", 16, "Vegano", 19, "Alcoólicos", 22, "Zero", 25, "Gelatos Proteicos", 28, 7), 3)) + (ROUND(K220,4) &gt; INDEX('Tabela de ingredientes'!$O$1:$V$30, SWITCH(B220, "Gelatos de Leite", 8, "Sorbets", 11, "Gelatos de Leite com Fruta", 14, "Chocolate base água", 17, "Vegano", 20, "Alcoólicos", 23, "Zero", 26, "Gelatos Proteicos", 29, 8), 3)) + (ROUND(L220,4) &lt; INDEX('Tabela de ingredientes'!$O$1:$V$30, SWITCH(B220, "Gelatos de Leite", 7, "Sorbets", 10, "Gelatos de Leite com Fruta", 13, "Chocolate base água", 16, "Vegano", 19, "Alcoólicos", 22, "Zero", 25, "Gelatos Proteicos", 28, 7), 4)) + (ROUND(L220,4) &gt; INDEX('Tabela de ingredientes'!$O$1:$V$30, SWITCH(B220, "Gelatos de Leite", 8, "Sorbets", 11, "Gelatos de Leite com Fruta", 14, "Chocolate base água", 17, "Vegano", 20, "Alcoólicos", 23, "Zero", 26, "Gelatos Proteicos", 29, 8), 4)) + (ROUND(M220,4) &lt; INDEX('Tabela de ingredientes'!$O$1:$V$30, SWITCH(B220, "Gelatos de Leite", 7, "Sorbets", 10, "Gelatos de Leite com Fruta", 13, "Chocolate base água", 16, "Vegano", 19, "Alcoólicos", 22, "Zero", 25, "Gelatos Proteicos", 28, 7), 5)) + (ROUND(M220,4) &gt; INDEX('Tabela de ingredientes'!$O$1:$V$30, SWITCH(B220, "Gelatos de Leite", 8, "Sorbets", 11, "Gelatos de Leite com Fruta", 14, "Chocolate base água", 17, "Vegano", 20, "Alcoólicos", 23, "Zero", 26, "Gelatos Proteicos", 29, 8), 5)) + (ROUND(N220,4) &lt; INDEX('Tabela de ingredientes'!$O$1:$V$30, SWITCH(B220, "Gelatos de Leite", 7, "Sorbets", 10, "Gelatos de Leite com Fruta", 13, "Chocolate base água", 16, "Vegano", 19, "Alcoólicos", 22, "Zero", 25, "Gelatos Proteicos", 28, 7), 6)) + (ROUND(N220,4) &gt; INDEX('Tabela de ingredientes'!$O$1:$V$30, SWITCH(B220, "Gelatos de Leite", 8, "Sorbets", 11, "Gelatos de Leite com Fruta", 14, "Chocolate base água", 17, "Vegano", 20, "Alcoólicos", 23, "Zero", 26, "Gelatos Proteicos", 29, 8), 6)) + (ROUND(O220,4) &lt; INDEX('Tabela de ingredientes'!$O$1:$V$30, SWITCH(B220, "Gelatos de Leite", 7, "Sorbets", 10, "Gelatos de Leite com Fruta", 13, "Chocolate base água", 16, "Vegano", 19, "Alcoólicos", 22, "Zero", 25, "Gelatos Proteicos", 28, 7), 7)) + (ROUND(O220,4) &gt; INDEX('Tabela de ingredientes'!$O$1:$V$30, SWITCH(B220, "Gelatos de Leite", 8, "Sorbets", 11, "Gelatos de Leite com Fruta", 14, "Chocolate base água", 17, "Vegano", 20, "Alcoólicos", 23, "Zero", 26, "Gelatos Proteicos", 29, 8), 7)) + (ROUND(P220,4) &lt; INDEX('Tabela de ingredientes'!$O$1:$V$30, SWITCH(B220, "Gelatos de Leite", 7, "Sorbets", 10, "Gelatos de Leite com Fruta", 13, "Chocolate base água", 16, "Vegano", 19, "Alcoólicos", 22, "Zero", 25, "Gelatos Proteicos", 28, 7), 8)) + (ROUND(P220,4) &gt; INDEX('Tabela de ingredientes'!$O$1:$V$30, SWITCH(B220, "Gelatos de Leite", 8, "Sorbets", 11, "Gelatos de Leite com Fruta", 14, "Chocolate base água", 17, "Vegano", 20, "Alcoólicos", 23, "Zero", 26, "Gelatos Proteicos", 29, 8), 8)) + IF(B220="Gelatos Proteicos", (ROUND(Q220,4)&lt;'Tabela de ingredientes'!$W$28)+(ROUND(Q220,4)&gt;'Tabela de ingredientes'!$W$29), 0) = 0, "Ok", "Revisar"))</f>
        <v/>
      </c>
    </row>
    <row r="221">
      <c r="A221" s="264"/>
      <c r="B221" s="264" t="s">
        <v>187</v>
      </c>
      <c r="C221" s="264" t="s">
        <v>187</v>
      </c>
      <c r="D221" s="264" t="s">
        <v>187</v>
      </c>
      <c r="E221" s="264" t="s">
        <v>187</v>
      </c>
      <c r="F221" s="264" t="s">
        <v>187</v>
      </c>
      <c r="G221" s="264" t="s">
        <v>187</v>
      </c>
      <c r="H221" s="264" t="s">
        <v>187</v>
      </c>
      <c r="I221" s="264" t="s">
        <v>187</v>
      </c>
      <c r="J221" s="264" t="s">
        <v>187</v>
      </c>
      <c r="K221" s="264" t="s">
        <v>187</v>
      </c>
      <c r="L221" s="264" t="s">
        <v>187</v>
      </c>
      <c r="M221" s="264" t="s">
        <v>187</v>
      </c>
      <c r="N221" s="264" t="s">
        <v>187</v>
      </c>
      <c r="O221" s="264" t="s">
        <v>187</v>
      </c>
      <c r="P221" s="264" t="s">
        <v>187</v>
      </c>
      <c r="Q221" s="264" t="s">
        <v>187</v>
      </c>
      <c r="R221" s="264" t="s">
        <v>187</v>
      </c>
      <c r="S221" s="97" t="str">
        <f t="array" ref="S221">IF(A221="","", IF( (ROUND(I221,4) &lt; INDEX('Tabela de ingredientes'!$O$1:$V$30, SWITCH(B221, "Gelatos de Leite", 7, "Sorbets", 10, "Gelatos de Leite com Fruta", 13, "Chocolate base água", 16, "Vegano", 19, "Alcoólicos", 22, "Zero", 25, "Gelatos Proteicos", 28, 7), 1)) + (ROUND(I221,4) &gt; INDEX('Tabela de ingredientes'!$O$1:$V$30, SWITCH(B221, "Gelatos de Leite", 8, "Sorbets", 11, "Gelatos de Leite com Fruta", 14, "Chocolate base água", 17, "Vegano", 20, "Alcoólicos", 23, "Zero", 26, "Gelatos Proteicos", 29, 8), 1)) + (ROUND(J221,4) &lt; INDEX('Tabela de ingredientes'!$O$1:$V$30, SWITCH(B221, "Gelatos de Leite", 7, "Sorbets", 10, "Gelatos de Leite com Fruta", 13, "Chocolate base água", 16, "Vegano", 19, "Alcoólicos", 22, "Zero", 25, "Gelatos Proteicos", 28, 7), 2)) + (ROUND(J221,4) &gt; INDEX('Tabela de ingredientes'!$O$1:$V$30, SWITCH(B221, "Gelatos de Leite", 8, "Sorbets", 11, "Gelatos de Leite com Fruta", 14, "Chocolate base água", 17, "Vegano", 20, "Alcoólicos", 23, "Zero", 26, "Gelatos Proteicos", 29, 8), 2)) + (ROUND(K221,4) &lt; INDEX('Tabela de ingredientes'!$O$1:$V$30, SWITCH(B221, "Gelatos de Leite", 7, "Sorbets", 10, "Gelatos de Leite com Fruta", 13, "Chocolate base água", 16, "Vegano", 19, "Alcoólicos", 22, "Zero", 25, "Gelatos Proteicos", 28, 7), 3)) + (ROUND(K221,4) &gt; INDEX('Tabela de ingredientes'!$O$1:$V$30, SWITCH(B221, "Gelatos de Leite", 8, "Sorbets", 11, "Gelatos de Leite com Fruta", 14, "Chocolate base água", 17, "Vegano", 20, "Alcoólicos", 23, "Zero", 26, "Gelatos Proteicos", 29, 8), 3)) + (ROUND(L221,4) &lt; INDEX('Tabela de ingredientes'!$O$1:$V$30, SWITCH(B221, "Gelatos de Leite", 7, "Sorbets", 10, "Gelatos de Leite com Fruta", 13, "Chocolate base água", 16, "Vegano", 19, "Alcoólicos", 22, "Zero", 25, "Gelatos Proteicos", 28, 7), 4)) + (ROUND(L221,4) &gt; INDEX('Tabela de ingredientes'!$O$1:$V$30, SWITCH(B221, "Gelatos de Leite", 8, "Sorbets", 11, "Gelatos de Leite com Fruta", 14, "Chocolate base água", 17, "Vegano", 20, "Alcoólicos", 23, "Zero", 26, "Gelatos Proteicos", 29, 8), 4)) + (ROUND(M221,4) &lt; INDEX('Tabela de ingredientes'!$O$1:$V$30, SWITCH(B221, "Gelatos de Leite", 7, "Sorbets", 10, "Gelatos de Leite com Fruta", 13, "Chocolate base água", 16, "Vegano", 19, "Alcoólicos", 22, "Zero", 25, "Gelatos Proteicos", 28, 7), 5)) + (ROUND(M221,4) &gt; INDEX('Tabela de ingredientes'!$O$1:$V$30, SWITCH(B221, "Gelatos de Leite", 8, "Sorbets", 11, "Gelatos de Leite com Fruta", 14, "Chocolate base água", 17, "Vegano", 20, "Alcoólicos", 23, "Zero", 26, "Gelatos Proteicos", 29, 8), 5)) + (ROUND(N221,4) &lt; INDEX('Tabela de ingredientes'!$O$1:$V$30, SWITCH(B221, "Gelatos de Leite", 7, "Sorbets", 10, "Gelatos de Leite com Fruta", 13, "Chocolate base água", 16, "Vegano", 19, "Alcoólicos", 22, "Zero", 25, "Gelatos Proteicos", 28, 7), 6)) + (ROUND(N221,4) &gt; INDEX('Tabela de ingredientes'!$O$1:$V$30, SWITCH(B221, "Gelatos de Leite", 8, "Sorbets", 11, "Gelatos de Leite com Fruta", 14, "Chocolate base água", 17, "Vegano", 20, "Alcoólicos", 23, "Zero", 26, "Gelatos Proteicos", 29, 8), 6)) + (ROUND(O221,4) &lt; INDEX('Tabela de ingredientes'!$O$1:$V$30, SWITCH(B221, "Gelatos de Leite", 7, "Sorbets", 10, "Gelatos de Leite com Fruta", 13, "Chocolate base água", 16, "Vegano", 19, "Alcoólicos", 22, "Zero", 25, "Gelatos Proteicos", 28, 7), 7)) + (ROUND(O221,4) &gt; INDEX('Tabela de ingredientes'!$O$1:$V$30, SWITCH(B221, "Gelatos de Leite", 8, "Sorbets", 11, "Gelatos de Leite com Fruta", 14, "Chocolate base água", 17, "Vegano", 20, "Alcoólicos", 23, "Zero", 26, "Gelatos Proteicos", 29, 8), 7)) + (ROUND(P221,4) &lt; INDEX('Tabela de ingredientes'!$O$1:$V$30, SWITCH(B221, "Gelatos de Leite", 7, "Sorbets", 10, "Gelatos de Leite com Fruta", 13, "Chocolate base água", 16, "Vegano", 19, "Alcoólicos", 22, "Zero", 25, "Gelatos Proteicos", 28, 7), 8)) + (ROUND(P221,4) &gt; INDEX('Tabela de ingredientes'!$O$1:$V$30, SWITCH(B221, "Gelatos de Leite", 8, "Sorbets", 11, "Gelatos de Leite com Fruta", 14, "Chocolate base água", 17, "Vegano", 20, "Alcoólicos", 23, "Zero", 26, "Gelatos Proteicos", 29, 8), 8)) + IF(B221="Gelatos Proteicos", (ROUND(Q221,4)&lt;'Tabela de ingredientes'!$W$28)+(ROUND(Q221,4)&gt;'Tabela de ingredientes'!$W$29), 0) = 0, "Ok", "Revisar"))</f>
        <v/>
      </c>
    </row>
    <row r="222">
      <c r="A222" s="264"/>
      <c r="B222" s="264" t="s">
        <v>187</v>
      </c>
      <c r="C222" s="264" t="s">
        <v>187</v>
      </c>
      <c r="D222" s="264" t="s">
        <v>187</v>
      </c>
      <c r="E222" s="264" t="s">
        <v>187</v>
      </c>
      <c r="F222" s="264" t="s">
        <v>187</v>
      </c>
      <c r="G222" s="264" t="s">
        <v>187</v>
      </c>
      <c r="H222" s="264" t="s">
        <v>187</v>
      </c>
      <c r="I222" s="264" t="s">
        <v>187</v>
      </c>
      <c r="J222" s="264" t="s">
        <v>187</v>
      </c>
      <c r="K222" s="264" t="s">
        <v>187</v>
      </c>
      <c r="L222" s="264" t="s">
        <v>187</v>
      </c>
      <c r="M222" s="264" t="s">
        <v>187</v>
      </c>
      <c r="N222" s="264" t="s">
        <v>187</v>
      </c>
      <c r="O222" s="264" t="s">
        <v>187</v>
      </c>
      <c r="P222" s="264" t="s">
        <v>187</v>
      </c>
      <c r="Q222" s="264" t="s">
        <v>187</v>
      </c>
      <c r="R222" s="264" t="s">
        <v>187</v>
      </c>
      <c r="S222" s="97" t="str">
        <f t="array" ref="S222">IF(A222="","", IF( (ROUND(I222,4) &lt; INDEX('Tabela de ingredientes'!$O$1:$V$30, SWITCH(B222, "Gelatos de Leite", 7, "Sorbets", 10, "Gelatos de Leite com Fruta", 13, "Chocolate base água", 16, "Vegano", 19, "Alcoólicos", 22, "Zero", 25, "Gelatos Proteicos", 28, 7), 1)) + (ROUND(I222,4) &gt; INDEX('Tabela de ingredientes'!$O$1:$V$30, SWITCH(B222, "Gelatos de Leite", 8, "Sorbets", 11, "Gelatos de Leite com Fruta", 14, "Chocolate base água", 17, "Vegano", 20, "Alcoólicos", 23, "Zero", 26, "Gelatos Proteicos", 29, 8), 1)) + (ROUND(J222,4) &lt; INDEX('Tabela de ingredientes'!$O$1:$V$30, SWITCH(B222, "Gelatos de Leite", 7, "Sorbets", 10, "Gelatos de Leite com Fruta", 13, "Chocolate base água", 16, "Vegano", 19, "Alcoólicos", 22, "Zero", 25, "Gelatos Proteicos", 28, 7), 2)) + (ROUND(J222,4) &gt; INDEX('Tabela de ingredientes'!$O$1:$V$30, SWITCH(B222, "Gelatos de Leite", 8, "Sorbets", 11, "Gelatos de Leite com Fruta", 14, "Chocolate base água", 17, "Vegano", 20, "Alcoólicos", 23, "Zero", 26, "Gelatos Proteicos", 29, 8), 2)) + (ROUND(K222,4) &lt; INDEX('Tabela de ingredientes'!$O$1:$V$30, SWITCH(B222, "Gelatos de Leite", 7, "Sorbets", 10, "Gelatos de Leite com Fruta", 13, "Chocolate base água", 16, "Vegano", 19, "Alcoólicos", 22, "Zero", 25, "Gelatos Proteicos", 28, 7), 3)) + (ROUND(K222,4) &gt; INDEX('Tabela de ingredientes'!$O$1:$V$30, SWITCH(B222, "Gelatos de Leite", 8, "Sorbets", 11, "Gelatos de Leite com Fruta", 14, "Chocolate base água", 17, "Vegano", 20, "Alcoólicos", 23, "Zero", 26, "Gelatos Proteicos", 29, 8), 3)) + (ROUND(L222,4) &lt; INDEX('Tabela de ingredientes'!$O$1:$V$30, SWITCH(B222, "Gelatos de Leite", 7, "Sorbets", 10, "Gelatos de Leite com Fruta", 13, "Chocolate base água", 16, "Vegano", 19, "Alcoólicos", 22, "Zero", 25, "Gelatos Proteicos", 28, 7), 4)) + (ROUND(L222,4) &gt; INDEX('Tabela de ingredientes'!$O$1:$V$30, SWITCH(B222, "Gelatos de Leite", 8, "Sorbets", 11, "Gelatos de Leite com Fruta", 14, "Chocolate base água", 17, "Vegano", 20, "Alcoólicos", 23, "Zero", 26, "Gelatos Proteicos", 29, 8), 4)) + (ROUND(M222,4) &lt; INDEX('Tabela de ingredientes'!$O$1:$V$30, SWITCH(B222, "Gelatos de Leite", 7, "Sorbets", 10, "Gelatos de Leite com Fruta", 13, "Chocolate base água", 16, "Vegano", 19, "Alcoólicos", 22, "Zero", 25, "Gelatos Proteicos", 28, 7), 5)) + (ROUND(M222,4) &gt; INDEX('Tabela de ingredientes'!$O$1:$V$30, SWITCH(B222, "Gelatos de Leite", 8, "Sorbets", 11, "Gelatos de Leite com Fruta", 14, "Chocolate base água", 17, "Vegano", 20, "Alcoólicos", 23, "Zero", 26, "Gelatos Proteicos", 29, 8), 5)) + (ROUND(N222,4) &lt; INDEX('Tabela de ingredientes'!$O$1:$V$30, SWITCH(B222, "Gelatos de Leite", 7, "Sorbets", 10, "Gelatos de Leite com Fruta", 13, "Chocolate base água", 16, "Vegano", 19, "Alcoólicos", 22, "Zero", 25, "Gelatos Proteicos", 28, 7), 6)) + (ROUND(N222,4) &gt; INDEX('Tabela de ingredientes'!$O$1:$V$30, SWITCH(B222, "Gelatos de Leite", 8, "Sorbets", 11, "Gelatos de Leite com Fruta", 14, "Chocolate base água", 17, "Vegano", 20, "Alcoólicos", 23, "Zero", 26, "Gelatos Proteicos", 29, 8), 6)) + (ROUND(O222,4) &lt; INDEX('Tabela de ingredientes'!$O$1:$V$30, SWITCH(B222, "Gelatos de Leite", 7, "Sorbets", 10, "Gelatos de Leite com Fruta", 13, "Chocolate base água", 16, "Vegano", 19, "Alcoólicos", 22, "Zero", 25, "Gelatos Proteicos", 28, 7), 7)) + (ROUND(O222,4) &gt; INDEX('Tabela de ingredientes'!$O$1:$V$30, SWITCH(B222, "Gelatos de Leite", 8, "Sorbets", 11, "Gelatos de Leite com Fruta", 14, "Chocolate base água", 17, "Vegano", 20, "Alcoólicos", 23, "Zero", 26, "Gelatos Proteicos", 29, 8), 7)) + (ROUND(P222,4) &lt; INDEX('Tabela de ingredientes'!$O$1:$V$30, SWITCH(B222, "Gelatos de Leite", 7, "Sorbets", 10, "Gelatos de Leite com Fruta", 13, "Chocolate base água", 16, "Vegano", 19, "Alcoólicos", 22, "Zero", 25, "Gelatos Proteicos", 28, 7), 8)) + (ROUND(P222,4) &gt; INDEX('Tabela de ingredientes'!$O$1:$V$30, SWITCH(B222, "Gelatos de Leite", 8, "Sorbets", 11, "Gelatos de Leite com Fruta", 14, "Chocolate base água", 17, "Vegano", 20, "Alcoólicos", 23, "Zero", 26, "Gelatos Proteicos", 29, 8), 8)) + IF(B222="Gelatos Proteicos", (ROUND(Q222,4)&lt;'Tabela de ingredientes'!$W$28)+(ROUND(Q222,4)&gt;'Tabela de ingredientes'!$W$29), 0) = 0, "Ok", "Revisar"))</f>
        <v/>
      </c>
    </row>
    <row r="223">
      <c r="A223" s="264"/>
      <c r="B223" s="264" t="s">
        <v>187</v>
      </c>
      <c r="C223" s="264" t="s">
        <v>187</v>
      </c>
      <c r="D223" s="264" t="s">
        <v>187</v>
      </c>
      <c r="E223" s="264" t="s">
        <v>187</v>
      </c>
      <c r="F223" s="264" t="s">
        <v>187</v>
      </c>
      <c r="G223" s="264" t="s">
        <v>187</v>
      </c>
      <c r="H223" s="264" t="s">
        <v>187</v>
      </c>
      <c r="I223" s="264" t="s">
        <v>187</v>
      </c>
      <c r="J223" s="264" t="s">
        <v>187</v>
      </c>
      <c r="K223" s="264" t="s">
        <v>187</v>
      </c>
      <c r="L223" s="264" t="s">
        <v>187</v>
      </c>
      <c r="M223" s="264" t="s">
        <v>187</v>
      </c>
      <c r="N223" s="264" t="s">
        <v>187</v>
      </c>
      <c r="O223" s="264" t="s">
        <v>187</v>
      </c>
      <c r="P223" s="264" t="s">
        <v>187</v>
      </c>
      <c r="Q223" s="264" t="s">
        <v>187</v>
      </c>
      <c r="R223" s="264" t="s">
        <v>187</v>
      </c>
      <c r="S223" s="97" t="str">
        <f t="array" ref="S223">IF(A223="","", IF( (ROUND(I223,4) &lt; INDEX('Tabela de ingredientes'!$O$1:$V$30, SWITCH(B223, "Gelatos de Leite", 7, "Sorbets", 10, "Gelatos de Leite com Fruta", 13, "Chocolate base água", 16, "Vegano", 19, "Alcoólicos", 22, "Zero", 25, "Gelatos Proteicos", 28, 7), 1)) + (ROUND(I223,4) &gt; INDEX('Tabela de ingredientes'!$O$1:$V$30, SWITCH(B223, "Gelatos de Leite", 8, "Sorbets", 11, "Gelatos de Leite com Fruta", 14, "Chocolate base água", 17, "Vegano", 20, "Alcoólicos", 23, "Zero", 26, "Gelatos Proteicos", 29, 8), 1)) + (ROUND(J223,4) &lt; INDEX('Tabela de ingredientes'!$O$1:$V$30, SWITCH(B223, "Gelatos de Leite", 7, "Sorbets", 10, "Gelatos de Leite com Fruta", 13, "Chocolate base água", 16, "Vegano", 19, "Alcoólicos", 22, "Zero", 25, "Gelatos Proteicos", 28, 7), 2)) + (ROUND(J223,4) &gt; INDEX('Tabela de ingredientes'!$O$1:$V$30, SWITCH(B223, "Gelatos de Leite", 8, "Sorbets", 11, "Gelatos de Leite com Fruta", 14, "Chocolate base água", 17, "Vegano", 20, "Alcoólicos", 23, "Zero", 26, "Gelatos Proteicos", 29, 8), 2)) + (ROUND(K223,4) &lt; INDEX('Tabela de ingredientes'!$O$1:$V$30, SWITCH(B223, "Gelatos de Leite", 7, "Sorbets", 10, "Gelatos de Leite com Fruta", 13, "Chocolate base água", 16, "Vegano", 19, "Alcoólicos", 22, "Zero", 25, "Gelatos Proteicos", 28, 7), 3)) + (ROUND(K223,4) &gt; INDEX('Tabela de ingredientes'!$O$1:$V$30, SWITCH(B223, "Gelatos de Leite", 8, "Sorbets", 11, "Gelatos de Leite com Fruta", 14, "Chocolate base água", 17, "Vegano", 20, "Alcoólicos", 23, "Zero", 26, "Gelatos Proteicos", 29, 8), 3)) + (ROUND(L223,4) &lt; INDEX('Tabela de ingredientes'!$O$1:$V$30, SWITCH(B223, "Gelatos de Leite", 7, "Sorbets", 10, "Gelatos de Leite com Fruta", 13, "Chocolate base água", 16, "Vegano", 19, "Alcoólicos", 22, "Zero", 25, "Gelatos Proteicos", 28, 7), 4)) + (ROUND(L223,4) &gt; INDEX('Tabela de ingredientes'!$O$1:$V$30, SWITCH(B223, "Gelatos de Leite", 8, "Sorbets", 11, "Gelatos de Leite com Fruta", 14, "Chocolate base água", 17, "Vegano", 20, "Alcoólicos", 23, "Zero", 26, "Gelatos Proteicos", 29, 8), 4)) + (ROUND(M223,4) &lt; INDEX('Tabela de ingredientes'!$O$1:$V$30, SWITCH(B223, "Gelatos de Leite", 7, "Sorbets", 10, "Gelatos de Leite com Fruta", 13, "Chocolate base água", 16, "Vegano", 19, "Alcoólicos", 22, "Zero", 25, "Gelatos Proteicos", 28, 7), 5)) + (ROUND(M223,4) &gt; INDEX('Tabela de ingredientes'!$O$1:$V$30, SWITCH(B223, "Gelatos de Leite", 8, "Sorbets", 11, "Gelatos de Leite com Fruta", 14, "Chocolate base água", 17, "Vegano", 20, "Alcoólicos", 23, "Zero", 26, "Gelatos Proteicos", 29, 8), 5)) + (ROUND(N223,4) &lt; INDEX('Tabela de ingredientes'!$O$1:$V$30, SWITCH(B223, "Gelatos de Leite", 7, "Sorbets", 10, "Gelatos de Leite com Fruta", 13, "Chocolate base água", 16, "Vegano", 19, "Alcoólicos", 22, "Zero", 25, "Gelatos Proteicos", 28, 7), 6)) + (ROUND(N223,4) &gt; INDEX('Tabela de ingredientes'!$O$1:$V$30, SWITCH(B223, "Gelatos de Leite", 8, "Sorbets", 11, "Gelatos de Leite com Fruta", 14, "Chocolate base água", 17, "Vegano", 20, "Alcoólicos", 23, "Zero", 26, "Gelatos Proteicos", 29, 8), 6)) + (ROUND(O223,4) &lt; INDEX('Tabela de ingredientes'!$O$1:$V$30, SWITCH(B223, "Gelatos de Leite", 7, "Sorbets", 10, "Gelatos de Leite com Fruta", 13, "Chocolate base água", 16, "Vegano", 19, "Alcoólicos", 22, "Zero", 25, "Gelatos Proteicos", 28, 7), 7)) + (ROUND(O223,4) &gt; INDEX('Tabela de ingredientes'!$O$1:$V$30, SWITCH(B223, "Gelatos de Leite", 8, "Sorbets", 11, "Gelatos de Leite com Fruta", 14, "Chocolate base água", 17, "Vegano", 20, "Alcoólicos", 23, "Zero", 26, "Gelatos Proteicos", 29, 8), 7)) + (ROUND(P223,4) &lt; INDEX('Tabela de ingredientes'!$O$1:$V$30, SWITCH(B223, "Gelatos de Leite", 7, "Sorbets", 10, "Gelatos de Leite com Fruta", 13, "Chocolate base água", 16, "Vegano", 19, "Alcoólicos", 22, "Zero", 25, "Gelatos Proteicos", 28, 7), 8)) + (ROUND(P223,4) &gt; INDEX('Tabela de ingredientes'!$O$1:$V$30, SWITCH(B223, "Gelatos de Leite", 8, "Sorbets", 11, "Gelatos de Leite com Fruta", 14, "Chocolate base água", 17, "Vegano", 20, "Alcoólicos", 23, "Zero", 26, "Gelatos Proteicos", 29, 8), 8)) + IF(B223="Gelatos Proteicos", (ROUND(Q223,4)&lt;'Tabela de ingredientes'!$W$28)+(ROUND(Q223,4)&gt;'Tabela de ingredientes'!$W$29), 0) = 0, "Ok", "Revisar"))</f>
        <v/>
      </c>
    </row>
    <row r="224">
      <c r="A224" s="264"/>
      <c r="B224" s="264" t="s">
        <v>187</v>
      </c>
      <c r="C224" s="264" t="s">
        <v>187</v>
      </c>
      <c r="D224" s="264" t="s">
        <v>187</v>
      </c>
      <c r="E224" s="264" t="s">
        <v>187</v>
      </c>
      <c r="F224" s="264" t="s">
        <v>187</v>
      </c>
      <c r="G224" s="264" t="s">
        <v>187</v>
      </c>
      <c r="H224" s="264" t="s">
        <v>187</v>
      </c>
      <c r="I224" s="264" t="s">
        <v>187</v>
      </c>
      <c r="J224" s="264" t="s">
        <v>187</v>
      </c>
      <c r="K224" s="264" t="s">
        <v>187</v>
      </c>
      <c r="L224" s="264" t="s">
        <v>187</v>
      </c>
      <c r="M224" s="264" t="s">
        <v>187</v>
      </c>
      <c r="N224" s="264" t="s">
        <v>187</v>
      </c>
      <c r="O224" s="264" t="s">
        <v>187</v>
      </c>
      <c r="P224" s="264" t="s">
        <v>187</v>
      </c>
      <c r="Q224" s="264" t="s">
        <v>187</v>
      </c>
      <c r="R224" s="264" t="s">
        <v>187</v>
      </c>
      <c r="S224" s="97" t="str">
        <f t="array" ref="S224">IF(A224="","", IF( (ROUND(I224,4) &lt; INDEX('Tabela de ingredientes'!$O$1:$V$30, SWITCH(B224, "Gelatos de Leite", 7, "Sorbets", 10, "Gelatos de Leite com Fruta", 13, "Chocolate base água", 16, "Vegano", 19, "Alcoólicos", 22, "Zero", 25, "Gelatos Proteicos", 28, 7), 1)) + (ROUND(I224,4) &gt; INDEX('Tabela de ingredientes'!$O$1:$V$30, SWITCH(B224, "Gelatos de Leite", 8, "Sorbets", 11, "Gelatos de Leite com Fruta", 14, "Chocolate base água", 17, "Vegano", 20, "Alcoólicos", 23, "Zero", 26, "Gelatos Proteicos", 29, 8), 1)) + (ROUND(J224,4) &lt; INDEX('Tabela de ingredientes'!$O$1:$V$30, SWITCH(B224, "Gelatos de Leite", 7, "Sorbets", 10, "Gelatos de Leite com Fruta", 13, "Chocolate base água", 16, "Vegano", 19, "Alcoólicos", 22, "Zero", 25, "Gelatos Proteicos", 28, 7), 2)) + (ROUND(J224,4) &gt; INDEX('Tabela de ingredientes'!$O$1:$V$30, SWITCH(B224, "Gelatos de Leite", 8, "Sorbets", 11, "Gelatos de Leite com Fruta", 14, "Chocolate base água", 17, "Vegano", 20, "Alcoólicos", 23, "Zero", 26, "Gelatos Proteicos", 29, 8), 2)) + (ROUND(K224,4) &lt; INDEX('Tabela de ingredientes'!$O$1:$V$30, SWITCH(B224, "Gelatos de Leite", 7, "Sorbets", 10, "Gelatos de Leite com Fruta", 13, "Chocolate base água", 16, "Vegano", 19, "Alcoólicos", 22, "Zero", 25, "Gelatos Proteicos", 28, 7), 3)) + (ROUND(K224,4) &gt; INDEX('Tabela de ingredientes'!$O$1:$V$30, SWITCH(B224, "Gelatos de Leite", 8, "Sorbets", 11, "Gelatos de Leite com Fruta", 14, "Chocolate base água", 17, "Vegano", 20, "Alcoólicos", 23, "Zero", 26, "Gelatos Proteicos", 29, 8), 3)) + (ROUND(L224,4) &lt; INDEX('Tabela de ingredientes'!$O$1:$V$30, SWITCH(B224, "Gelatos de Leite", 7, "Sorbets", 10, "Gelatos de Leite com Fruta", 13, "Chocolate base água", 16, "Vegano", 19, "Alcoólicos", 22, "Zero", 25, "Gelatos Proteicos", 28, 7), 4)) + (ROUND(L224,4) &gt; INDEX('Tabela de ingredientes'!$O$1:$V$30, SWITCH(B224, "Gelatos de Leite", 8, "Sorbets", 11, "Gelatos de Leite com Fruta", 14, "Chocolate base água", 17, "Vegano", 20, "Alcoólicos", 23, "Zero", 26, "Gelatos Proteicos", 29, 8), 4)) + (ROUND(M224,4) &lt; INDEX('Tabela de ingredientes'!$O$1:$V$30, SWITCH(B224, "Gelatos de Leite", 7, "Sorbets", 10, "Gelatos de Leite com Fruta", 13, "Chocolate base água", 16, "Vegano", 19, "Alcoólicos", 22, "Zero", 25, "Gelatos Proteicos", 28, 7), 5)) + (ROUND(M224,4) &gt; INDEX('Tabela de ingredientes'!$O$1:$V$30, SWITCH(B224, "Gelatos de Leite", 8, "Sorbets", 11, "Gelatos de Leite com Fruta", 14, "Chocolate base água", 17, "Vegano", 20, "Alcoólicos", 23, "Zero", 26, "Gelatos Proteicos", 29, 8), 5)) + (ROUND(N224,4) &lt; INDEX('Tabela de ingredientes'!$O$1:$V$30, SWITCH(B224, "Gelatos de Leite", 7, "Sorbets", 10, "Gelatos de Leite com Fruta", 13, "Chocolate base água", 16, "Vegano", 19, "Alcoólicos", 22, "Zero", 25, "Gelatos Proteicos", 28, 7), 6)) + (ROUND(N224,4) &gt; INDEX('Tabela de ingredientes'!$O$1:$V$30, SWITCH(B224, "Gelatos de Leite", 8, "Sorbets", 11, "Gelatos de Leite com Fruta", 14, "Chocolate base água", 17, "Vegano", 20, "Alcoólicos", 23, "Zero", 26, "Gelatos Proteicos", 29, 8), 6)) + (ROUND(O224,4) &lt; INDEX('Tabela de ingredientes'!$O$1:$V$30, SWITCH(B224, "Gelatos de Leite", 7, "Sorbets", 10, "Gelatos de Leite com Fruta", 13, "Chocolate base água", 16, "Vegano", 19, "Alcoólicos", 22, "Zero", 25, "Gelatos Proteicos", 28, 7), 7)) + (ROUND(O224,4) &gt; INDEX('Tabela de ingredientes'!$O$1:$V$30, SWITCH(B224, "Gelatos de Leite", 8, "Sorbets", 11, "Gelatos de Leite com Fruta", 14, "Chocolate base água", 17, "Vegano", 20, "Alcoólicos", 23, "Zero", 26, "Gelatos Proteicos", 29, 8), 7)) + (ROUND(P224,4) &lt; INDEX('Tabela de ingredientes'!$O$1:$V$30, SWITCH(B224, "Gelatos de Leite", 7, "Sorbets", 10, "Gelatos de Leite com Fruta", 13, "Chocolate base água", 16, "Vegano", 19, "Alcoólicos", 22, "Zero", 25, "Gelatos Proteicos", 28, 7), 8)) + (ROUND(P224,4) &gt; INDEX('Tabela de ingredientes'!$O$1:$V$30, SWITCH(B224, "Gelatos de Leite", 8, "Sorbets", 11, "Gelatos de Leite com Fruta", 14, "Chocolate base água", 17, "Vegano", 20, "Alcoólicos", 23, "Zero", 26, "Gelatos Proteicos", 29, 8), 8)) + IF(B224="Gelatos Proteicos", (ROUND(Q224,4)&lt;'Tabela de ingredientes'!$W$28)+(ROUND(Q224,4)&gt;'Tabela de ingredientes'!$W$29), 0) = 0, "Ok", "Revisar"))</f>
        <v/>
      </c>
    </row>
    <row r="225">
      <c r="A225" s="264"/>
      <c r="B225" s="264" t="s">
        <v>187</v>
      </c>
      <c r="C225" s="264" t="s">
        <v>187</v>
      </c>
      <c r="D225" s="264" t="s">
        <v>187</v>
      </c>
      <c r="E225" s="264" t="s">
        <v>187</v>
      </c>
      <c r="F225" s="264" t="s">
        <v>187</v>
      </c>
      <c r="G225" s="264" t="s">
        <v>187</v>
      </c>
      <c r="H225" s="264" t="s">
        <v>187</v>
      </c>
      <c r="I225" s="264" t="s">
        <v>187</v>
      </c>
      <c r="J225" s="264" t="s">
        <v>187</v>
      </c>
      <c r="K225" s="264" t="s">
        <v>187</v>
      </c>
      <c r="L225" s="264" t="s">
        <v>187</v>
      </c>
      <c r="M225" s="264" t="s">
        <v>187</v>
      </c>
      <c r="N225" s="264" t="s">
        <v>187</v>
      </c>
      <c r="O225" s="264" t="s">
        <v>187</v>
      </c>
      <c r="P225" s="264" t="s">
        <v>187</v>
      </c>
      <c r="Q225" s="264" t="s">
        <v>187</v>
      </c>
      <c r="R225" s="264" t="s">
        <v>187</v>
      </c>
      <c r="S225" s="97" t="str">
        <f t="array" ref="S225">IF(A225="","", IF( (ROUND(I225,4) &lt; INDEX('Tabela de ingredientes'!$O$1:$V$30, SWITCH(B225, "Gelatos de Leite", 7, "Sorbets", 10, "Gelatos de Leite com Fruta", 13, "Chocolate base água", 16, "Vegano", 19, "Alcoólicos", 22, "Zero", 25, "Gelatos Proteicos", 28, 7), 1)) + (ROUND(I225,4) &gt; INDEX('Tabela de ingredientes'!$O$1:$V$30, SWITCH(B225, "Gelatos de Leite", 8, "Sorbets", 11, "Gelatos de Leite com Fruta", 14, "Chocolate base água", 17, "Vegano", 20, "Alcoólicos", 23, "Zero", 26, "Gelatos Proteicos", 29, 8), 1)) + (ROUND(J225,4) &lt; INDEX('Tabela de ingredientes'!$O$1:$V$30, SWITCH(B225, "Gelatos de Leite", 7, "Sorbets", 10, "Gelatos de Leite com Fruta", 13, "Chocolate base água", 16, "Vegano", 19, "Alcoólicos", 22, "Zero", 25, "Gelatos Proteicos", 28, 7), 2)) + (ROUND(J225,4) &gt; INDEX('Tabela de ingredientes'!$O$1:$V$30, SWITCH(B225, "Gelatos de Leite", 8, "Sorbets", 11, "Gelatos de Leite com Fruta", 14, "Chocolate base água", 17, "Vegano", 20, "Alcoólicos", 23, "Zero", 26, "Gelatos Proteicos", 29, 8), 2)) + (ROUND(K225,4) &lt; INDEX('Tabela de ingredientes'!$O$1:$V$30, SWITCH(B225, "Gelatos de Leite", 7, "Sorbets", 10, "Gelatos de Leite com Fruta", 13, "Chocolate base água", 16, "Vegano", 19, "Alcoólicos", 22, "Zero", 25, "Gelatos Proteicos", 28, 7), 3)) + (ROUND(K225,4) &gt; INDEX('Tabela de ingredientes'!$O$1:$V$30, SWITCH(B225, "Gelatos de Leite", 8, "Sorbets", 11, "Gelatos de Leite com Fruta", 14, "Chocolate base água", 17, "Vegano", 20, "Alcoólicos", 23, "Zero", 26, "Gelatos Proteicos", 29, 8), 3)) + (ROUND(L225,4) &lt; INDEX('Tabela de ingredientes'!$O$1:$V$30, SWITCH(B225, "Gelatos de Leite", 7, "Sorbets", 10, "Gelatos de Leite com Fruta", 13, "Chocolate base água", 16, "Vegano", 19, "Alcoólicos", 22, "Zero", 25, "Gelatos Proteicos", 28, 7), 4)) + (ROUND(L225,4) &gt; INDEX('Tabela de ingredientes'!$O$1:$V$30, SWITCH(B225, "Gelatos de Leite", 8, "Sorbets", 11, "Gelatos de Leite com Fruta", 14, "Chocolate base água", 17, "Vegano", 20, "Alcoólicos", 23, "Zero", 26, "Gelatos Proteicos", 29, 8), 4)) + (ROUND(M225,4) &lt; INDEX('Tabela de ingredientes'!$O$1:$V$30, SWITCH(B225, "Gelatos de Leite", 7, "Sorbets", 10, "Gelatos de Leite com Fruta", 13, "Chocolate base água", 16, "Vegano", 19, "Alcoólicos", 22, "Zero", 25, "Gelatos Proteicos", 28, 7), 5)) + (ROUND(M225,4) &gt; INDEX('Tabela de ingredientes'!$O$1:$V$30, SWITCH(B225, "Gelatos de Leite", 8, "Sorbets", 11, "Gelatos de Leite com Fruta", 14, "Chocolate base água", 17, "Vegano", 20, "Alcoólicos", 23, "Zero", 26, "Gelatos Proteicos", 29, 8), 5)) + (ROUND(N225,4) &lt; INDEX('Tabela de ingredientes'!$O$1:$V$30, SWITCH(B225, "Gelatos de Leite", 7, "Sorbets", 10, "Gelatos de Leite com Fruta", 13, "Chocolate base água", 16, "Vegano", 19, "Alcoólicos", 22, "Zero", 25, "Gelatos Proteicos", 28, 7), 6)) + (ROUND(N225,4) &gt; INDEX('Tabela de ingredientes'!$O$1:$V$30, SWITCH(B225, "Gelatos de Leite", 8, "Sorbets", 11, "Gelatos de Leite com Fruta", 14, "Chocolate base água", 17, "Vegano", 20, "Alcoólicos", 23, "Zero", 26, "Gelatos Proteicos", 29, 8), 6)) + (ROUND(O225,4) &lt; INDEX('Tabela de ingredientes'!$O$1:$V$30, SWITCH(B225, "Gelatos de Leite", 7, "Sorbets", 10, "Gelatos de Leite com Fruta", 13, "Chocolate base água", 16, "Vegano", 19, "Alcoólicos", 22, "Zero", 25, "Gelatos Proteicos", 28, 7), 7)) + (ROUND(O225,4) &gt; INDEX('Tabela de ingredientes'!$O$1:$V$30, SWITCH(B225, "Gelatos de Leite", 8, "Sorbets", 11, "Gelatos de Leite com Fruta", 14, "Chocolate base água", 17, "Vegano", 20, "Alcoólicos", 23, "Zero", 26, "Gelatos Proteicos", 29, 8), 7)) + (ROUND(P225,4) &lt; INDEX('Tabela de ingredientes'!$O$1:$V$30, SWITCH(B225, "Gelatos de Leite", 7, "Sorbets", 10, "Gelatos de Leite com Fruta", 13, "Chocolate base água", 16, "Vegano", 19, "Alcoólicos", 22, "Zero", 25, "Gelatos Proteicos", 28, 7), 8)) + (ROUND(P225,4) &gt; INDEX('Tabela de ingredientes'!$O$1:$V$30, SWITCH(B225, "Gelatos de Leite", 8, "Sorbets", 11, "Gelatos de Leite com Fruta", 14, "Chocolate base água", 17, "Vegano", 20, "Alcoólicos", 23, "Zero", 26, "Gelatos Proteicos", 29, 8), 8)) + IF(B225="Gelatos Proteicos", (ROUND(Q225,4)&lt;'Tabela de ingredientes'!$W$28)+(ROUND(Q225,4)&gt;'Tabela de ingredientes'!$W$29), 0) = 0, "Ok", "Revisar"))</f>
        <v/>
      </c>
    </row>
    <row r="226">
      <c r="A226" s="264"/>
      <c r="B226" s="264" t="s">
        <v>187</v>
      </c>
      <c r="C226" s="264" t="s">
        <v>187</v>
      </c>
      <c r="D226" s="264" t="s">
        <v>187</v>
      </c>
      <c r="E226" s="264" t="s">
        <v>187</v>
      </c>
      <c r="F226" s="264" t="s">
        <v>187</v>
      </c>
      <c r="G226" s="264" t="s">
        <v>187</v>
      </c>
      <c r="H226" s="264" t="s">
        <v>187</v>
      </c>
      <c r="I226" s="264" t="s">
        <v>187</v>
      </c>
      <c r="J226" s="264" t="s">
        <v>187</v>
      </c>
      <c r="K226" s="264" t="s">
        <v>187</v>
      </c>
      <c r="L226" s="264" t="s">
        <v>187</v>
      </c>
      <c r="M226" s="264" t="s">
        <v>187</v>
      </c>
      <c r="N226" s="264" t="s">
        <v>187</v>
      </c>
      <c r="O226" s="264" t="s">
        <v>187</v>
      </c>
      <c r="P226" s="264" t="s">
        <v>187</v>
      </c>
      <c r="Q226" s="264" t="s">
        <v>187</v>
      </c>
      <c r="R226" s="264" t="s">
        <v>187</v>
      </c>
      <c r="S226" s="97" t="str">
        <f t="array" ref="S226">IF(A226="","", IF( (ROUND(I226,4) &lt; INDEX('Tabela de ingredientes'!$O$1:$V$30, SWITCH(B226, "Gelatos de Leite", 7, "Sorbets", 10, "Gelatos de Leite com Fruta", 13, "Chocolate base água", 16, "Vegano", 19, "Alcoólicos", 22, "Zero", 25, "Gelatos Proteicos", 28, 7), 1)) + (ROUND(I226,4) &gt; INDEX('Tabela de ingredientes'!$O$1:$V$30, SWITCH(B226, "Gelatos de Leite", 8, "Sorbets", 11, "Gelatos de Leite com Fruta", 14, "Chocolate base água", 17, "Vegano", 20, "Alcoólicos", 23, "Zero", 26, "Gelatos Proteicos", 29, 8), 1)) + (ROUND(J226,4) &lt; INDEX('Tabela de ingredientes'!$O$1:$V$30, SWITCH(B226, "Gelatos de Leite", 7, "Sorbets", 10, "Gelatos de Leite com Fruta", 13, "Chocolate base água", 16, "Vegano", 19, "Alcoólicos", 22, "Zero", 25, "Gelatos Proteicos", 28, 7), 2)) + (ROUND(J226,4) &gt; INDEX('Tabela de ingredientes'!$O$1:$V$30, SWITCH(B226, "Gelatos de Leite", 8, "Sorbets", 11, "Gelatos de Leite com Fruta", 14, "Chocolate base água", 17, "Vegano", 20, "Alcoólicos", 23, "Zero", 26, "Gelatos Proteicos", 29, 8), 2)) + (ROUND(K226,4) &lt; INDEX('Tabela de ingredientes'!$O$1:$V$30, SWITCH(B226, "Gelatos de Leite", 7, "Sorbets", 10, "Gelatos de Leite com Fruta", 13, "Chocolate base água", 16, "Vegano", 19, "Alcoólicos", 22, "Zero", 25, "Gelatos Proteicos", 28, 7), 3)) + (ROUND(K226,4) &gt; INDEX('Tabela de ingredientes'!$O$1:$V$30, SWITCH(B226, "Gelatos de Leite", 8, "Sorbets", 11, "Gelatos de Leite com Fruta", 14, "Chocolate base água", 17, "Vegano", 20, "Alcoólicos", 23, "Zero", 26, "Gelatos Proteicos", 29, 8), 3)) + (ROUND(L226,4) &lt; INDEX('Tabela de ingredientes'!$O$1:$V$30, SWITCH(B226, "Gelatos de Leite", 7, "Sorbets", 10, "Gelatos de Leite com Fruta", 13, "Chocolate base água", 16, "Vegano", 19, "Alcoólicos", 22, "Zero", 25, "Gelatos Proteicos", 28, 7), 4)) + (ROUND(L226,4) &gt; INDEX('Tabela de ingredientes'!$O$1:$V$30, SWITCH(B226, "Gelatos de Leite", 8, "Sorbets", 11, "Gelatos de Leite com Fruta", 14, "Chocolate base água", 17, "Vegano", 20, "Alcoólicos", 23, "Zero", 26, "Gelatos Proteicos", 29, 8), 4)) + (ROUND(M226,4) &lt; INDEX('Tabela de ingredientes'!$O$1:$V$30, SWITCH(B226, "Gelatos de Leite", 7, "Sorbets", 10, "Gelatos de Leite com Fruta", 13, "Chocolate base água", 16, "Vegano", 19, "Alcoólicos", 22, "Zero", 25, "Gelatos Proteicos", 28, 7), 5)) + (ROUND(M226,4) &gt; INDEX('Tabela de ingredientes'!$O$1:$V$30, SWITCH(B226, "Gelatos de Leite", 8, "Sorbets", 11, "Gelatos de Leite com Fruta", 14, "Chocolate base água", 17, "Vegano", 20, "Alcoólicos", 23, "Zero", 26, "Gelatos Proteicos", 29, 8), 5)) + (ROUND(N226,4) &lt; INDEX('Tabela de ingredientes'!$O$1:$V$30, SWITCH(B226, "Gelatos de Leite", 7, "Sorbets", 10, "Gelatos de Leite com Fruta", 13, "Chocolate base água", 16, "Vegano", 19, "Alcoólicos", 22, "Zero", 25, "Gelatos Proteicos", 28, 7), 6)) + (ROUND(N226,4) &gt; INDEX('Tabela de ingredientes'!$O$1:$V$30, SWITCH(B226, "Gelatos de Leite", 8, "Sorbets", 11, "Gelatos de Leite com Fruta", 14, "Chocolate base água", 17, "Vegano", 20, "Alcoólicos", 23, "Zero", 26, "Gelatos Proteicos", 29, 8), 6)) + (ROUND(O226,4) &lt; INDEX('Tabela de ingredientes'!$O$1:$V$30, SWITCH(B226, "Gelatos de Leite", 7, "Sorbets", 10, "Gelatos de Leite com Fruta", 13, "Chocolate base água", 16, "Vegano", 19, "Alcoólicos", 22, "Zero", 25, "Gelatos Proteicos", 28, 7), 7)) + (ROUND(O226,4) &gt; INDEX('Tabela de ingredientes'!$O$1:$V$30, SWITCH(B226, "Gelatos de Leite", 8, "Sorbets", 11, "Gelatos de Leite com Fruta", 14, "Chocolate base água", 17, "Vegano", 20, "Alcoólicos", 23, "Zero", 26, "Gelatos Proteicos", 29, 8), 7)) + (ROUND(P226,4) &lt; INDEX('Tabela de ingredientes'!$O$1:$V$30, SWITCH(B226, "Gelatos de Leite", 7, "Sorbets", 10, "Gelatos de Leite com Fruta", 13, "Chocolate base água", 16, "Vegano", 19, "Alcoólicos", 22, "Zero", 25, "Gelatos Proteicos", 28, 7), 8)) + (ROUND(P226,4) &gt; INDEX('Tabela de ingredientes'!$O$1:$V$30, SWITCH(B226, "Gelatos de Leite", 8, "Sorbets", 11, "Gelatos de Leite com Fruta", 14, "Chocolate base água", 17, "Vegano", 20, "Alcoólicos", 23, "Zero", 26, "Gelatos Proteicos", 29, 8), 8)) + IF(B226="Gelatos Proteicos", (ROUND(Q226,4)&lt;'Tabela de ingredientes'!$W$28)+(ROUND(Q226,4)&gt;'Tabela de ingredientes'!$W$29), 0) = 0, "Ok", "Revisar"))</f>
        <v/>
      </c>
    </row>
    <row r="227">
      <c r="A227" s="264"/>
      <c r="B227" s="264" t="s">
        <v>187</v>
      </c>
      <c r="C227" s="264" t="s">
        <v>187</v>
      </c>
      <c r="D227" s="264" t="s">
        <v>187</v>
      </c>
      <c r="E227" s="264" t="s">
        <v>187</v>
      </c>
      <c r="F227" s="264" t="s">
        <v>187</v>
      </c>
      <c r="G227" s="264" t="s">
        <v>187</v>
      </c>
      <c r="H227" s="264" t="s">
        <v>187</v>
      </c>
      <c r="I227" s="264" t="s">
        <v>187</v>
      </c>
      <c r="J227" s="264" t="s">
        <v>187</v>
      </c>
      <c r="K227" s="264" t="s">
        <v>187</v>
      </c>
      <c r="L227" s="264" t="s">
        <v>187</v>
      </c>
      <c r="M227" s="264" t="s">
        <v>187</v>
      </c>
      <c r="N227" s="264" t="s">
        <v>187</v>
      </c>
      <c r="O227" s="264" t="s">
        <v>187</v>
      </c>
      <c r="P227" s="264" t="s">
        <v>187</v>
      </c>
      <c r="Q227" s="264" t="s">
        <v>187</v>
      </c>
      <c r="R227" s="264" t="s">
        <v>187</v>
      </c>
      <c r="S227" s="97" t="str">
        <f t="array" ref="S227">IF(A227="","", IF( (ROUND(I227,4) &lt; INDEX('Tabela de ingredientes'!$O$1:$V$30, SWITCH(B227, "Gelatos de Leite", 7, "Sorbets", 10, "Gelatos de Leite com Fruta", 13, "Chocolate base água", 16, "Vegano", 19, "Alcoólicos", 22, "Zero", 25, "Gelatos Proteicos", 28, 7), 1)) + (ROUND(I227,4) &gt; INDEX('Tabela de ingredientes'!$O$1:$V$30, SWITCH(B227, "Gelatos de Leite", 8, "Sorbets", 11, "Gelatos de Leite com Fruta", 14, "Chocolate base água", 17, "Vegano", 20, "Alcoólicos", 23, "Zero", 26, "Gelatos Proteicos", 29, 8), 1)) + (ROUND(J227,4) &lt; INDEX('Tabela de ingredientes'!$O$1:$V$30, SWITCH(B227, "Gelatos de Leite", 7, "Sorbets", 10, "Gelatos de Leite com Fruta", 13, "Chocolate base água", 16, "Vegano", 19, "Alcoólicos", 22, "Zero", 25, "Gelatos Proteicos", 28, 7), 2)) + (ROUND(J227,4) &gt; INDEX('Tabela de ingredientes'!$O$1:$V$30, SWITCH(B227, "Gelatos de Leite", 8, "Sorbets", 11, "Gelatos de Leite com Fruta", 14, "Chocolate base água", 17, "Vegano", 20, "Alcoólicos", 23, "Zero", 26, "Gelatos Proteicos", 29, 8), 2)) + (ROUND(K227,4) &lt; INDEX('Tabela de ingredientes'!$O$1:$V$30, SWITCH(B227, "Gelatos de Leite", 7, "Sorbets", 10, "Gelatos de Leite com Fruta", 13, "Chocolate base água", 16, "Vegano", 19, "Alcoólicos", 22, "Zero", 25, "Gelatos Proteicos", 28, 7), 3)) + (ROUND(K227,4) &gt; INDEX('Tabela de ingredientes'!$O$1:$V$30, SWITCH(B227, "Gelatos de Leite", 8, "Sorbets", 11, "Gelatos de Leite com Fruta", 14, "Chocolate base água", 17, "Vegano", 20, "Alcoólicos", 23, "Zero", 26, "Gelatos Proteicos", 29, 8), 3)) + (ROUND(L227,4) &lt; INDEX('Tabela de ingredientes'!$O$1:$V$30, SWITCH(B227, "Gelatos de Leite", 7, "Sorbets", 10, "Gelatos de Leite com Fruta", 13, "Chocolate base água", 16, "Vegano", 19, "Alcoólicos", 22, "Zero", 25, "Gelatos Proteicos", 28, 7), 4)) + (ROUND(L227,4) &gt; INDEX('Tabela de ingredientes'!$O$1:$V$30, SWITCH(B227, "Gelatos de Leite", 8, "Sorbets", 11, "Gelatos de Leite com Fruta", 14, "Chocolate base água", 17, "Vegano", 20, "Alcoólicos", 23, "Zero", 26, "Gelatos Proteicos", 29, 8), 4)) + (ROUND(M227,4) &lt; INDEX('Tabela de ingredientes'!$O$1:$V$30, SWITCH(B227, "Gelatos de Leite", 7, "Sorbets", 10, "Gelatos de Leite com Fruta", 13, "Chocolate base água", 16, "Vegano", 19, "Alcoólicos", 22, "Zero", 25, "Gelatos Proteicos", 28, 7), 5)) + (ROUND(M227,4) &gt; INDEX('Tabela de ingredientes'!$O$1:$V$30, SWITCH(B227, "Gelatos de Leite", 8, "Sorbets", 11, "Gelatos de Leite com Fruta", 14, "Chocolate base água", 17, "Vegano", 20, "Alcoólicos", 23, "Zero", 26, "Gelatos Proteicos", 29, 8), 5)) + (ROUND(N227,4) &lt; INDEX('Tabela de ingredientes'!$O$1:$V$30, SWITCH(B227, "Gelatos de Leite", 7, "Sorbets", 10, "Gelatos de Leite com Fruta", 13, "Chocolate base água", 16, "Vegano", 19, "Alcoólicos", 22, "Zero", 25, "Gelatos Proteicos", 28, 7), 6)) + (ROUND(N227,4) &gt; INDEX('Tabela de ingredientes'!$O$1:$V$30, SWITCH(B227, "Gelatos de Leite", 8, "Sorbets", 11, "Gelatos de Leite com Fruta", 14, "Chocolate base água", 17, "Vegano", 20, "Alcoólicos", 23, "Zero", 26, "Gelatos Proteicos", 29, 8), 6)) + (ROUND(O227,4) &lt; INDEX('Tabela de ingredientes'!$O$1:$V$30, SWITCH(B227, "Gelatos de Leite", 7, "Sorbets", 10, "Gelatos de Leite com Fruta", 13, "Chocolate base água", 16, "Vegano", 19, "Alcoólicos", 22, "Zero", 25, "Gelatos Proteicos", 28, 7), 7)) + (ROUND(O227,4) &gt; INDEX('Tabela de ingredientes'!$O$1:$V$30, SWITCH(B227, "Gelatos de Leite", 8, "Sorbets", 11, "Gelatos de Leite com Fruta", 14, "Chocolate base água", 17, "Vegano", 20, "Alcoólicos", 23, "Zero", 26, "Gelatos Proteicos", 29, 8), 7)) + (ROUND(P227,4) &lt; INDEX('Tabela de ingredientes'!$O$1:$V$30, SWITCH(B227, "Gelatos de Leite", 7, "Sorbets", 10, "Gelatos de Leite com Fruta", 13, "Chocolate base água", 16, "Vegano", 19, "Alcoólicos", 22, "Zero", 25, "Gelatos Proteicos", 28, 7), 8)) + (ROUND(P227,4) &gt; INDEX('Tabela de ingredientes'!$O$1:$V$30, SWITCH(B227, "Gelatos de Leite", 8, "Sorbets", 11, "Gelatos de Leite com Fruta", 14, "Chocolate base água", 17, "Vegano", 20, "Alcoólicos", 23, "Zero", 26, "Gelatos Proteicos", 29, 8), 8)) + IF(B227="Gelatos Proteicos", (ROUND(Q227,4)&lt;'Tabela de ingredientes'!$W$28)+(ROUND(Q227,4)&gt;'Tabela de ingredientes'!$W$29), 0) = 0, "Ok", "Revisar"))</f>
        <v/>
      </c>
    </row>
    <row r="228">
      <c r="A228" s="264"/>
      <c r="B228" s="264" t="s">
        <v>187</v>
      </c>
      <c r="C228" s="264" t="s">
        <v>187</v>
      </c>
      <c r="D228" s="264" t="s">
        <v>187</v>
      </c>
      <c r="E228" s="264" t="s">
        <v>187</v>
      </c>
      <c r="F228" s="264" t="s">
        <v>187</v>
      </c>
      <c r="G228" s="264" t="s">
        <v>187</v>
      </c>
      <c r="H228" s="264" t="s">
        <v>187</v>
      </c>
      <c r="I228" s="264" t="s">
        <v>187</v>
      </c>
      <c r="J228" s="264" t="s">
        <v>187</v>
      </c>
      <c r="K228" s="264" t="s">
        <v>187</v>
      </c>
      <c r="L228" s="264" t="s">
        <v>187</v>
      </c>
      <c r="M228" s="264" t="s">
        <v>187</v>
      </c>
      <c r="N228" s="264" t="s">
        <v>187</v>
      </c>
      <c r="O228" s="264" t="s">
        <v>187</v>
      </c>
      <c r="P228" s="264" t="s">
        <v>187</v>
      </c>
      <c r="Q228" s="264" t="s">
        <v>187</v>
      </c>
      <c r="R228" s="264" t="s">
        <v>187</v>
      </c>
      <c r="S228" s="97" t="str">
        <f t="array" ref="S228">IF(A228="","", IF( (ROUND(I228,4) &lt; INDEX('Tabela de ingredientes'!$O$1:$V$30, SWITCH(B228, "Gelatos de Leite", 7, "Sorbets", 10, "Gelatos de Leite com Fruta", 13, "Chocolate base água", 16, "Vegano", 19, "Alcoólicos", 22, "Zero", 25, "Gelatos Proteicos", 28, 7), 1)) + (ROUND(I228,4) &gt; INDEX('Tabela de ingredientes'!$O$1:$V$30, SWITCH(B228, "Gelatos de Leite", 8, "Sorbets", 11, "Gelatos de Leite com Fruta", 14, "Chocolate base água", 17, "Vegano", 20, "Alcoólicos", 23, "Zero", 26, "Gelatos Proteicos", 29, 8), 1)) + (ROUND(J228,4) &lt; INDEX('Tabela de ingredientes'!$O$1:$V$30, SWITCH(B228, "Gelatos de Leite", 7, "Sorbets", 10, "Gelatos de Leite com Fruta", 13, "Chocolate base água", 16, "Vegano", 19, "Alcoólicos", 22, "Zero", 25, "Gelatos Proteicos", 28, 7), 2)) + (ROUND(J228,4) &gt; INDEX('Tabela de ingredientes'!$O$1:$V$30, SWITCH(B228, "Gelatos de Leite", 8, "Sorbets", 11, "Gelatos de Leite com Fruta", 14, "Chocolate base água", 17, "Vegano", 20, "Alcoólicos", 23, "Zero", 26, "Gelatos Proteicos", 29, 8), 2)) + (ROUND(K228,4) &lt; INDEX('Tabela de ingredientes'!$O$1:$V$30, SWITCH(B228, "Gelatos de Leite", 7, "Sorbets", 10, "Gelatos de Leite com Fruta", 13, "Chocolate base água", 16, "Vegano", 19, "Alcoólicos", 22, "Zero", 25, "Gelatos Proteicos", 28, 7), 3)) + (ROUND(K228,4) &gt; INDEX('Tabela de ingredientes'!$O$1:$V$30, SWITCH(B228, "Gelatos de Leite", 8, "Sorbets", 11, "Gelatos de Leite com Fruta", 14, "Chocolate base água", 17, "Vegano", 20, "Alcoólicos", 23, "Zero", 26, "Gelatos Proteicos", 29, 8), 3)) + (ROUND(L228,4) &lt; INDEX('Tabela de ingredientes'!$O$1:$V$30, SWITCH(B228, "Gelatos de Leite", 7, "Sorbets", 10, "Gelatos de Leite com Fruta", 13, "Chocolate base água", 16, "Vegano", 19, "Alcoólicos", 22, "Zero", 25, "Gelatos Proteicos", 28, 7), 4)) + (ROUND(L228,4) &gt; INDEX('Tabela de ingredientes'!$O$1:$V$30, SWITCH(B228, "Gelatos de Leite", 8, "Sorbets", 11, "Gelatos de Leite com Fruta", 14, "Chocolate base água", 17, "Vegano", 20, "Alcoólicos", 23, "Zero", 26, "Gelatos Proteicos", 29, 8), 4)) + (ROUND(M228,4) &lt; INDEX('Tabela de ingredientes'!$O$1:$V$30, SWITCH(B228, "Gelatos de Leite", 7, "Sorbets", 10, "Gelatos de Leite com Fruta", 13, "Chocolate base água", 16, "Vegano", 19, "Alcoólicos", 22, "Zero", 25, "Gelatos Proteicos", 28, 7), 5)) + (ROUND(M228,4) &gt; INDEX('Tabela de ingredientes'!$O$1:$V$30, SWITCH(B228, "Gelatos de Leite", 8, "Sorbets", 11, "Gelatos de Leite com Fruta", 14, "Chocolate base água", 17, "Vegano", 20, "Alcoólicos", 23, "Zero", 26, "Gelatos Proteicos", 29, 8), 5)) + (ROUND(N228,4) &lt; INDEX('Tabela de ingredientes'!$O$1:$V$30, SWITCH(B228, "Gelatos de Leite", 7, "Sorbets", 10, "Gelatos de Leite com Fruta", 13, "Chocolate base água", 16, "Vegano", 19, "Alcoólicos", 22, "Zero", 25, "Gelatos Proteicos", 28, 7), 6)) + (ROUND(N228,4) &gt; INDEX('Tabela de ingredientes'!$O$1:$V$30, SWITCH(B228, "Gelatos de Leite", 8, "Sorbets", 11, "Gelatos de Leite com Fruta", 14, "Chocolate base água", 17, "Vegano", 20, "Alcoólicos", 23, "Zero", 26, "Gelatos Proteicos", 29, 8), 6)) + (ROUND(O228,4) &lt; INDEX('Tabela de ingredientes'!$O$1:$V$30, SWITCH(B228, "Gelatos de Leite", 7, "Sorbets", 10, "Gelatos de Leite com Fruta", 13, "Chocolate base água", 16, "Vegano", 19, "Alcoólicos", 22, "Zero", 25, "Gelatos Proteicos", 28, 7), 7)) + (ROUND(O228,4) &gt; INDEX('Tabela de ingredientes'!$O$1:$V$30, SWITCH(B228, "Gelatos de Leite", 8, "Sorbets", 11, "Gelatos de Leite com Fruta", 14, "Chocolate base água", 17, "Vegano", 20, "Alcoólicos", 23, "Zero", 26, "Gelatos Proteicos", 29, 8), 7)) + (ROUND(P228,4) &lt; INDEX('Tabela de ingredientes'!$O$1:$V$30, SWITCH(B228, "Gelatos de Leite", 7, "Sorbets", 10, "Gelatos de Leite com Fruta", 13, "Chocolate base água", 16, "Vegano", 19, "Alcoólicos", 22, "Zero", 25, "Gelatos Proteicos", 28, 7), 8)) + (ROUND(P228,4) &gt; INDEX('Tabela de ingredientes'!$O$1:$V$30, SWITCH(B228, "Gelatos de Leite", 8, "Sorbets", 11, "Gelatos de Leite com Fruta", 14, "Chocolate base água", 17, "Vegano", 20, "Alcoólicos", 23, "Zero", 26, "Gelatos Proteicos", 29, 8), 8)) + IF(B228="Gelatos Proteicos", (ROUND(Q228,4)&lt;'Tabela de ingredientes'!$W$28)+(ROUND(Q228,4)&gt;'Tabela de ingredientes'!$W$29), 0) = 0, "Ok", "Revisar"))</f>
        <v/>
      </c>
    </row>
    <row r="229">
      <c r="A229" s="264"/>
      <c r="B229" s="264" t="s">
        <v>187</v>
      </c>
      <c r="C229" s="264" t="s">
        <v>187</v>
      </c>
      <c r="D229" s="264" t="s">
        <v>187</v>
      </c>
      <c r="E229" s="264" t="s">
        <v>187</v>
      </c>
      <c r="F229" s="264" t="s">
        <v>187</v>
      </c>
      <c r="G229" s="264" t="s">
        <v>187</v>
      </c>
      <c r="H229" s="264" t="s">
        <v>187</v>
      </c>
      <c r="I229" s="264" t="s">
        <v>187</v>
      </c>
      <c r="J229" s="264" t="s">
        <v>187</v>
      </c>
      <c r="K229" s="264" t="s">
        <v>187</v>
      </c>
      <c r="L229" s="264" t="s">
        <v>187</v>
      </c>
      <c r="M229" s="264" t="s">
        <v>187</v>
      </c>
      <c r="N229" s="264" t="s">
        <v>187</v>
      </c>
      <c r="O229" s="264" t="s">
        <v>187</v>
      </c>
      <c r="P229" s="264" t="s">
        <v>187</v>
      </c>
      <c r="Q229" s="264" t="s">
        <v>187</v>
      </c>
      <c r="R229" s="264" t="s">
        <v>187</v>
      </c>
      <c r="S229" s="97" t="str">
        <f t="array" ref="S229">IF(A229="","", IF( (ROUND(I229,4) &lt; INDEX('Tabela de ingredientes'!$O$1:$V$30, SWITCH(B229, "Gelatos de Leite", 7, "Sorbets", 10, "Gelatos de Leite com Fruta", 13, "Chocolate base água", 16, "Vegano", 19, "Alcoólicos", 22, "Zero", 25, "Gelatos Proteicos", 28, 7), 1)) + (ROUND(I229,4) &gt; INDEX('Tabela de ingredientes'!$O$1:$V$30, SWITCH(B229, "Gelatos de Leite", 8, "Sorbets", 11, "Gelatos de Leite com Fruta", 14, "Chocolate base água", 17, "Vegano", 20, "Alcoólicos", 23, "Zero", 26, "Gelatos Proteicos", 29, 8), 1)) + (ROUND(J229,4) &lt; INDEX('Tabela de ingredientes'!$O$1:$V$30, SWITCH(B229, "Gelatos de Leite", 7, "Sorbets", 10, "Gelatos de Leite com Fruta", 13, "Chocolate base água", 16, "Vegano", 19, "Alcoólicos", 22, "Zero", 25, "Gelatos Proteicos", 28, 7), 2)) + (ROUND(J229,4) &gt; INDEX('Tabela de ingredientes'!$O$1:$V$30, SWITCH(B229, "Gelatos de Leite", 8, "Sorbets", 11, "Gelatos de Leite com Fruta", 14, "Chocolate base água", 17, "Vegano", 20, "Alcoólicos", 23, "Zero", 26, "Gelatos Proteicos", 29, 8), 2)) + (ROUND(K229,4) &lt; INDEX('Tabela de ingredientes'!$O$1:$V$30, SWITCH(B229, "Gelatos de Leite", 7, "Sorbets", 10, "Gelatos de Leite com Fruta", 13, "Chocolate base água", 16, "Vegano", 19, "Alcoólicos", 22, "Zero", 25, "Gelatos Proteicos", 28, 7), 3)) + (ROUND(K229,4) &gt; INDEX('Tabela de ingredientes'!$O$1:$V$30, SWITCH(B229, "Gelatos de Leite", 8, "Sorbets", 11, "Gelatos de Leite com Fruta", 14, "Chocolate base água", 17, "Vegano", 20, "Alcoólicos", 23, "Zero", 26, "Gelatos Proteicos", 29, 8), 3)) + (ROUND(L229,4) &lt; INDEX('Tabela de ingredientes'!$O$1:$V$30, SWITCH(B229, "Gelatos de Leite", 7, "Sorbets", 10, "Gelatos de Leite com Fruta", 13, "Chocolate base água", 16, "Vegano", 19, "Alcoólicos", 22, "Zero", 25, "Gelatos Proteicos", 28, 7), 4)) + (ROUND(L229,4) &gt; INDEX('Tabela de ingredientes'!$O$1:$V$30, SWITCH(B229, "Gelatos de Leite", 8, "Sorbets", 11, "Gelatos de Leite com Fruta", 14, "Chocolate base água", 17, "Vegano", 20, "Alcoólicos", 23, "Zero", 26, "Gelatos Proteicos", 29, 8), 4)) + (ROUND(M229,4) &lt; INDEX('Tabela de ingredientes'!$O$1:$V$30, SWITCH(B229, "Gelatos de Leite", 7, "Sorbets", 10, "Gelatos de Leite com Fruta", 13, "Chocolate base água", 16, "Vegano", 19, "Alcoólicos", 22, "Zero", 25, "Gelatos Proteicos", 28, 7), 5)) + (ROUND(M229,4) &gt; INDEX('Tabela de ingredientes'!$O$1:$V$30, SWITCH(B229, "Gelatos de Leite", 8, "Sorbets", 11, "Gelatos de Leite com Fruta", 14, "Chocolate base água", 17, "Vegano", 20, "Alcoólicos", 23, "Zero", 26, "Gelatos Proteicos", 29, 8), 5)) + (ROUND(N229,4) &lt; INDEX('Tabela de ingredientes'!$O$1:$V$30, SWITCH(B229, "Gelatos de Leite", 7, "Sorbets", 10, "Gelatos de Leite com Fruta", 13, "Chocolate base água", 16, "Vegano", 19, "Alcoólicos", 22, "Zero", 25, "Gelatos Proteicos", 28, 7), 6)) + (ROUND(N229,4) &gt; INDEX('Tabela de ingredientes'!$O$1:$V$30, SWITCH(B229, "Gelatos de Leite", 8, "Sorbets", 11, "Gelatos de Leite com Fruta", 14, "Chocolate base água", 17, "Vegano", 20, "Alcoólicos", 23, "Zero", 26, "Gelatos Proteicos", 29, 8), 6)) + (ROUND(O229,4) &lt; INDEX('Tabela de ingredientes'!$O$1:$V$30, SWITCH(B229, "Gelatos de Leite", 7, "Sorbets", 10, "Gelatos de Leite com Fruta", 13, "Chocolate base água", 16, "Vegano", 19, "Alcoólicos", 22, "Zero", 25, "Gelatos Proteicos", 28, 7), 7)) + (ROUND(O229,4) &gt; INDEX('Tabela de ingredientes'!$O$1:$V$30, SWITCH(B229, "Gelatos de Leite", 8, "Sorbets", 11, "Gelatos de Leite com Fruta", 14, "Chocolate base água", 17, "Vegano", 20, "Alcoólicos", 23, "Zero", 26, "Gelatos Proteicos", 29, 8), 7)) + (ROUND(P229,4) &lt; INDEX('Tabela de ingredientes'!$O$1:$V$30, SWITCH(B229, "Gelatos de Leite", 7, "Sorbets", 10, "Gelatos de Leite com Fruta", 13, "Chocolate base água", 16, "Vegano", 19, "Alcoólicos", 22, "Zero", 25, "Gelatos Proteicos", 28, 7), 8)) + (ROUND(P229,4) &gt; INDEX('Tabela de ingredientes'!$O$1:$V$30, SWITCH(B229, "Gelatos de Leite", 8, "Sorbets", 11, "Gelatos de Leite com Fruta", 14, "Chocolate base água", 17, "Vegano", 20, "Alcoólicos", 23, "Zero", 26, "Gelatos Proteicos", 29, 8), 8)) + IF(B229="Gelatos Proteicos", (ROUND(Q229,4)&lt;'Tabela de ingredientes'!$W$28)+(ROUND(Q229,4)&gt;'Tabela de ingredientes'!$W$29), 0) = 0, "Ok", "Revisar"))</f>
        <v/>
      </c>
    </row>
    <row r="230">
      <c r="A230" s="264"/>
      <c r="B230" s="264" t="s">
        <v>187</v>
      </c>
      <c r="C230" s="264" t="s">
        <v>187</v>
      </c>
      <c r="D230" s="264" t="s">
        <v>187</v>
      </c>
      <c r="E230" s="264" t="s">
        <v>187</v>
      </c>
      <c r="F230" s="264" t="s">
        <v>187</v>
      </c>
      <c r="G230" s="264" t="s">
        <v>187</v>
      </c>
      <c r="H230" s="264" t="s">
        <v>187</v>
      </c>
      <c r="I230" s="264" t="s">
        <v>187</v>
      </c>
      <c r="J230" s="264" t="s">
        <v>187</v>
      </c>
      <c r="K230" s="264" t="s">
        <v>187</v>
      </c>
      <c r="L230" s="264" t="s">
        <v>187</v>
      </c>
      <c r="M230" s="264" t="s">
        <v>187</v>
      </c>
      <c r="N230" s="264" t="s">
        <v>187</v>
      </c>
      <c r="O230" s="264" t="s">
        <v>187</v>
      </c>
      <c r="P230" s="264" t="s">
        <v>187</v>
      </c>
      <c r="Q230" s="264" t="s">
        <v>187</v>
      </c>
      <c r="R230" s="264" t="s">
        <v>187</v>
      </c>
      <c r="S230" s="97" t="str">
        <f t="array" ref="S230">IF(A230="","", IF( (ROUND(I230,4) &lt; INDEX('Tabela de ingredientes'!$O$1:$V$30, SWITCH(B230, "Gelatos de Leite", 7, "Sorbets", 10, "Gelatos de Leite com Fruta", 13, "Chocolate base água", 16, "Vegano", 19, "Alcoólicos", 22, "Zero", 25, "Gelatos Proteicos", 28, 7), 1)) + (ROUND(I230,4) &gt; INDEX('Tabela de ingredientes'!$O$1:$V$30, SWITCH(B230, "Gelatos de Leite", 8, "Sorbets", 11, "Gelatos de Leite com Fruta", 14, "Chocolate base água", 17, "Vegano", 20, "Alcoólicos", 23, "Zero", 26, "Gelatos Proteicos", 29, 8), 1)) + (ROUND(J230,4) &lt; INDEX('Tabela de ingredientes'!$O$1:$V$30, SWITCH(B230, "Gelatos de Leite", 7, "Sorbets", 10, "Gelatos de Leite com Fruta", 13, "Chocolate base água", 16, "Vegano", 19, "Alcoólicos", 22, "Zero", 25, "Gelatos Proteicos", 28, 7), 2)) + (ROUND(J230,4) &gt; INDEX('Tabela de ingredientes'!$O$1:$V$30, SWITCH(B230, "Gelatos de Leite", 8, "Sorbets", 11, "Gelatos de Leite com Fruta", 14, "Chocolate base água", 17, "Vegano", 20, "Alcoólicos", 23, "Zero", 26, "Gelatos Proteicos", 29, 8), 2)) + (ROUND(K230,4) &lt; INDEX('Tabela de ingredientes'!$O$1:$V$30, SWITCH(B230, "Gelatos de Leite", 7, "Sorbets", 10, "Gelatos de Leite com Fruta", 13, "Chocolate base água", 16, "Vegano", 19, "Alcoólicos", 22, "Zero", 25, "Gelatos Proteicos", 28, 7), 3)) + (ROUND(K230,4) &gt; INDEX('Tabela de ingredientes'!$O$1:$V$30, SWITCH(B230, "Gelatos de Leite", 8, "Sorbets", 11, "Gelatos de Leite com Fruta", 14, "Chocolate base água", 17, "Vegano", 20, "Alcoólicos", 23, "Zero", 26, "Gelatos Proteicos", 29, 8), 3)) + (ROUND(L230,4) &lt; INDEX('Tabela de ingredientes'!$O$1:$V$30, SWITCH(B230, "Gelatos de Leite", 7, "Sorbets", 10, "Gelatos de Leite com Fruta", 13, "Chocolate base água", 16, "Vegano", 19, "Alcoólicos", 22, "Zero", 25, "Gelatos Proteicos", 28, 7), 4)) + (ROUND(L230,4) &gt; INDEX('Tabela de ingredientes'!$O$1:$V$30, SWITCH(B230, "Gelatos de Leite", 8, "Sorbets", 11, "Gelatos de Leite com Fruta", 14, "Chocolate base água", 17, "Vegano", 20, "Alcoólicos", 23, "Zero", 26, "Gelatos Proteicos", 29, 8), 4)) + (ROUND(M230,4) &lt; INDEX('Tabela de ingredientes'!$O$1:$V$30, SWITCH(B230, "Gelatos de Leite", 7, "Sorbets", 10, "Gelatos de Leite com Fruta", 13, "Chocolate base água", 16, "Vegano", 19, "Alcoólicos", 22, "Zero", 25, "Gelatos Proteicos", 28, 7), 5)) + (ROUND(M230,4) &gt; INDEX('Tabela de ingredientes'!$O$1:$V$30, SWITCH(B230, "Gelatos de Leite", 8, "Sorbets", 11, "Gelatos de Leite com Fruta", 14, "Chocolate base água", 17, "Vegano", 20, "Alcoólicos", 23, "Zero", 26, "Gelatos Proteicos", 29, 8), 5)) + (ROUND(N230,4) &lt; INDEX('Tabela de ingredientes'!$O$1:$V$30, SWITCH(B230, "Gelatos de Leite", 7, "Sorbets", 10, "Gelatos de Leite com Fruta", 13, "Chocolate base água", 16, "Vegano", 19, "Alcoólicos", 22, "Zero", 25, "Gelatos Proteicos", 28, 7), 6)) + (ROUND(N230,4) &gt; INDEX('Tabela de ingredientes'!$O$1:$V$30, SWITCH(B230, "Gelatos de Leite", 8, "Sorbets", 11, "Gelatos de Leite com Fruta", 14, "Chocolate base água", 17, "Vegano", 20, "Alcoólicos", 23, "Zero", 26, "Gelatos Proteicos", 29, 8), 6)) + (ROUND(O230,4) &lt; INDEX('Tabela de ingredientes'!$O$1:$V$30, SWITCH(B230, "Gelatos de Leite", 7, "Sorbets", 10, "Gelatos de Leite com Fruta", 13, "Chocolate base água", 16, "Vegano", 19, "Alcoólicos", 22, "Zero", 25, "Gelatos Proteicos", 28, 7), 7)) + (ROUND(O230,4) &gt; INDEX('Tabela de ingredientes'!$O$1:$V$30, SWITCH(B230, "Gelatos de Leite", 8, "Sorbets", 11, "Gelatos de Leite com Fruta", 14, "Chocolate base água", 17, "Vegano", 20, "Alcoólicos", 23, "Zero", 26, "Gelatos Proteicos", 29, 8), 7)) + (ROUND(P230,4) &lt; INDEX('Tabela de ingredientes'!$O$1:$V$30, SWITCH(B230, "Gelatos de Leite", 7, "Sorbets", 10, "Gelatos de Leite com Fruta", 13, "Chocolate base água", 16, "Vegano", 19, "Alcoólicos", 22, "Zero", 25, "Gelatos Proteicos", 28, 7), 8)) + (ROUND(P230,4) &gt; INDEX('Tabela de ingredientes'!$O$1:$V$30, SWITCH(B230, "Gelatos de Leite", 8, "Sorbets", 11, "Gelatos de Leite com Fruta", 14, "Chocolate base água", 17, "Vegano", 20, "Alcoólicos", 23, "Zero", 26, "Gelatos Proteicos", 29, 8), 8)) + IF(B230="Gelatos Proteicos", (ROUND(Q230,4)&lt;'Tabela de ingredientes'!$W$28)+(ROUND(Q230,4)&gt;'Tabela de ingredientes'!$W$29), 0) = 0, "Ok", "Revisar"))</f>
        <v/>
      </c>
    </row>
    <row r="231">
      <c r="A231" s="264"/>
      <c r="B231" s="264" t="s">
        <v>187</v>
      </c>
      <c r="C231" s="264" t="s">
        <v>187</v>
      </c>
      <c r="D231" s="264" t="s">
        <v>187</v>
      </c>
      <c r="E231" s="264" t="s">
        <v>187</v>
      </c>
      <c r="F231" s="264" t="s">
        <v>187</v>
      </c>
      <c r="G231" s="264" t="s">
        <v>187</v>
      </c>
      <c r="H231" s="264" t="s">
        <v>187</v>
      </c>
      <c r="I231" s="264" t="s">
        <v>187</v>
      </c>
      <c r="J231" s="264" t="s">
        <v>187</v>
      </c>
      <c r="K231" s="264" t="s">
        <v>187</v>
      </c>
      <c r="L231" s="264" t="s">
        <v>187</v>
      </c>
      <c r="M231" s="264" t="s">
        <v>187</v>
      </c>
      <c r="N231" s="264" t="s">
        <v>187</v>
      </c>
      <c r="O231" s="264" t="s">
        <v>187</v>
      </c>
      <c r="P231" s="264" t="s">
        <v>187</v>
      </c>
      <c r="Q231" s="264" t="s">
        <v>187</v>
      </c>
      <c r="R231" s="264" t="s">
        <v>187</v>
      </c>
      <c r="S231" s="97" t="str">
        <f t="array" ref="S231">IF(A231="","", IF( (ROUND(I231,4) &lt; INDEX('Tabela de ingredientes'!$O$1:$V$30, SWITCH(B231, "Gelatos de Leite", 7, "Sorbets", 10, "Gelatos de Leite com Fruta", 13, "Chocolate base água", 16, "Vegano", 19, "Alcoólicos", 22, "Zero", 25, "Gelatos Proteicos", 28, 7), 1)) + (ROUND(I231,4) &gt; INDEX('Tabela de ingredientes'!$O$1:$V$30, SWITCH(B231, "Gelatos de Leite", 8, "Sorbets", 11, "Gelatos de Leite com Fruta", 14, "Chocolate base água", 17, "Vegano", 20, "Alcoólicos", 23, "Zero", 26, "Gelatos Proteicos", 29, 8), 1)) + (ROUND(J231,4) &lt; INDEX('Tabela de ingredientes'!$O$1:$V$30, SWITCH(B231, "Gelatos de Leite", 7, "Sorbets", 10, "Gelatos de Leite com Fruta", 13, "Chocolate base água", 16, "Vegano", 19, "Alcoólicos", 22, "Zero", 25, "Gelatos Proteicos", 28, 7), 2)) + (ROUND(J231,4) &gt; INDEX('Tabela de ingredientes'!$O$1:$V$30, SWITCH(B231, "Gelatos de Leite", 8, "Sorbets", 11, "Gelatos de Leite com Fruta", 14, "Chocolate base água", 17, "Vegano", 20, "Alcoólicos", 23, "Zero", 26, "Gelatos Proteicos", 29, 8), 2)) + (ROUND(K231,4) &lt; INDEX('Tabela de ingredientes'!$O$1:$V$30, SWITCH(B231, "Gelatos de Leite", 7, "Sorbets", 10, "Gelatos de Leite com Fruta", 13, "Chocolate base água", 16, "Vegano", 19, "Alcoólicos", 22, "Zero", 25, "Gelatos Proteicos", 28, 7), 3)) + (ROUND(K231,4) &gt; INDEX('Tabela de ingredientes'!$O$1:$V$30, SWITCH(B231, "Gelatos de Leite", 8, "Sorbets", 11, "Gelatos de Leite com Fruta", 14, "Chocolate base água", 17, "Vegano", 20, "Alcoólicos", 23, "Zero", 26, "Gelatos Proteicos", 29, 8), 3)) + (ROUND(L231,4) &lt; INDEX('Tabela de ingredientes'!$O$1:$V$30, SWITCH(B231, "Gelatos de Leite", 7, "Sorbets", 10, "Gelatos de Leite com Fruta", 13, "Chocolate base água", 16, "Vegano", 19, "Alcoólicos", 22, "Zero", 25, "Gelatos Proteicos", 28, 7), 4)) + (ROUND(L231,4) &gt; INDEX('Tabela de ingredientes'!$O$1:$V$30, SWITCH(B231, "Gelatos de Leite", 8, "Sorbets", 11, "Gelatos de Leite com Fruta", 14, "Chocolate base água", 17, "Vegano", 20, "Alcoólicos", 23, "Zero", 26, "Gelatos Proteicos", 29, 8), 4)) + (ROUND(M231,4) &lt; INDEX('Tabela de ingredientes'!$O$1:$V$30, SWITCH(B231, "Gelatos de Leite", 7, "Sorbets", 10, "Gelatos de Leite com Fruta", 13, "Chocolate base água", 16, "Vegano", 19, "Alcoólicos", 22, "Zero", 25, "Gelatos Proteicos", 28, 7), 5)) + (ROUND(M231,4) &gt; INDEX('Tabela de ingredientes'!$O$1:$V$30, SWITCH(B231, "Gelatos de Leite", 8, "Sorbets", 11, "Gelatos de Leite com Fruta", 14, "Chocolate base água", 17, "Vegano", 20, "Alcoólicos", 23, "Zero", 26, "Gelatos Proteicos", 29, 8), 5)) + (ROUND(N231,4) &lt; INDEX('Tabela de ingredientes'!$O$1:$V$30, SWITCH(B231, "Gelatos de Leite", 7, "Sorbets", 10, "Gelatos de Leite com Fruta", 13, "Chocolate base água", 16, "Vegano", 19, "Alcoólicos", 22, "Zero", 25, "Gelatos Proteicos", 28, 7), 6)) + (ROUND(N231,4) &gt; INDEX('Tabela de ingredientes'!$O$1:$V$30, SWITCH(B231, "Gelatos de Leite", 8, "Sorbets", 11, "Gelatos de Leite com Fruta", 14, "Chocolate base água", 17, "Vegano", 20, "Alcoólicos", 23, "Zero", 26, "Gelatos Proteicos", 29, 8), 6)) + (ROUND(O231,4) &lt; INDEX('Tabela de ingredientes'!$O$1:$V$30, SWITCH(B231, "Gelatos de Leite", 7, "Sorbets", 10, "Gelatos de Leite com Fruta", 13, "Chocolate base água", 16, "Vegano", 19, "Alcoólicos", 22, "Zero", 25, "Gelatos Proteicos", 28, 7), 7)) + (ROUND(O231,4) &gt; INDEX('Tabela de ingredientes'!$O$1:$V$30, SWITCH(B231, "Gelatos de Leite", 8, "Sorbets", 11, "Gelatos de Leite com Fruta", 14, "Chocolate base água", 17, "Vegano", 20, "Alcoólicos", 23, "Zero", 26, "Gelatos Proteicos", 29, 8), 7)) + (ROUND(P231,4) &lt; INDEX('Tabela de ingredientes'!$O$1:$V$30, SWITCH(B231, "Gelatos de Leite", 7, "Sorbets", 10, "Gelatos de Leite com Fruta", 13, "Chocolate base água", 16, "Vegano", 19, "Alcoólicos", 22, "Zero", 25, "Gelatos Proteicos", 28, 7), 8)) + (ROUND(P231,4) &gt; INDEX('Tabela de ingredientes'!$O$1:$V$30, SWITCH(B231, "Gelatos de Leite", 8, "Sorbets", 11, "Gelatos de Leite com Fruta", 14, "Chocolate base água", 17, "Vegano", 20, "Alcoólicos", 23, "Zero", 26, "Gelatos Proteicos", 29, 8), 8)) + IF(B231="Gelatos Proteicos", (ROUND(Q231,4)&lt;'Tabela de ingredientes'!$W$28)+(ROUND(Q231,4)&gt;'Tabela de ingredientes'!$W$29), 0) = 0, "Ok", "Revisar"))</f>
        <v/>
      </c>
    </row>
    <row r="232">
      <c r="A232" s="264"/>
      <c r="B232" s="264" t="s">
        <v>187</v>
      </c>
      <c r="C232" s="264" t="s">
        <v>187</v>
      </c>
      <c r="D232" s="264" t="s">
        <v>187</v>
      </c>
      <c r="E232" s="264" t="s">
        <v>187</v>
      </c>
      <c r="F232" s="264" t="s">
        <v>187</v>
      </c>
      <c r="G232" s="264" t="s">
        <v>187</v>
      </c>
      <c r="H232" s="264" t="s">
        <v>187</v>
      </c>
      <c r="I232" s="264" t="s">
        <v>187</v>
      </c>
      <c r="J232" s="264" t="s">
        <v>187</v>
      </c>
      <c r="K232" s="264" t="s">
        <v>187</v>
      </c>
      <c r="L232" s="264" t="s">
        <v>187</v>
      </c>
      <c r="M232" s="264" t="s">
        <v>187</v>
      </c>
      <c r="N232" s="264" t="s">
        <v>187</v>
      </c>
      <c r="O232" s="264" t="s">
        <v>187</v>
      </c>
      <c r="P232" s="264" t="s">
        <v>187</v>
      </c>
      <c r="Q232" s="264" t="s">
        <v>187</v>
      </c>
      <c r="R232" s="264" t="s">
        <v>187</v>
      </c>
      <c r="S232" s="97" t="str">
        <f t="array" ref="S232">IF(A232="","", IF( (ROUND(I232,4) &lt; INDEX('Tabela de ingredientes'!$O$1:$V$30, SWITCH(B232, "Gelatos de Leite", 7, "Sorbets", 10, "Gelatos de Leite com Fruta", 13, "Chocolate base água", 16, "Vegano", 19, "Alcoólicos", 22, "Zero", 25, "Gelatos Proteicos", 28, 7), 1)) + (ROUND(I232,4) &gt; INDEX('Tabela de ingredientes'!$O$1:$V$30, SWITCH(B232, "Gelatos de Leite", 8, "Sorbets", 11, "Gelatos de Leite com Fruta", 14, "Chocolate base água", 17, "Vegano", 20, "Alcoólicos", 23, "Zero", 26, "Gelatos Proteicos", 29, 8), 1)) + (ROUND(J232,4) &lt; INDEX('Tabela de ingredientes'!$O$1:$V$30, SWITCH(B232, "Gelatos de Leite", 7, "Sorbets", 10, "Gelatos de Leite com Fruta", 13, "Chocolate base água", 16, "Vegano", 19, "Alcoólicos", 22, "Zero", 25, "Gelatos Proteicos", 28, 7), 2)) + (ROUND(J232,4) &gt; INDEX('Tabela de ingredientes'!$O$1:$V$30, SWITCH(B232, "Gelatos de Leite", 8, "Sorbets", 11, "Gelatos de Leite com Fruta", 14, "Chocolate base água", 17, "Vegano", 20, "Alcoólicos", 23, "Zero", 26, "Gelatos Proteicos", 29, 8), 2)) + (ROUND(K232,4) &lt; INDEX('Tabela de ingredientes'!$O$1:$V$30, SWITCH(B232, "Gelatos de Leite", 7, "Sorbets", 10, "Gelatos de Leite com Fruta", 13, "Chocolate base água", 16, "Vegano", 19, "Alcoólicos", 22, "Zero", 25, "Gelatos Proteicos", 28, 7), 3)) + (ROUND(K232,4) &gt; INDEX('Tabela de ingredientes'!$O$1:$V$30, SWITCH(B232, "Gelatos de Leite", 8, "Sorbets", 11, "Gelatos de Leite com Fruta", 14, "Chocolate base água", 17, "Vegano", 20, "Alcoólicos", 23, "Zero", 26, "Gelatos Proteicos", 29, 8), 3)) + (ROUND(L232,4) &lt; INDEX('Tabela de ingredientes'!$O$1:$V$30, SWITCH(B232, "Gelatos de Leite", 7, "Sorbets", 10, "Gelatos de Leite com Fruta", 13, "Chocolate base água", 16, "Vegano", 19, "Alcoólicos", 22, "Zero", 25, "Gelatos Proteicos", 28, 7), 4)) + (ROUND(L232,4) &gt; INDEX('Tabela de ingredientes'!$O$1:$V$30, SWITCH(B232, "Gelatos de Leite", 8, "Sorbets", 11, "Gelatos de Leite com Fruta", 14, "Chocolate base água", 17, "Vegano", 20, "Alcoólicos", 23, "Zero", 26, "Gelatos Proteicos", 29, 8), 4)) + (ROUND(M232,4) &lt; INDEX('Tabela de ingredientes'!$O$1:$V$30, SWITCH(B232, "Gelatos de Leite", 7, "Sorbets", 10, "Gelatos de Leite com Fruta", 13, "Chocolate base água", 16, "Vegano", 19, "Alcoólicos", 22, "Zero", 25, "Gelatos Proteicos", 28, 7), 5)) + (ROUND(M232,4) &gt; INDEX('Tabela de ingredientes'!$O$1:$V$30, SWITCH(B232, "Gelatos de Leite", 8, "Sorbets", 11, "Gelatos de Leite com Fruta", 14, "Chocolate base água", 17, "Vegano", 20, "Alcoólicos", 23, "Zero", 26, "Gelatos Proteicos", 29, 8), 5)) + (ROUND(N232,4) &lt; INDEX('Tabela de ingredientes'!$O$1:$V$30, SWITCH(B232, "Gelatos de Leite", 7, "Sorbets", 10, "Gelatos de Leite com Fruta", 13, "Chocolate base água", 16, "Vegano", 19, "Alcoólicos", 22, "Zero", 25, "Gelatos Proteicos", 28, 7), 6)) + (ROUND(N232,4) &gt; INDEX('Tabela de ingredientes'!$O$1:$V$30, SWITCH(B232, "Gelatos de Leite", 8, "Sorbets", 11, "Gelatos de Leite com Fruta", 14, "Chocolate base água", 17, "Vegano", 20, "Alcoólicos", 23, "Zero", 26, "Gelatos Proteicos", 29, 8), 6)) + (ROUND(O232,4) &lt; INDEX('Tabela de ingredientes'!$O$1:$V$30, SWITCH(B232, "Gelatos de Leite", 7, "Sorbets", 10, "Gelatos de Leite com Fruta", 13, "Chocolate base água", 16, "Vegano", 19, "Alcoólicos", 22, "Zero", 25, "Gelatos Proteicos", 28, 7), 7)) + (ROUND(O232,4) &gt; INDEX('Tabela de ingredientes'!$O$1:$V$30, SWITCH(B232, "Gelatos de Leite", 8, "Sorbets", 11, "Gelatos de Leite com Fruta", 14, "Chocolate base água", 17, "Vegano", 20, "Alcoólicos", 23, "Zero", 26, "Gelatos Proteicos", 29, 8), 7)) + (ROUND(P232,4) &lt; INDEX('Tabela de ingredientes'!$O$1:$V$30, SWITCH(B232, "Gelatos de Leite", 7, "Sorbets", 10, "Gelatos de Leite com Fruta", 13, "Chocolate base água", 16, "Vegano", 19, "Alcoólicos", 22, "Zero", 25, "Gelatos Proteicos", 28, 7), 8)) + (ROUND(P232,4) &gt; INDEX('Tabela de ingredientes'!$O$1:$V$30, SWITCH(B232, "Gelatos de Leite", 8, "Sorbets", 11, "Gelatos de Leite com Fruta", 14, "Chocolate base água", 17, "Vegano", 20, "Alcoólicos", 23, "Zero", 26, "Gelatos Proteicos", 29, 8), 8)) + IF(B232="Gelatos Proteicos", (ROUND(Q232,4)&lt;'Tabela de ingredientes'!$W$28)+(ROUND(Q232,4)&gt;'Tabela de ingredientes'!$W$29), 0) = 0, "Ok", "Revisar"))</f>
        <v/>
      </c>
    </row>
    <row r="233">
      <c r="A233" s="264"/>
      <c r="B233" s="264" t="s">
        <v>187</v>
      </c>
      <c r="C233" s="264" t="s">
        <v>187</v>
      </c>
      <c r="D233" s="264" t="s">
        <v>187</v>
      </c>
      <c r="E233" s="264" t="s">
        <v>187</v>
      </c>
      <c r="F233" s="264" t="s">
        <v>187</v>
      </c>
      <c r="G233" s="264" t="s">
        <v>187</v>
      </c>
      <c r="H233" s="264" t="s">
        <v>187</v>
      </c>
      <c r="I233" s="264" t="s">
        <v>187</v>
      </c>
      <c r="J233" s="264" t="s">
        <v>187</v>
      </c>
      <c r="K233" s="264" t="s">
        <v>187</v>
      </c>
      <c r="L233" s="264" t="s">
        <v>187</v>
      </c>
      <c r="M233" s="264" t="s">
        <v>187</v>
      </c>
      <c r="N233" s="264" t="s">
        <v>187</v>
      </c>
      <c r="O233" s="264" t="s">
        <v>187</v>
      </c>
      <c r="P233" s="264" t="s">
        <v>187</v>
      </c>
      <c r="Q233" s="264" t="s">
        <v>187</v>
      </c>
      <c r="R233" s="264" t="s">
        <v>187</v>
      </c>
      <c r="S233" s="97" t="str">
        <f t="array" ref="S233">IF(A233="","", IF( (ROUND(I233,4) &lt; INDEX('Tabela de ingredientes'!$O$1:$V$30, SWITCH(B233, "Gelatos de Leite", 7, "Sorbets", 10, "Gelatos de Leite com Fruta", 13, "Chocolate base água", 16, "Vegano", 19, "Alcoólicos", 22, "Zero", 25, "Gelatos Proteicos", 28, 7), 1)) + (ROUND(I233,4) &gt; INDEX('Tabela de ingredientes'!$O$1:$V$30, SWITCH(B233, "Gelatos de Leite", 8, "Sorbets", 11, "Gelatos de Leite com Fruta", 14, "Chocolate base água", 17, "Vegano", 20, "Alcoólicos", 23, "Zero", 26, "Gelatos Proteicos", 29, 8), 1)) + (ROUND(J233,4) &lt; INDEX('Tabela de ingredientes'!$O$1:$V$30, SWITCH(B233, "Gelatos de Leite", 7, "Sorbets", 10, "Gelatos de Leite com Fruta", 13, "Chocolate base água", 16, "Vegano", 19, "Alcoólicos", 22, "Zero", 25, "Gelatos Proteicos", 28, 7), 2)) + (ROUND(J233,4) &gt; INDEX('Tabela de ingredientes'!$O$1:$V$30, SWITCH(B233, "Gelatos de Leite", 8, "Sorbets", 11, "Gelatos de Leite com Fruta", 14, "Chocolate base água", 17, "Vegano", 20, "Alcoólicos", 23, "Zero", 26, "Gelatos Proteicos", 29, 8), 2)) + (ROUND(K233,4) &lt; INDEX('Tabela de ingredientes'!$O$1:$V$30, SWITCH(B233, "Gelatos de Leite", 7, "Sorbets", 10, "Gelatos de Leite com Fruta", 13, "Chocolate base água", 16, "Vegano", 19, "Alcoólicos", 22, "Zero", 25, "Gelatos Proteicos", 28, 7), 3)) + (ROUND(K233,4) &gt; INDEX('Tabela de ingredientes'!$O$1:$V$30, SWITCH(B233, "Gelatos de Leite", 8, "Sorbets", 11, "Gelatos de Leite com Fruta", 14, "Chocolate base água", 17, "Vegano", 20, "Alcoólicos", 23, "Zero", 26, "Gelatos Proteicos", 29, 8), 3)) + (ROUND(L233,4) &lt; INDEX('Tabela de ingredientes'!$O$1:$V$30, SWITCH(B233, "Gelatos de Leite", 7, "Sorbets", 10, "Gelatos de Leite com Fruta", 13, "Chocolate base água", 16, "Vegano", 19, "Alcoólicos", 22, "Zero", 25, "Gelatos Proteicos", 28, 7), 4)) + (ROUND(L233,4) &gt; INDEX('Tabela de ingredientes'!$O$1:$V$30, SWITCH(B233, "Gelatos de Leite", 8, "Sorbets", 11, "Gelatos de Leite com Fruta", 14, "Chocolate base água", 17, "Vegano", 20, "Alcoólicos", 23, "Zero", 26, "Gelatos Proteicos", 29, 8), 4)) + (ROUND(M233,4) &lt; INDEX('Tabela de ingredientes'!$O$1:$V$30, SWITCH(B233, "Gelatos de Leite", 7, "Sorbets", 10, "Gelatos de Leite com Fruta", 13, "Chocolate base água", 16, "Vegano", 19, "Alcoólicos", 22, "Zero", 25, "Gelatos Proteicos", 28, 7), 5)) + (ROUND(M233,4) &gt; INDEX('Tabela de ingredientes'!$O$1:$V$30, SWITCH(B233, "Gelatos de Leite", 8, "Sorbets", 11, "Gelatos de Leite com Fruta", 14, "Chocolate base água", 17, "Vegano", 20, "Alcoólicos", 23, "Zero", 26, "Gelatos Proteicos", 29, 8), 5)) + (ROUND(N233,4) &lt; INDEX('Tabela de ingredientes'!$O$1:$V$30, SWITCH(B233, "Gelatos de Leite", 7, "Sorbets", 10, "Gelatos de Leite com Fruta", 13, "Chocolate base água", 16, "Vegano", 19, "Alcoólicos", 22, "Zero", 25, "Gelatos Proteicos", 28, 7), 6)) + (ROUND(N233,4) &gt; INDEX('Tabela de ingredientes'!$O$1:$V$30, SWITCH(B233, "Gelatos de Leite", 8, "Sorbets", 11, "Gelatos de Leite com Fruta", 14, "Chocolate base água", 17, "Vegano", 20, "Alcoólicos", 23, "Zero", 26, "Gelatos Proteicos", 29, 8), 6)) + (ROUND(O233,4) &lt; INDEX('Tabela de ingredientes'!$O$1:$V$30, SWITCH(B233, "Gelatos de Leite", 7, "Sorbets", 10, "Gelatos de Leite com Fruta", 13, "Chocolate base água", 16, "Vegano", 19, "Alcoólicos", 22, "Zero", 25, "Gelatos Proteicos", 28, 7), 7)) + (ROUND(O233,4) &gt; INDEX('Tabela de ingredientes'!$O$1:$V$30, SWITCH(B233, "Gelatos de Leite", 8, "Sorbets", 11, "Gelatos de Leite com Fruta", 14, "Chocolate base água", 17, "Vegano", 20, "Alcoólicos", 23, "Zero", 26, "Gelatos Proteicos", 29, 8), 7)) + (ROUND(P233,4) &lt; INDEX('Tabela de ingredientes'!$O$1:$V$30, SWITCH(B233, "Gelatos de Leite", 7, "Sorbets", 10, "Gelatos de Leite com Fruta", 13, "Chocolate base água", 16, "Vegano", 19, "Alcoólicos", 22, "Zero", 25, "Gelatos Proteicos", 28, 7), 8)) + (ROUND(P233,4) &gt; INDEX('Tabela de ingredientes'!$O$1:$V$30, SWITCH(B233, "Gelatos de Leite", 8, "Sorbets", 11, "Gelatos de Leite com Fruta", 14, "Chocolate base água", 17, "Vegano", 20, "Alcoólicos", 23, "Zero", 26, "Gelatos Proteicos", 29, 8), 8)) + IF(B233="Gelatos Proteicos", (ROUND(Q233,4)&lt;'Tabela de ingredientes'!$W$28)+(ROUND(Q233,4)&gt;'Tabela de ingredientes'!$W$29), 0) = 0, "Ok", "Revisar"))</f>
        <v/>
      </c>
    </row>
    <row r="234">
      <c r="A234" s="264"/>
      <c r="B234" s="264" t="s">
        <v>187</v>
      </c>
      <c r="C234" s="264" t="s">
        <v>187</v>
      </c>
      <c r="D234" s="264" t="s">
        <v>187</v>
      </c>
      <c r="E234" s="264" t="s">
        <v>187</v>
      </c>
      <c r="F234" s="264" t="s">
        <v>187</v>
      </c>
      <c r="G234" s="264" t="s">
        <v>187</v>
      </c>
      <c r="H234" s="264" t="s">
        <v>187</v>
      </c>
      <c r="I234" s="264" t="s">
        <v>187</v>
      </c>
      <c r="J234" s="264" t="s">
        <v>187</v>
      </c>
      <c r="K234" s="264" t="s">
        <v>187</v>
      </c>
      <c r="L234" s="264" t="s">
        <v>187</v>
      </c>
      <c r="M234" s="264" t="s">
        <v>187</v>
      </c>
      <c r="N234" s="264" t="s">
        <v>187</v>
      </c>
      <c r="O234" s="264" t="s">
        <v>187</v>
      </c>
      <c r="P234" s="264" t="s">
        <v>187</v>
      </c>
      <c r="Q234" s="264" t="s">
        <v>187</v>
      </c>
      <c r="R234" s="264" t="s">
        <v>187</v>
      </c>
      <c r="S234" s="97" t="str">
        <f t="array" ref="S234">IF(A234="","", IF( (ROUND(I234,4) &lt; INDEX('Tabela de ingredientes'!$O$1:$V$30, SWITCH(B234, "Gelatos de Leite", 7, "Sorbets", 10, "Gelatos de Leite com Fruta", 13, "Chocolate base água", 16, "Vegano", 19, "Alcoólicos", 22, "Zero", 25, "Gelatos Proteicos", 28, 7), 1)) + (ROUND(I234,4) &gt; INDEX('Tabela de ingredientes'!$O$1:$V$30, SWITCH(B234, "Gelatos de Leite", 8, "Sorbets", 11, "Gelatos de Leite com Fruta", 14, "Chocolate base água", 17, "Vegano", 20, "Alcoólicos", 23, "Zero", 26, "Gelatos Proteicos", 29, 8), 1)) + (ROUND(J234,4) &lt; INDEX('Tabela de ingredientes'!$O$1:$V$30, SWITCH(B234, "Gelatos de Leite", 7, "Sorbets", 10, "Gelatos de Leite com Fruta", 13, "Chocolate base água", 16, "Vegano", 19, "Alcoólicos", 22, "Zero", 25, "Gelatos Proteicos", 28, 7), 2)) + (ROUND(J234,4) &gt; INDEX('Tabela de ingredientes'!$O$1:$V$30, SWITCH(B234, "Gelatos de Leite", 8, "Sorbets", 11, "Gelatos de Leite com Fruta", 14, "Chocolate base água", 17, "Vegano", 20, "Alcoólicos", 23, "Zero", 26, "Gelatos Proteicos", 29, 8), 2)) + (ROUND(K234,4) &lt; INDEX('Tabela de ingredientes'!$O$1:$V$30, SWITCH(B234, "Gelatos de Leite", 7, "Sorbets", 10, "Gelatos de Leite com Fruta", 13, "Chocolate base água", 16, "Vegano", 19, "Alcoólicos", 22, "Zero", 25, "Gelatos Proteicos", 28, 7), 3)) + (ROUND(K234,4) &gt; INDEX('Tabela de ingredientes'!$O$1:$V$30, SWITCH(B234, "Gelatos de Leite", 8, "Sorbets", 11, "Gelatos de Leite com Fruta", 14, "Chocolate base água", 17, "Vegano", 20, "Alcoólicos", 23, "Zero", 26, "Gelatos Proteicos", 29, 8), 3)) + (ROUND(L234,4) &lt; INDEX('Tabela de ingredientes'!$O$1:$V$30, SWITCH(B234, "Gelatos de Leite", 7, "Sorbets", 10, "Gelatos de Leite com Fruta", 13, "Chocolate base água", 16, "Vegano", 19, "Alcoólicos", 22, "Zero", 25, "Gelatos Proteicos", 28, 7), 4)) + (ROUND(L234,4) &gt; INDEX('Tabela de ingredientes'!$O$1:$V$30, SWITCH(B234, "Gelatos de Leite", 8, "Sorbets", 11, "Gelatos de Leite com Fruta", 14, "Chocolate base água", 17, "Vegano", 20, "Alcoólicos", 23, "Zero", 26, "Gelatos Proteicos", 29, 8), 4)) + (ROUND(M234,4) &lt; INDEX('Tabela de ingredientes'!$O$1:$V$30, SWITCH(B234, "Gelatos de Leite", 7, "Sorbets", 10, "Gelatos de Leite com Fruta", 13, "Chocolate base água", 16, "Vegano", 19, "Alcoólicos", 22, "Zero", 25, "Gelatos Proteicos", 28, 7), 5)) + (ROUND(M234,4) &gt; INDEX('Tabela de ingredientes'!$O$1:$V$30, SWITCH(B234, "Gelatos de Leite", 8, "Sorbets", 11, "Gelatos de Leite com Fruta", 14, "Chocolate base água", 17, "Vegano", 20, "Alcoólicos", 23, "Zero", 26, "Gelatos Proteicos", 29, 8), 5)) + (ROUND(N234,4) &lt; INDEX('Tabela de ingredientes'!$O$1:$V$30, SWITCH(B234, "Gelatos de Leite", 7, "Sorbets", 10, "Gelatos de Leite com Fruta", 13, "Chocolate base água", 16, "Vegano", 19, "Alcoólicos", 22, "Zero", 25, "Gelatos Proteicos", 28, 7), 6)) + (ROUND(N234,4) &gt; INDEX('Tabela de ingredientes'!$O$1:$V$30, SWITCH(B234, "Gelatos de Leite", 8, "Sorbets", 11, "Gelatos de Leite com Fruta", 14, "Chocolate base água", 17, "Vegano", 20, "Alcoólicos", 23, "Zero", 26, "Gelatos Proteicos", 29, 8), 6)) + (ROUND(O234,4) &lt; INDEX('Tabela de ingredientes'!$O$1:$V$30, SWITCH(B234, "Gelatos de Leite", 7, "Sorbets", 10, "Gelatos de Leite com Fruta", 13, "Chocolate base água", 16, "Vegano", 19, "Alcoólicos", 22, "Zero", 25, "Gelatos Proteicos", 28, 7), 7)) + (ROUND(O234,4) &gt; INDEX('Tabela de ingredientes'!$O$1:$V$30, SWITCH(B234, "Gelatos de Leite", 8, "Sorbets", 11, "Gelatos de Leite com Fruta", 14, "Chocolate base água", 17, "Vegano", 20, "Alcoólicos", 23, "Zero", 26, "Gelatos Proteicos", 29, 8), 7)) + (ROUND(P234,4) &lt; INDEX('Tabela de ingredientes'!$O$1:$V$30, SWITCH(B234, "Gelatos de Leite", 7, "Sorbets", 10, "Gelatos de Leite com Fruta", 13, "Chocolate base água", 16, "Vegano", 19, "Alcoólicos", 22, "Zero", 25, "Gelatos Proteicos", 28, 7), 8)) + (ROUND(P234,4) &gt; INDEX('Tabela de ingredientes'!$O$1:$V$30, SWITCH(B234, "Gelatos de Leite", 8, "Sorbets", 11, "Gelatos de Leite com Fruta", 14, "Chocolate base água", 17, "Vegano", 20, "Alcoólicos", 23, "Zero", 26, "Gelatos Proteicos", 29, 8), 8)) + IF(B234="Gelatos Proteicos", (ROUND(Q234,4)&lt;'Tabela de ingredientes'!$W$28)+(ROUND(Q234,4)&gt;'Tabela de ingredientes'!$W$29), 0) = 0, "Ok", "Revisar"))</f>
        <v/>
      </c>
    </row>
    <row r="235">
      <c r="A235" s="264"/>
      <c r="B235" s="264" t="s">
        <v>187</v>
      </c>
      <c r="C235" s="264" t="s">
        <v>187</v>
      </c>
      <c r="D235" s="264" t="s">
        <v>187</v>
      </c>
      <c r="E235" s="264" t="s">
        <v>187</v>
      </c>
      <c r="F235" s="264" t="s">
        <v>187</v>
      </c>
      <c r="G235" s="264" t="s">
        <v>187</v>
      </c>
      <c r="H235" s="264" t="s">
        <v>187</v>
      </c>
      <c r="I235" s="264" t="s">
        <v>187</v>
      </c>
      <c r="J235" s="264" t="s">
        <v>187</v>
      </c>
      <c r="K235" s="264" t="s">
        <v>187</v>
      </c>
      <c r="L235" s="264" t="s">
        <v>187</v>
      </c>
      <c r="M235" s="264" t="s">
        <v>187</v>
      </c>
      <c r="N235" s="264" t="s">
        <v>187</v>
      </c>
      <c r="O235" s="264" t="s">
        <v>187</v>
      </c>
      <c r="P235" s="264" t="s">
        <v>187</v>
      </c>
      <c r="Q235" s="264" t="s">
        <v>187</v>
      </c>
      <c r="R235" s="264" t="s">
        <v>187</v>
      </c>
      <c r="S235" s="97" t="str">
        <f t="array" ref="S235">IF(A235="","", IF( (ROUND(I235,4) &lt; INDEX('Tabela de ingredientes'!$O$1:$V$30, SWITCH(B235, "Gelatos de Leite", 7, "Sorbets", 10, "Gelatos de Leite com Fruta", 13, "Chocolate base água", 16, "Vegano", 19, "Alcoólicos", 22, "Zero", 25, "Gelatos Proteicos", 28, 7), 1)) + (ROUND(I235,4) &gt; INDEX('Tabela de ingredientes'!$O$1:$V$30, SWITCH(B235, "Gelatos de Leite", 8, "Sorbets", 11, "Gelatos de Leite com Fruta", 14, "Chocolate base água", 17, "Vegano", 20, "Alcoólicos", 23, "Zero", 26, "Gelatos Proteicos", 29, 8), 1)) + (ROUND(J235,4) &lt; INDEX('Tabela de ingredientes'!$O$1:$V$30, SWITCH(B235, "Gelatos de Leite", 7, "Sorbets", 10, "Gelatos de Leite com Fruta", 13, "Chocolate base água", 16, "Vegano", 19, "Alcoólicos", 22, "Zero", 25, "Gelatos Proteicos", 28, 7), 2)) + (ROUND(J235,4) &gt; INDEX('Tabela de ingredientes'!$O$1:$V$30, SWITCH(B235, "Gelatos de Leite", 8, "Sorbets", 11, "Gelatos de Leite com Fruta", 14, "Chocolate base água", 17, "Vegano", 20, "Alcoólicos", 23, "Zero", 26, "Gelatos Proteicos", 29, 8), 2)) + (ROUND(K235,4) &lt; INDEX('Tabela de ingredientes'!$O$1:$V$30, SWITCH(B235, "Gelatos de Leite", 7, "Sorbets", 10, "Gelatos de Leite com Fruta", 13, "Chocolate base água", 16, "Vegano", 19, "Alcoólicos", 22, "Zero", 25, "Gelatos Proteicos", 28, 7), 3)) + (ROUND(K235,4) &gt; INDEX('Tabela de ingredientes'!$O$1:$V$30, SWITCH(B235, "Gelatos de Leite", 8, "Sorbets", 11, "Gelatos de Leite com Fruta", 14, "Chocolate base água", 17, "Vegano", 20, "Alcoólicos", 23, "Zero", 26, "Gelatos Proteicos", 29, 8), 3)) + (ROUND(L235,4) &lt; INDEX('Tabela de ingredientes'!$O$1:$V$30, SWITCH(B235, "Gelatos de Leite", 7, "Sorbets", 10, "Gelatos de Leite com Fruta", 13, "Chocolate base água", 16, "Vegano", 19, "Alcoólicos", 22, "Zero", 25, "Gelatos Proteicos", 28, 7), 4)) + (ROUND(L235,4) &gt; INDEX('Tabela de ingredientes'!$O$1:$V$30, SWITCH(B235, "Gelatos de Leite", 8, "Sorbets", 11, "Gelatos de Leite com Fruta", 14, "Chocolate base água", 17, "Vegano", 20, "Alcoólicos", 23, "Zero", 26, "Gelatos Proteicos", 29, 8), 4)) + (ROUND(M235,4) &lt; INDEX('Tabela de ingredientes'!$O$1:$V$30, SWITCH(B235, "Gelatos de Leite", 7, "Sorbets", 10, "Gelatos de Leite com Fruta", 13, "Chocolate base água", 16, "Vegano", 19, "Alcoólicos", 22, "Zero", 25, "Gelatos Proteicos", 28, 7), 5)) + (ROUND(M235,4) &gt; INDEX('Tabela de ingredientes'!$O$1:$V$30, SWITCH(B235, "Gelatos de Leite", 8, "Sorbets", 11, "Gelatos de Leite com Fruta", 14, "Chocolate base água", 17, "Vegano", 20, "Alcoólicos", 23, "Zero", 26, "Gelatos Proteicos", 29, 8), 5)) + (ROUND(N235,4) &lt; INDEX('Tabela de ingredientes'!$O$1:$V$30, SWITCH(B235, "Gelatos de Leite", 7, "Sorbets", 10, "Gelatos de Leite com Fruta", 13, "Chocolate base água", 16, "Vegano", 19, "Alcoólicos", 22, "Zero", 25, "Gelatos Proteicos", 28, 7), 6)) + (ROUND(N235,4) &gt; INDEX('Tabela de ingredientes'!$O$1:$V$30, SWITCH(B235, "Gelatos de Leite", 8, "Sorbets", 11, "Gelatos de Leite com Fruta", 14, "Chocolate base água", 17, "Vegano", 20, "Alcoólicos", 23, "Zero", 26, "Gelatos Proteicos", 29, 8), 6)) + (ROUND(O235,4) &lt; INDEX('Tabela de ingredientes'!$O$1:$V$30, SWITCH(B235, "Gelatos de Leite", 7, "Sorbets", 10, "Gelatos de Leite com Fruta", 13, "Chocolate base água", 16, "Vegano", 19, "Alcoólicos", 22, "Zero", 25, "Gelatos Proteicos", 28, 7), 7)) + (ROUND(O235,4) &gt; INDEX('Tabela de ingredientes'!$O$1:$V$30, SWITCH(B235, "Gelatos de Leite", 8, "Sorbets", 11, "Gelatos de Leite com Fruta", 14, "Chocolate base água", 17, "Vegano", 20, "Alcoólicos", 23, "Zero", 26, "Gelatos Proteicos", 29, 8), 7)) + (ROUND(P235,4) &lt; INDEX('Tabela de ingredientes'!$O$1:$V$30, SWITCH(B235, "Gelatos de Leite", 7, "Sorbets", 10, "Gelatos de Leite com Fruta", 13, "Chocolate base água", 16, "Vegano", 19, "Alcoólicos", 22, "Zero", 25, "Gelatos Proteicos", 28, 7), 8)) + (ROUND(P235,4) &gt; INDEX('Tabela de ingredientes'!$O$1:$V$30, SWITCH(B235, "Gelatos de Leite", 8, "Sorbets", 11, "Gelatos de Leite com Fruta", 14, "Chocolate base água", 17, "Vegano", 20, "Alcoólicos", 23, "Zero", 26, "Gelatos Proteicos", 29, 8), 8)) + IF(B235="Gelatos Proteicos", (ROUND(Q235,4)&lt;'Tabela de ingredientes'!$W$28)+(ROUND(Q235,4)&gt;'Tabela de ingredientes'!$W$29), 0) = 0, "Ok", "Revisar"))</f>
        <v/>
      </c>
    </row>
    <row r="236">
      <c r="A236" s="264"/>
      <c r="B236" s="264" t="s">
        <v>187</v>
      </c>
      <c r="C236" s="264" t="s">
        <v>187</v>
      </c>
      <c r="D236" s="264" t="s">
        <v>187</v>
      </c>
      <c r="E236" s="264" t="s">
        <v>187</v>
      </c>
      <c r="F236" s="264" t="s">
        <v>187</v>
      </c>
      <c r="G236" s="264" t="s">
        <v>187</v>
      </c>
      <c r="H236" s="264" t="s">
        <v>187</v>
      </c>
      <c r="I236" s="264" t="s">
        <v>187</v>
      </c>
      <c r="J236" s="264" t="s">
        <v>187</v>
      </c>
      <c r="K236" s="264" t="s">
        <v>187</v>
      </c>
      <c r="L236" s="264" t="s">
        <v>187</v>
      </c>
      <c r="M236" s="264" t="s">
        <v>187</v>
      </c>
      <c r="N236" s="264" t="s">
        <v>187</v>
      </c>
      <c r="O236" s="264" t="s">
        <v>187</v>
      </c>
      <c r="P236" s="264" t="s">
        <v>187</v>
      </c>
      <c r="Q236" s="264" t="s">
        <v>187</v>
      </c>
      <c r="R236" s="264" t="s">
        <v>187</v>
      </c>
      <c r="S236" s="97" t="str">
        <f t="array" ref="S236">IF(A236="","", IF( (ROUND(I236,4) &lt; INDEX('Tabela de ingredientes'!$O$1:$V$30, SWITCH(B236, "Gelatos de Leite", 7, "Sorbets", 10, "Gelatos de Leite com Fruta", 13, "Chocolate base água", 16, "Vegano", 19, "Alcoólicos", 22, "Zero", 25, "Gelatos Proteicos", 28, 7), 1)) + (ROUND(I236,4) &gt; INDEX('Tabela de ingredientes'!$O$1:$V$30, SWITCH(B236, "Gelatos de Leite", 8, "Sorbets", 11, "Gelatos de Leite com Fruta", 14, "Chocolate base água", 17, "Vegano", 20, "Alcoólicos", 23, "Zero", 26, "Gelatos Proteicos", 29, 8), 1)) + (ROUND(J236,4) &lt; INDEX('Tabela de ingredientes'!$O$1:$V$30, SWITCH(B236, "Gelatos de Leite", 7, "Sorbets", 10, "Gelatos de Leite com Fruta", 13, "Chocolate base água", 16, "Vegano", 19, "Alcoólicos", 22, "Zero", 25, "Gelatos Proteicos", 28, 7), 2)) + (ROUND(J236,4) &gt; INDEX('Tabela de ingredientes'!$O$1:$V$30, SWITCH(B236, "Gelatos de Leite", 8, "Sorbets", 11, "Gelatos de Leite com Fruta", 14, "Chocolate base água", 17, "Vegano", 20, "Alcoólicos", 23, "Zero", 26, "Gelatos Proteicos", 29, 8), 2)) + (ROUND(K236,4) &lt; INDEX('Tabela de ingredientes'!$O$1:$V$30, SWITCH(B236, "Gelatos de Leite", 7, "Sorbets", 10, "Gelatos de Leite com Fruta", 13, "Chocolate base água", 16, "Vegano", 19, "Alcoólicos", 22, "Zero", 25, "Gelatos Proteicos", 28, 7), 3)) + (ROUND(K236,4) &gt; INDEX('Tabela de ingredientes'!$O$1:$V$30, SWITCH(B236, "Gelatos de Leite", 8, "Sorbets", 11, "Gelatos de Leite com Fruta", 14, "Chocolate base água", 17, "Vegano", 20, "Alcoólicos", 23, "Zero", 26, "Gelatos Proteicos", 29, 8), 3)) + (ROUND(L236,4) &lt; INDEX('Tabela de ingredientes'!$O$1:$V$30, SWITCH(B236, "Gelatos de Leite", 7, "Sorbets", 10, "Gelatos de Leite com Fruta", 13, "Chocolate base água", 16, "Vegano", 19, "Alcoólicos", 22, "Zero", 25, "Gelatos Proteicos", 28, 7), 4)) + (ROUND(L236,4) &gt; INDEX('Tabela de ingredientes'!$O$1:$V$30, SWITCH(B236, "Gelatos de Leite", 8, "Sorbets", 11, "Gelatos de Leite com Fruta", 14, "Chocolate base água", 17, "Vegano", 20, "Alcoólicos", 23, "Zero", 26, "Gelatos Proteicos", 29, 8), 4)) + (ROUND(M236,4) &lt; INDEX('Tabela de ingredientes'!$O$1:$V$30, SWITCH(B236, "Gelatos de Leite", 7, "Sorbets", 10, "Gelatos de Leite com Fruta", 13, "Chocolate base água", 16, "Vegano", 19, "Alcoólicos", 22, "Zero", 25, "Gelatos Proteicos", 28, 7), 5)) + (ROUND(M236,4) &gt; INDEX('Tabela de ingredientes'!$O$1:$V$30, SWITCH(B236, "Gelatos de Leite", 8, "Sorbets", 11, "Gelatos de Leite com Fruta", 14, "Chocolate base água", 17, "Vegano", 20, "Alcoólicos", 23, "Zero", 26, "Gelatos Proteicos", 29, 8), 5)) + (ROUND(N236,4) &lt; INDEX('Tabela de ingredientes'!$O$1:$V$30, SWITCH(B236, "Gelatos de Leite", 7, "Sorbets", 10, "Gelatos de Leite com Fruta", 13, "Chocolate base água", 16, "Vegano", 19, "Alcoólicos", 22, "Zero", 25, "Gelatos Proteicos", 28, 7), 6)) + (ROUND(N236,4) &gt; INDEX('Tabela de ingredientes'!$O$1:$V$30, SWITCH(B236, "Gelatos de Leite", 8, "Sorbets", 11, "Gelatos de Leite com Fruta", 14, "Chocolate base água", 17, "Vegano", 20, "Alcoólicos", 23, "Zero", 26, "Gelatos Proteicos", 29, 8), 6)) + (ROUND(O236,4) &lt; INDEX('Tabela de ingredientes'!$O$1:$V$30, SWITCH(B236, "Gelatos de Leite", 7, "Sorbets", 10, "Gelatos de Leite com Fruta", 13, "Chocolate base água", 16, "Vegano", 19, "Alcoólicos", 22, "Zero", 25, "Gelatos Proteicos", 28, 7), 7)) + (ROUND(O236,4) &gt; INDEX('Tabela de ingredientes'!$O$1:$V$30, SWITCH(B236, "Gelatos de Leite", 8, "Sorbets", 11, "Gelatos de Leite com Fruta", 14, "Chocolate base água", 17, "Vegano", 20, "Alcoólicos", 23, "Zero", 26, "Gelatos Proteicos", 29, 8), 7)) + (ROUND(P236,4) &lt; INDEX('Tabela de ingredientes'!$O$1:$V$30, SWITCH(B236, "Gelatos de Leite", 7, "Sorbets", 10, "Gelatos de Leite com Fruta", 13, "Chocolate base água", 16, "Vegano", 19, "Alcoólicos", 22, "Zero", 25, "Gelatos Proteicos", 28, 7), 8)) + (ROUND(P236,4) &gt; INDEX('Tabela de ingredientes'!$O$1:$V$30, SWITCH(B236, "Gelatos de Leite", 8, "Sorbets", 11, "Gelatos de Leite com Fruta", 14, "Chocolate base água", 17, "Vegano", 20, "Alcoólicos", 23, "Zero", 26, "Gelatos Proteicos", 29, 8), 8)) + IF(B236="Gelatos Proteicos", (ROUND(Q236,4)&lt;'Tabela de ingredientes'!$W$28)+(ROUND(Q236,4)&gt;'Tabela de ingredientes'!$W$29), 0) = 0, "Ok", "Revisar"))</f>
        <v/>
      </c>
    </row>
    <row r="237">
      <c r="A237" s="264"/>
      <c r="B237" s="264" t="s">
        <v>187</v>
      </c>
      <c r="C237" s="264" t="s">
        <v>187</v>
      </c>
      <c r="D237" s="264" t="s">
        <v>187</v>
      </c>
      <c r="E237" s="264" t="s">
        <v>187</v>
      </c>
      <c r="F237" s="264" t="s">
        <v>187</v>
      </c>
      <c r="G237" s="264" t="s">
        <v>187</v>
      </c>
      <c r="H237" s="264" t="s">
        <v>187</v>
      </c>
      <c r="I237" s="264" t="s">
        <v>187</v>
      </c>
      <c r="J237" s="264" t="s">
        <v>187</v>
      </c>
      <c r="K237" s="264" t="s">
        <v>187</v>
      </c>
      <c r="L237" s="264" t="s">
        <v>187</v>
      </c>
      <c r="M237" s="264" t="s">
        <v>187</v>
      </c>
      <c r="N237" s="264" t="s">
        <v>187</v>
      </c>
      <c r="O237" s="264" t="s">
        <v>187</v>
      </c>
      <c r="P237" s="264" t="s">
        <v>187</v>
      </c>
      <c r="Q237" s="264" t="s">
        <v>187</v>
      </c>
      <c r="R237" s="264" t="s">
        <v>187</v>
      </c>
      <c r="S237" s="97" t="str">
        <f t="array" ref="S237">IF(A237="","", IF( (ROUND(I237,4) &lt; INDEX('Tabela de ingredientes'!$O$1:$V$30, SWITCH(B237, "Gelatos de Leite", 7, "Sorbets", 10, "Gelatos de Leite com Fruta", 13, "Chocolate base água", 16, "Vegano", 19, "Alcoólicos", 22, "Zero", 25, "Gelatos Proteicos", 28, 7), 1)) + (ROUND(I237,4) &gt; INDEX('Tabela de ingredientes'!$O$1:$V$30, SWITCH(B237, "Gelatos de Leite", 8, "Sorbets", 11, "Gelatos de Leite com Fruta", 14, "Chocolate base água", 17, "Vegano", 20, "Alcoólicos", 23, "Zero", 26, "Gelatos Proteicos", 29, 8), 1)) + (ROUND(J237,4) &lt; INDEX('Tabela de ingredientes'!$O$1:$V$30, SWITCH(B237, "Gelatos de Leite", 7, "Sorbets", 10, "Gelatos de Leite com Fruta", 13, "Chocolate base água", 16, "Vegano", 19, "Alcoólicos", 22, "Zero", 25, "Gelatos Proteicos", 28, 7), 2)) + (ROUND(J237,4) &gt; INDEX('Tabela de ingredientes'!$O$1:$V$30, SWITCH(B237, "Gelatos de Leite", 8, "Sorbets", 11, "Gelatos de Leite com Fruta", 14, "Chocolate base água", 17, "Vegano", 20, "Alcoólicos", 23, "Zero", 26, "Gelatos Proteicos", 29, 8), 2)) + (ROUND(K237,4) &lt; INDEX('Tabela de ingredientes'!$O$1:$V$30, SWITCH(B237, "Gelatos de Leite", 7, "Sorbets", 10, "Gelatos de Leite com Fruta", 13, "Chocolate base água", 16, "Vegano", 19, "Alcoólicos", 22, "Zero", 25, "Gelatos Proteicos", 28, 7), 3)) + (ROUND(K237,4) &gt; INDEX('Tabela de ingredientes'!$O$1:$V$30, SWITCH(B237, "Gelatos de Leite", 8, "Sorbets", 11, "Gelatos de Leite com Fruta", 14, "Chocolate base água", 17, "Vegano", 20, "Alcoólicos", 23, "Zero", 26, "Gelatos Proteicos", 29, 8), 3)) + (ROUND(L237,4) &lt; INDEX('Tabela de ingredientes'!$O$1:$V$30, SWITCH(B237, "Gelatos de Leite", 7, "Sorbets", 10, "Gelatos de Leite com Fruta", 13, "Chocolate base água", 16, "Vegano", 19, "Alcoólicos", 22, "Zero", 25, "Gelatos Proteicos", 28, 7), 4)) + (ROUND(L237,4) &gt; INDEX('Tabela de ingredientes'!$O$1:$V$30, SWITCH(B237, "Gelatos de Leite", 8, "Sorbets", 11, "Gelatos de Leite com Fruta", 14, "Chocolate base água", 17, "Vegano", 20, "Alcoólicos", 23, "Zero", 26, "Gelatos Proteicos", 29, 8), 4)) + (ROUND(M237,4) &lt; INDEX('Tabela de ingredientes'!$O$1:$V$30, SWITCH(B237, "Gelatos de Leite", 7, "Sorbets", 10, "Gelatos de Leite com Fruta", 13, "Chocolate base água", 16, "Vegano", 19, "Alcoólicos", 22, "Zero", 25, "Gelatos Proteicos", 28, 7), 5)) + (ROUND(M237,4) &gt; INDEX('Tabela de ingredientes'!$O$1:$V$30, SWITCH(B237, "Gelatos de Leite", 8, "Sorbets", 11, "Gelatos de Leite com Fruta", 14, "Chocolate base água", 17, "Vegano", 20, "Alcoólicos", 23, "Zero", 26, "Gelatos Proteicos", 29, 8), 5)) + (ROUND(N237,4) &lt; INDEX('Tabela de ingredientes'!$O$1:$V$30, SWITCH(B237, "Gelatos de Leite", 7, "Sorbets", 10, "Gelatos de Leite com Fruta", 13, "Chocolate base água", 16, "Vegano", 19, "Alcoólicos", 22, "Zero", 25, "Gelatos Proteicos", 28, 7), 6)) + (ROUND(N237,4) &gt; INDEX('Tabela de ingredientes'!$O$1:$V$30, SWITCH(B237, "Gelatos de Leite", 8, "Sorbets", 11, "Gelatos de Leite com Fruta", 14, "Chocolate base água", 17, "Vegano", 20, "Alcoólicos", 23, "Zero", 26, "Gelatos Proteicos", 29, 8), 6)) + (ROUND(O237,4) &lt; INDEX('Tabela de ingredientes'!$O$1:$V$30, SWITCH(B237, "Gelatos de Leite", 7, "Sorbets", 10, "Gelatos de Leite com Fruta", 13, "Chocolate base água", 16, "Vegano", 19, "Alcoólicos", 22, "Zero", 25, "Gelatos Proteicos", 28, 7), 7)) + (ROUND(O237,4) &gt; INDEX('Tabela de ingredientes'!$O$1:$V$30, SWITCH(B237, "Gelatos de Leite", 8, "Sorbets", 11, "Gelatos de Leite com Fruta", 14, "Chocolate base água", 17, "Vegano", 20, "Alcoólicos", 23, "Zero", 26, "Gelatos Proteicos", 29, 8), 7)) + (ROUND(P237,4) &lt; INDEX('Tabela de ingredientes'!$O$1:$V$30, SWITCH(B237, "Gelatos de Leite", 7, "Sorbets", 10, "Gelatos de Leite com Fruta", 13, "Chocolate base água", 16, "Vegano", 19, "Alcoólicos", 22, "Zero", 25, "Gelatos Proteicos", 28, 7), 8)) + (ROUND(P237,4) &gt; INDEX('Tabela de ingredientes'!$O$1:$V$30, SWITCH(B237, "Gelatos de Leite", 8, "Sorbets", 11, "Gelatos de Leite com Fruta", 14, "Chocolate base água", 17, "Vegano", 20, "Alcoólicos", 23, "Zero", 26, "Gelatos Proteicos", 29, 8), 8)) + IF(B237="Gelatos Proteicos", (ROUND(Q237,4)&lt;'Tabela de ingredientes'!$W$28)+(ROUND(Q237,4)&gt;'Tabela de ingredientes'!$W$29), 0) = 0, "Ok", "Revisar"))</f>
        <v/>
      </c>
    </row>
    <row r="238">
      <c r="A238" s="264"/>
      <c r="B238" s="264" t="s">
        <v>187</v>
      </c>
      <c r="C238" s="264" t="s">
        <v>187</v>
      </c>
      <c r="D238" s="264" t="s">
        <v>187</v>
      </c>
      <c r="E238" s="264" t="s">
        <v>187</v>
      </c>
      <c r="F238" s="264" t="s">
        <v>187</v>
      </c>
      <c r="G238" s="264" t="s">
        <v>187</v>
      </c>
      <c r="H238" s="264" t="s">
        <v>187</v>
      </c>
      <c r="I238" s="264" t="s">
        <v>187</v>
      </c>
      <c r="J238" s="264" t="s">
        <v>187</v>
      </c>
      <c r="K238" s="264" t="s">
        <v>187</v>
      </c>
      <c r="L238" s="264" t="s">
        <v>187</v>
      </c>
      <c r="M238" s="264" t="s">
        <v>187</v>
      </c>
      <c r="N238" s="264" t="s">
        <v>187</v>
      </c>
      <c r="O238" s="264" t="s">
        <v>187</v>
      </c>
      <c r="P238" s="264" t="s">
        <v>187</v>
      </c>
      <c r="Q238" s="264" t="s">
        <v>187</v>
      </c>
      <c r="R238" s="264" t="s">
        <v>187</v>
      </c>
      <c r="S238" s="97" t="str">
        <f t="array" ref="S238">IF(A238="","", IF( (ROUND(I238,4) &lt; INDEX('Tabela de ingredientes'!$O$1:$V$30, SWITCH(B238, "Gelatos de Leite", 7, "Sorbets", 10, "Gelatos de Leite com Fruta", 13, "Chocolate base água", 16, "Vegano", 19, "Alcoólicos", 22, "Zero", 25, "Gelatos Proteicos", 28, 7), 1)) + (ROUND(I238,4) &gt; INDEX('Tabela de ingredientes'!$O$1:$V$30, SWITCH(B238, "Gelatos de Leite", 8, "Sorbets", 11, "Gelatos de Leite com Fruta", 14, "Chocolate base água", 17, "Vegano", 20, "Alcoólicos", 23, "Zero", 26, "Gelatos Proteicos", 29, 8), 1)) + (ROUND(J238,4) &lt; INDEX('Tabela de ingredientes'!$O$1:$V$30, SWITCH(B238, "Gelatos de Leite", 7, "Sorbets", 10, "Gelatos de Leite com Fruta", 13, "Chocolate base água", 16, "Vegano", 19, "Alcoólicos", 22, "Zero", 25, "Gelatos Proteicos", 28, 7), 2)) + (ROUND(J238,4) &gt; INDEX('Tabela de ingredientes'!$O$1:$V$30, SWITCH(B238, "Gelatos de Leite", 8, "Sorbets", 11, "Gelatos de Leite com Fruta", 14, "Chocolate base água", 17, "Vegano", 20, "Alcoólicos", 23, "Zero", 26, "Gelatos Proteicos", 29, 8), 2)) + (ROUND(K238,4) &lt; INDEX('Tabela de ingredientes'!$O$1:$V$30, SWITCH(B238, "Gelatos de Leite", 7, "Sorbets", 10, "Gelatos de Leite com Fruta", 13, "Chocolate base água", 16, "Vegano", 19, "Alcoólicos", 22, "Zero", 25, "Gelatos Proteicos", 28, 7), 3)) + (ROUND(K238,4) &gt; INDEX('Tabela de ingredientes'!$O$1:$V$30, SWITCH(B238, "Gelatos de Leite", 8, "Sorbets", 11, "Gelatos de Leite com Fruta", 14, "Chocolate base água", 17, "Vegano", 20, "Alcoólicos", 23, "Zero", 26, "Gelatos Proteicos", 29, 8), 3)) + (ROUND(L238,4) &lt; INDEX('Tabela de ingredientes'!$O$1:$V$30, SWITCH(B238, "Gelatos de Leite", 7, "Sorbets", 10, "Gelatos de Leite com Fruta", 13, "Chocolate base água", 16, "Vegano", 19, "Alcoólicos", 22, "Zero", 25, "Gelatos Proteicos", 28, 7), 4)) + (ROUND(L238,4) &gt; INDEX('Tabela de ingredientes'!$O$1:$V$30, SWITCH(B238, "Gelatos de Leite", 8, "Sorbets", 11, "Gelatos de Leite com Fruta", 14, "Chocolate base água", 17, "Vegano", 20, "Alcoólicos", 23, "Zero", 26, "Gelatos Proteicos", 29, 8), 4)) + (ROUND(M238,4) &lt; INDEX('Tabela de ingredientes'!$O$1:$V$30, SWITCH(B238, "Gelatos de Leite", 7, "Sorbets", 10, "Gelatos de Leite com Fruta", 13, "Chocolate base água", 16, "Vegano", 19, "Alcoólicos", 22, "Zero", 25, "Gelatos Proteicos", 28, 7), 5)) + (ROUND(M238,4) &gt; INDEX('Tabela de ingredientes'!$O$1:$V$30, SWITCH(B238, "Gelatos de Leite", 8, "Sorbets", 11, "Gelatos de Leite com Fruta", 14, "Chocolate base água", 17, "Vegano", 20, "Alcoólicos", 23, "Zero", 26, "Gelatos Proteicos", 29, 8), 5)) + (ROUND(N238,4) &lt; INDEX('Tabela de ingredientes'!$O$1:$V$30, SWITCH(B238, "Gelatos de Leite", 7, "Sorbets", 10, "Gelatos de Leite com Fruta", 13, "Chocolate base água", 16, "Vegano", 19, "Alcoólicos", 22, "Zero", 25, "Gelatos Proteicos", 28, 7), 6)) + (ROUND(N238,4) &gt; INDEX('Tabela de ingredientes'!$O$1:$V$30, SWITCH(B238, "Gelatos de Leite", 8, "Sorbets", 11, "Gelatos de Leite com Fruta", 14, "Chocolate base água", 17, "Vegano", 20, "Alcoólicos", 23, "Zero", 26, "Gelatos Proteicos", 29, 8), 6)) + (ROUND(O238,4) &lt; INDEX('Tabela de ingredientes'!$O$1:$V$30, SWITCH(B238, "Gelatos de Leite", 7, "Sorbets", 10, "Gelatos de Leite com Fruta", 13, "Chocolate base água", 16, "Vegano", 19, "Alcoólicos", 22, "Zero", 25, "Gelatos Proteicos", 28, 7), 7)) + (ROUND(O238,4) &gt; INDEX('Tabela de ingredientes'!$O$1:$V$30, SWITCH(B238, "Gelatos de Leite", 8, "Sorbets", 11, "Gelatos de Leite com Fruta", 14, "Chocolate base água", 17, "Vegano", 20, "Alcoólicos", 23, "Zero", 26, "Gelatos Proteicos", 29, 8), 7)) + (ROUND(P238,4) &lt; INDEX('Tabela de ingredientes'!$O$1:$V$30, SWITCH(B238, "Gelatos de Leite", 7, "Sorbets", 10, "Gelatos de Leite com Fruta", 13, "Chocolate base água", 16, "Vegano", 19, "Alcoólicos", 22, "Zero", 25, "Gelatos Proteicos", 28, 7), 8)) + (ROUND(P238,4) &gt; INDEX('Tabela de ingredientes'!$O$1:$V$30, SWITCH(B238, "Gelatos de Leite", 8, "Sorbets", 11, "Gelatos de Leite com Fruta", 14, "Chocolate base água", 17, "Vegano", 20, "Alcoólicos", 23, "Zero", 26, "Gelatos Proteicos", 29, 8), 8)) + IF(B238="Gelatos Proteicos", (ROUND(Q238,4)&lt;'Tabela de ingredientes'!$W$28)+(ROUND(Q238,4)&gt;'Tabela de ingredientes'!$W$29), 0) = 0, "Ok", "Revisar"))</f>
        <v/>
      </c>
    </row>
    <row r="239">
      <c r="A239" s="264"/>
      <c r="B239" s="264" t="s">
        <v>187</v>
      </c>
      <c r="C239" s="264" t="s">
        <v>187</v>
      </c>
      <c r="D239" s="264" t="s">
        <v>187</v>
      </c>
      <c r="E239" s="264" t="s">
        <v>187</v>
      </c>
      <c r="F239" s="264" t="s">
        <v>187</v>
      </c>
      <c r="G239" s="264" t="s">
        <v>187</v>
      </c>
      <c r="H239" s="264" t="s">
        <v>187</v>
      </c>
      <c r="I239" s="264" t="s">
        <v>187</v>
      </c>
      <c r="J239" s="264" t="s">
        <v>187</v>
      </c>
      <c r="K239" s="264" t="s">
        <v>187</v>
      </c>
      <c r="L239" s="264" t="s">
        <v>187</v>
      </c>
      <c r="M239" s="264" t="s">
        <v>187</v>
      </c>
      <c r="N239" s="264" t="s">
        <v>187</v>
      </c>
      <c r="O239" s="264" t="s">
        <v>187</v>
      </c>
      <c r="P239" s="264" t="s">
        <v>187</v>
      </c>
      <c r="Q239" s="264" t="s">
        <v>187</v>
      </c>
      <c r="R239" s="264" t="s">
        <v>187</v>
      </c>
      <c r="S239" s="97" t="str">
        <f t="array" ref="S239">IF(A239="","", IF( (ROUND(I239,4) &lt; INDEX('Tabela de ingredientes'!$O$1:$V$30, SWITCH(B239, "Gelatos de Leite", 7, "Sorbets", 10, "Gelatos de Leite com Fruta", 13, "Chocolate base água", 16, "Vegano", 19, "Alcoólicos", 22, "Zero", 25, "Gelatos Proteicos", 28, 7), 1)) + (ROUND(I239,4) &gt; INDEX('Tabela de ingredientes'!$O$1:$V$30, SWITCH(B239, "Gelatos de Leite", 8, "Sorbets", 11, "Gelatos de Leite com Fruta", 14, "Chocolate base água", 17, "Vegano", 20, "Alcoólicos", 23, "Zero", 26, "Gelatos Proteicos", 29, 8), 1)) + (ROUND(J239,4) &lt; INDEX('Tabela de ingredientes'!$O$1:$V$30, SWITCH(B239, "Gelatos de Leite", 7, "Sorbets", 10, "Gelatos de Leite com Fruta", 13, "Chocolate base água", 16, "Vegano", 19, "Alcoólicos", 22, "Zero", 25, "Gelatos Proteicos", 28, 7), 2)) + (ROUND(J239,4) &gt; INDEX('Tabela de ingredientes'!$O$1:$V$30, SWITCH(B239, "Gelatos de Leite", 8, "Sorbets", 11, "Gelatos de Leite com Fruta", 14, "Chocolate base água", 17, "Vegano", 20, "Alcoólicos", 23, "Zero", 26, "Gelatos Proteicos", 29, 8), 2)) + (ROUND(K239,4) &lt; INDEX('Tabela de ingredientes'!$O$1:$V$30, SWITCH(B239, "Gelatos de Leite", 7, "Sorbets", 10, "Gelatos de Leite com Fruta", 13, "Chocolate base água", 16, "Vegano", 19, "Alcoólicos", 22, "Zero", 25, "Gelatos Proteicos", 28, 7), 3)) + (ROUND(K239,4) &gt; INDEX('Tabela de ingredientes'!$O$1:$V$30, SWITCH(B239, "Gelatos de Leite", 8, "Sorbets", 11, "Gelatos de Leite com Fruta", 14, "Chocolate base água", 17, "Vegano", 20, "Alcoólicos", 23, "Zero", 26, "Gelatos Proteicos", 29, 8), 3)) + (ROUND(L239,4) &lt; INDEX('Tabela de ingredientes'!$O$1:$V$30, SWITCH(B239, "Gelatos de Leite", 7, "Sorbets", 10, "Gelatos de Leite com Fruta", 13, "Chocolate base água", 16, "Vegano", 19, "Alcoólicos", 22, "Zero", 25, "Gelatos Proteicos", 28, 7), 4)) + (ROUND(L239,4) &gt; INDEX('Tabela de ingredientes'!$O$1:$V$30, SWITCH(B239, "Gelatos de Leite", 8, "Sorbets", 11, "Gelatos de Leite com Fruta", 14, "Chocolate base água", 17, "Vegano", 20, "Alcoólicos", 23, "Zero", 26, "Gelatos Proteicos", 29, 8), 4)) + (ROUND(M239,4) &lt; INDEX('Tabela de ingredientes'!$O$1:$V$30, SWITCH(B239, "Gelatos de Leite", 7, "Sorbets", 10, "Gelatos de Leite com Fruta", 13, "Chocolate base água", 16, "Vegano", 19, "Alcoólicos", 22, "Zero", 25, "Gelatos Proteicos", 28, 7), 5)) + (ROUND(M239,4) &gt; INDEX('Tabela de ingredientes'!$O$1:$V$30, SWITCH(B239, "Gelatos de Leite", 8, "Sorbets", 11, "Gelatos de Leite com Fruta", 14, "Chocolate base água", 17, "Vegano", 20, "Alcoólicos", 23, "Zero", 26, "Gelatos Proteicos", 29, 8), 5)) + (ROUND(N239,4) &lt; INDEX('Tabela de ingredientes'!$O$1:$V$30, SWITCH(B239, "Gelatos de Leite", 7, "Sorbets", 10, "Gelatos de Leite com Fruta", 13, "Chocolate base água", 16, "Vegano", 19, "Alcoólicos", 22, "Zero", 25, "Gelatos Proteicos", 28, 7), 6)) + (ROUND(N239,4) &gt; INDEX('Tabela de ingredientes'!$O$1:$V$30, SWITCH(B239, "Gelatos de Leite", 8, "Sorbets", 11, "Gelatos de Leite com Fruta", 14, "Chocolate base água", 17, "Vegano", 20, "Alcoólicos", 23, "Zero", 26, "Gelatos Proteicos", 29, 8), 6)) + (ROUND(O239,4) &lt; INDEX('Tabela de ingredientes'!$O$1:$V$30, SWITCH(B239, "Gelatos de Leite", 7, "Sorbets", 10, "Gelatos de Leite com Fruta", 13, "Chocolate base água", 16, "Vegano", 19, "Alcoólicos", 22, "Zero", 25, "Gelatos Proteicos", 28, 7), 7)) + (ROUND(O239,4) &gt; INDEX('Tabela de ingredientes'!$O$1:$V$30, SWITCH(B239, "Gelatos de Leite", 8, "Sorbets", 11, "Gelatos de Leite com Fruta", 14, "Chocolate base água", 17, "Vegano", 20, "Alcoólicos", 23, "Zero", 26, "Gelatos Proteicos", 29, 8), 7)) + (ROUND(P239,4) &lt; INDEX('Tabela de ingredientes'!$O$1:$V$30, SWITCH(B239, "Gelatos de Leite", 7, "Sorbets", 10, "Gelatos de Leite com Fruta", 13, "Chocolate base água", 16, "Vegano", 19, "Alcoólicos", 22, "Zero", 25, "Gelatos Proteicos", 28, 7), 8)) + (ROUND(P239,4) &gt; INDEX('Tabela de ingredientes'!$O$1:$V$30, SWITCH(B239, "Gelatos de Leite", 8, "Sorbets", 11, "Gelatos de Leite com Fruta", 14, "Chocolate base água", 17, "Vegano", 20, "Alcoólicos", 23, "Zero", 26, "Gelatos Proteicos", 29, 8), 8)) + IF(B239="Gelatos Proteicos", (ROUND(Q239,4)&lt;'Tabela de ingredientes'!$W$28)+(ROUND(Q239,4)&gt;'Tabela de ingredientes'!$W$29), 0) = 0, "Ok", "Revisar"))</f>
        <v/>
      </c>
    </row>
    <row r="240">
      <c r="A240" s="264"/>
      <c r="B240" s="264" t="s">
        <v>187</v>
      </c>
      <c r="C240" s="264" t="s">
        <v>187</v>
      </c>
      <c r="D240" s="264" t="s">
        <v>187</v>
      </c>
      <c r="E240" s="264" t="s">
        <v>187</v>
      </c>
      <c r="F240" s="264" t="s">
        <v>187</v>
      </c>
      <c r="G240" s="264" t="s">
        <v>187</v>
      </c>
      <c r="H240" s="264" t="s">
        <v>187</v>
      </c>
      <c r="I240" s="264" t="s">
        <v>187</v>
      </c>
      <c r="J240" s="264" t="s">
        <v>187</v>
      </c>
      <c r="K240" s="264" t="s">
        <v>187</v>
      </c>
      <c r="L240" s="264" t="s">
        <v>187</v>
      </c>
      <c r="M240" s="264" t="s">
        <v>187</v>
      </c>
      <c r="N240" s="264" t="s">
        <v>187</v>
      </c>
      <c r="O240" s="264" t="s">
        <v>187</v>
      </c>
      <c r="P240" s="264" t="s">
        <v>187</v>
      </c>
      <c r="Q240" s="264" t="s">
        <v>187</v>
      </c>
      <c r="R240" s="264" t="s">
        <v>187</v>
      </c>
      <c r="S240" s="97" t="str">
        <f t="array" ref="S240">IF(A240="","", IF( (ROUND(I240,4) &lt; INDEX('Tabela de ingredientes'!$O$1:$V$30, SWITCH(B240, "Gelatos de Leite", 7, "Sorbets", 10, "Gelatos de Leite com Fruta", 13, "Chocolate base água", 16, "Vegano", 19, "Alcoólicos", 22, "Zero", 25, "Gelatos Proteicos", 28, 7), 1)) + (ROUND(I240,4) &gt; INDEX('Tabela de ingredientes'!$O$1:$V$30, SWITCH(B240, "Gelatos de Leite", 8, "Sorbets", 11, "Gelatos de Leite com Fruta", 14, "Chocolate base água", 17, "Vegano", 20, "Alcoólicos", 23, "Zero", 26, "Gelatos Proteicos", 29, 8), 1)) + (ROUND(J240,4) &lt; INDEX('Tabela de ingredientes'!$O$1:$V$30, SWITCH(B240, "Gelatos de Leite", 7, "Sorbets", 10, "Gelatos de Leite com Fruta", 13, "Chocolate base água", 16, "Vegano", 19, "Alcoólicos", 22, "Zero", 25, "Gelatos Proteicos", 28, 7), 2)) + (ROUND(J240,4) &gt; INDEX('Tabela de ingredientes'!$O$1:$V$30, SWITCH(B240, "Gelatos de Leite", 8, "Sorbets", 11, "Gelatos de Leite com Fruta", 14, "Chocolate base água", 17, "Vegano", 20, "Alcoólicos", 23, "Zero", 26, "Gelatos Proteicos", 29, 8), 2)) + (ROUND(K240,4) &lt; INDEX('Tabela de ingredientes'!$O$1:$V$30, SWITCH(B240, "Gelatos de Leite", 7, "Sorbets", 10, "Gelatos de Leite com Fruta", 13, "Chocolate base água", 16, "Vegano", 19, "Alcoólicos", 22, "Zero", 25, "Gelatos Proteicos", 28, 7), 3)) + (ROUND(K240,4) &gt; INDEX('Tabela de ingredientes'!$O$1:$V$30, SWITCH(B240, "Gelatos de Leite", 8, "Sorbets", 11, "Gelatos de Leite com Fruta", 14, "Chocolate base água", 17, "Vegano", 20, "Alcoólicos", 23, "Zero", 26, "Gelatos Proteicos", 29, 8), 3)) + (ROUND(L240,4) &lt; INDEX('Tabela de ingredientes'!$O$1:$V$30, SWITCH(B240, "Gelatos de Leite", 7, "Sorbets", 10, "Gelatos de Leite com Fruta", 13, "Chocolate base água", 16, "Vegano", 19, "Alcoólicos", 22, "Zero", 25, "Gelatos Proteicos", 28, 7), 4)) + (ROUND(L240,4) &gt; INDEX('Tabela de ingredientes'!$O$1:$V$30, SWITCH(B240, "Gelatos de Leite", 8, "Sorbets", 11, "Gelatos de Leite com Fruta", 14, "Chocolate base água", 17, "Vegano", 20, "Alcoólicos", 23, "Zero", 26, "Gelatos Proteicos", 29, 8), 4)) + (ROUND(M240,4) &lt; INDEX('Tabela de ingredientes'!$O$1:$V$30, SWITCH(B240, "Gelatos de Leite", 7, "Sorbets", 10, "Gelatos de Leite com Fruta", 13, "Chocolate base água", 16, "Vegano", 19, "Alcoólicos", 22, "Zero", 25, "Gelatos Proteicos", 28, 7), 5)) + (ROUND(M240,4) &gt; INDEX('Tabela de ingredientes'!$O$1:$V$30, SWITCH(B240, "Gelatos de Leite", 8, "Sorbets", 11, "Gelatos de Leite com Fruta", 14, "Chocolate base água", 17, "Vegano", 20, "Alcoólicos", 23, "Zero", 26, "Gelatos Proteicos", 29, 8), 5)) + (ROUND(N240,4) &lt; INDEX('Tabela de ingredientes'!$O$1:$V$30, SWITCH(B240, "Gelatos de Leite", 7, "Sorbets", 10, "Gelatos de Leite com Fruta", 13, "Chocolate base água", 16, "Vegano", 19, "Alcoólicos", 22, "Zero", 25, "Gelatos Proteicos", 28, 7), 6)) + (ROUND(N240,4) &gt; INDEX('Tabela de ingredientes'!$O$1:$V$30, SWITCH(B240, "Gelatos de Leite", 8, "Sorbets", 11, "Gelatos de Leite com Fruta", 14, "Chocolate base água", 17, "Vegano", 20, "Alcoólicos", 23, "Zero", 26, "Gelatos Proteicos", 29, 8), 6)) + (ROUND(O240,4) &lt; INDEX('Tabela de ingredientes'!$O$1:$V$30, SWITCH(B240, "Gelatos de Leite", 7, "Sorbets", 10, "Gelatos de Leite com Fruta", 13, "Chocolate base água", 16, "Vegano", 19, "Alcoólicos", 22, "Zero", 25, "Gelatos Proteicos", 28, 7), 7)) + (ROUND(O240,4) &gt; INDEX('Tabela de ingredientes'!$O$1:$V$30, SWITCH(B240, "Gelatos de Leite", 8, "Sorbets", 11, "Gelatos de Leite com Fruta", 14, "Chocolate base água", 17, "Vegano", 20, "Alcoólicos", 23, "Zero", 26, "Gelatos Proteicos", 29, 8), 7)) + (ROUND(P240,4) &lt; INDEX('Tabela de ingredientes'!$O$1:$V$30, SWITCH(B240, "Gelatos de Leite", 7, "Sorbets", 10, "Gelatos de Leite com Fruta", 13, "Chocolate base água", 16, "Vegano", 19, "Alcoólicos", 22, "Zero", 25, "Gelatos Proteicos", 28, 7), 8)) + (ROUND(P240,4) &gt; INDEX('Tabela de ingredientes'!$O$1:$V$30, SWITCH(B240, "Gelatos de Leite", 8, "Sorbets", 11, "Gelatos de Leite com Fruta", 14, "Chocolate base água", 17, "Vegano", 20, "Alcoólicos", 23, "Zero", 26, "Gelatos Proteicos", 29, 8), 8)) + IF(B240="Gelatos Proteicos", (ROUND(Q240,4)&lt;'Tabela de ingredientes'!$W$28)+(ROUND(Q240,4)&gt;'Tabela de ingredientes'!$W$29), 0) = 0, "Ok", "Revisar"))</f>
        <v/>
      </c>
    </row>
    <row r="241">
      <c r="A241" s="264"/>
      <c r="B241" s="264" t="s">
        <v>187</v>
      </c>
      <c r="C241" s="264" t="s">
        <v>187</v>
      </c>
      <c r="D241" s="264" t="s">
        <v>187</v>
      </c>
      <c r="E241" s="264" t="s">
        <v>187</v>
      </c>
      <c r="F241" s="264" t="s">
        <v>187</v>
      </c>
      <c r="G241" s="264" t="s">
        <v>187</v>
      </c>
      <c r="H241" s="264" t="s">
        <v>187</v>
      </c>
      <c r="I241" s="264" t="s">
        <v>187</v>
      </c>
      <c r="J241" s="264" t="s">
        <v>187</v>
      </c>
      <c r="K241" s="264" t="s">
        <v>187</v>
      </c>
      <c r="L241" s="264" t="s">
        <v>187</v>
      </c>
      <c r="M241" s="264" t="s">
        <v>187</v>
      </c>
      <c r="N241" s="264" t="s">
        <v>187</v>
      </c>
      <c r="O241" s="264" t="s">
        <v>187</v>
      </c>
      <c r="P241" s="264" t="s">
        <v>187</v>
      </c>
      <c r="Q241" s="264" t="s">
        <v>187</v>
      </c>
      <c r="R241" s="264" t="s">
        <v>187</v>
      </c>
      <c r="S241" s="97" t="str">
        <f t="array" ref="S241">IF(A241="","", IF( (ROUND(I241,4) &lt; INDEX('Tabela de ingredientes'!$O$1:$V$30, SWITCH(B241, "Gelatos de Leite", 7, "Sorbets", 10, "Gelatos de Leite com Fruta", 13, "Chocolate base água", 16, "Vegano", 19, "Alcoólicos", 22, "Zero", 25, "Gelatos Proteicos", 28, 7), 1)) + (ROUND(I241,4) &gt; INDEX('Tabela de ingredientes'!$O$1:$V$30, SWITCH(B241, "Gelatos de Leite", 8, "Sorbets", 11, "Gelatos de Leite com Fruta", 14, "Chocolate base água", 17, "Vegano", 20, "Alcoólicos", 23, "Zero", 26, "Gelatos Proteicos", 29, 8), 1)) + (ROUND(J241,4) &lt; INDEX('Tabela de ingredientes'!$O$1:$V$30, SWITCH(B241, "Gelatos de Leite", 7, "Sorbets", 10, "Gelatos de Leite com Fruta", 13, "Chocolate base água", 16, "Vegano", 19, "Alcoólicos", 22, "Zero", 25, "Gelatos Proteicos", 28, 7), 2)) + (ROUND(J241,4) &gt; INDEX('Tabela de ingredientes'!$O$1:$V$30, SWITCH(B241, "Gelatos de Leite", 8, "Sorbets", 11, "Gelatos de Leite com Fruta", 14, "Chocolate base água", 17, "Vegano", 20, "Alcoólicos", 23, "Zero", 26, "Gelatos Proteicos", 29, 8), 2)) + (ROUND(K241,4) &lt; INDEX('Tabela de ingredientes'!$O$1:$V$30, SWITCH(B241, "Gelatos de Leite", 7, "Sorbets", 10, "Gelatos de Leite com Fruta", 13, "Chocolate base água", 16, "Vegano", 19, "Alcoólicos", 22, "Zero", 25, "Gelatos Proteicos", 28, 7), 3)) + (ROUND(K241,4) &gt; INDEX('Tabela de ingredientes'!$O$1:$V$30, SWITCH(B241, "Gelatos de Leite", 8, "Sorbets", 11, "Gelatos de Leite com Fruta", 14, "Chocolate base água", 17, "Vegano", 20, "Alcoólicos", 23, "Zero", 26, "Gelatos Proteicos", 29, 8), 3)) + (ROUND(L241,4) &lt; INDEX('Tabela de ingredientes'!$O$1:$V$30, SWITCH(B241, "Gelatos de Leite", 7, "Sorbets", 10, "Gelatos de Leite com Fruta", 13, "Chocolate base água", 16, "Vegano", 19, "Alcoólicos", 22, "Zero", 25, "Gelatos Proteicos", 28, 7), 4)) + (ROUND(L241,4) &gt; INDEX('Tabela de ingredientes'!$O$1:$V$30, SWITCH(B241, "Gelatos de Leite", 8, "Sorbets", 11, "Gelatos de Leite com Fruta", 14, "Chocolate base água", 17, "Vegano", 20, "Alcoólicos", 23, "Zero", 26, "Gelatos Proteicos", 29, 8), 4)) + (ROUND(M241,4) &lt; INDEX('Tabela de ingredientes'!$O$1:$V$30, SWITCH(B241, "Gelatos de Leite", 7, "Sorbets", 10, "Gelatos de Leite com Fruta", 13, "Chocolate base água", 16, "Vegano", 19, "Alcoólicos", 22, "Zero", 25, "Gelatos Proteicos", 28, 7), 5)) + (ROUND(M241,4) &gt; INDEX('Tabela de ingredientes'!$O$1:$V$30, SWITCH(B241, "Gelatos de Leite", 8, "Sorbets", 11, "Gelatos de Leite com Fruta", 14, "Chocolate base água", 17, "Vegano", 20, "Alcoólicos", 23, "Zero", 26, "Gelatos Proteicos", 29, 8), 5)) + (ROUND(N241,4) &lt; INDEX('Tabela de ingredientes'!$O$1:$V$30, SWITCH(B241, "Gelatos de Leite", 7, "Sorbets", 10, "Gelatos de Leite com Fruta", 13, "Chocolate base água", 16, "Vegano", 19, "Alcoólicos", 22, "Zero", 25, "Gelatos Proteicos", 28, 7), 6)) + (ROUND(N241,4) &gt; INDEX('Tabela de ingredientes'!$O$1:$V$30, SWITCH(B241, "Gelatos de Leite", 8, "Sorbets", 11, "Gelatos de Leite com Fruta", 14, "Chocolate base água", 17, "Vegano", 20, "Alcoólicos", 23, "Zero", 26, "Gelatos Proteicos", 29, 8), 6)) + (ROUND(O241,4) &lt; INDEX('Tabela de ingredientes'!$O$1:$V$30, SWITCH(B241, "Gelatos de Leite", 7, "Sorbets", 10, "Gelatos de Leite com Fruta", 13, "Chocolate base água", 16, "Vegano", 19, "Alcoólicos", 22, "Zero", 25, "Gelatos Proteicos", 28, 7), 7)) + (ROUND(O241,4) &gt; INDEX('Tabela de ingredientes'!$O$1:$V$30, SWITCH(B241, "Gelatos de Leite", 8, "Sorbets", 11, "Gelatos de Leite com Fruta", 14, "Chocolate base água", 17, "Vegano", 20, "Alcoólicos", 23, "Zero", 26, "Gelatos Proteicos", 29, 8), 7)) + (ROUND(P241,4) &lt; INDEX('Tabela de ingredientes'!$O$1:$V$30, SWITCH(B241, "Gelatos de Leite", 7, "Sorbets", 10, "Gelatos de Leite com Fruta", 13, "Chocolate base água", 16, "Vegano", 19, "Alcoólicos", 22, "Zero", 25, "Gelatos Proteicos", 28, 7), 8)) + (ROUND(P241,4) &gt; INDEX('Tabela de ingredientes'!$O$1:$V$30, SWITCH(B241, "Gelatos de Leite", 8, "Sorbets", 11, "Gelatos de Leite com Fruta", 14, "Chocolate base água", 17, "Vegano", 20, "Alcoólicos", 23, "Zero", 26, "Gelatos Proteicos", 29, 8), 8)) + IF(B241="Gelatos Proteicos", (ROUND(Q241,4)&lt;'Tabela de ingredientes'!$W$28)+(ROUND(Q241,4)&gt;'Tabela de ingredientes'!$W$29), 0) = 0, "Ok", "Revisar"))</f>
        <v/>
      </c>
    </row>
    <row r="242">
      <c r="A242" s="264"/>
      <c r="B242" s="264" t="s">
        <v>187</v>
      </c>
      <c r="C242" s="264" t="s">
        <v>187</v>
      </c>
      <c r="D242" s="264" t="s">
        <v>187</v>
      </c>
      <c r="E242" s="264" t="s">
        <v>187</v>
      </c>
      <c r="F242" s="264" t="s">
        <v>187</v>
      </c>
      <c r="G242" s="264" t="s">
        <v>187</v>
      </c>
      <c r="H242" s="264" t="s">
        <v>187</v>
      </c>
      <c r="I242" s="264" t="s">
        <v>187</v>
      </c>
      <c r="J242" s="264" t="s">
        <v>187</v>
      </c>
      <c r="K242" s="264" t="s">
        <v>187</v>
      </c>
      <c r="L242" s="264" t="s">
        <v>187</v>
      </c>
      <c r="M242" s="264" t="s">
        <v>187</v>
      </c>
      <c r="N242" s="264" t="s">
        <v>187</v>
      </c>
      <c r="O242" s="264" t="s">
        <v>187</v>
      </c>
      <c r="P242" s="264" t="s">
        <v>187</v>
      </c>
      <c r="Q242" s="264" t="s">
        <v>187</v>
      </c>
      <c r="R242" s="264" t="s">
        <v>187</v>
      </c>
      <c r="S242" s="97" t="str">
        <f t="array" ref="S242">IF(A242="","", IF( (ROUND(I242,4) &lt; INDEX('Tabela de ingredientes'!$O$1:$V$30, SWITCH(B242, "Gelatos de Leite", 7, "Sorbets", 10, "Gelatos de Leite com Fruta", 13, "Chocolate base água", 16, "Vegano", 19, "Alcoólicos", 22, "Zero", 25, "Gelatos Proteicos", 28, 7), 1)) + (ROUND(I242,4) &gt; INDEX('Tabela de ingredientes'!$O$1:$V$30, SWITCH(B242, "Gelatos de Leite", 8, "Sorbets", 11, "Gelatos de Leite com Fruta", 14, "Chocolate base água", 17, "Vegano", 20, "Alcoólicos", 23, "Zero", 26, "Gelatos Proteicos", 29, 8), 1)) + (ROUND(J242,4) &lt; INDEX('Tabela de ingredientes'!$O$1:$V$30, SWITCH(B242, "Gelatos de Leite", 7, "Sorbets", 10, "Gelatos de Leite com Fruta", 13, "Chocolate base água", 16, "Vegano", 19, "Alcoólicos", 22, "Zero", 25, "Gelatos Proteicos", 28, 7), 2)) + (ROUND(J242,4) &gt; INDEX('Tabela de ingredientes'!$O$1:$V$30, SWITCH(B242, "Gelatos de Leite", 8, "Sorbets", 11, "Gelatos de Leite com Fruta", 14, "Chocolate base água", 17, "Vegano", 20, "Alcoólicos", 23, "Zero", 26, "Gelatos Proteicos", 29, 8), 2)) + (ROUND(K242,4) &lt; INDEX('Tabela de ingredientes'!$O$1:$V$30, SWITCH(B242, "Gelatos de Leite", 7, "Sorbets", 10, "Gelatos de Leite com Fruta", 13, "Chocolate base água", 16, "Vegano", 19, "Alcoólicos", 22, "Zero", 25, "Gelatos Proteicos", 28, 7), 3)) + (ROUND(K242,4) &gt; INDEX('Tabela de ingredientes'!$O$1:$V$30, SWITCH(B242, "Gelatos de Leite", 8, "Sorbets", 11, "Gelatos de Leite com Fruta", 14, "Chocolate base água", 17, "Vegano", 20, "Alcoólicos", 23, "Zero", 26, "Gelatos Proteicos", 29, 8), 3)) + (ROUND(L242,4) &lt; INDEX('Tabela de ingredientes'!$O$1:$V$30, SWITCH(B242, "Gelatos de Leite", 7, "Sorbets", 10, "Gelatos de Leite com Fruta", 13, "Chocolate base água", 16, "Vegano", 19, "Alcoólicos", 22, "Zero", 25, "Gelatos Proteicos", 28, 7), 4)) + (ROUND(L242,4) &gt; INDEX('Tabela de ingredientes'!$O$1:$V$30, SWITCH(B242, "Gelatos de Leite", 8, "Sorbets", 11, "Gelatos de Leite com Fruta", 14, "Chocolate base água", 17, "Vegano", 20, "Alcoólicos", 23, "Zero", 26, "Gelatos Proteicos", 29, 8), 4)) + (ROUND(M242,4) &lt; INDEX('Tabela de ingredientes'!$O$1:$V$30, SWITCH(B242, "Gelatos de Leite", 7, "Sorbets", 10, "Gelatos de Leite com Fruta", 13, "Chocolate base água", 16, "Vegano", 19, "Alcoólicos", 22, "Zero", 25, "Gelatos Proteicos", 28, 7), 5)) + (ROUND(M242,4) &gt; INDEX('Tabela de ingredientes'!$O$1:$V$30, SWITCH(B242, "Gelatos de Leite", 8, "Sorbets", 11, "Gelatos de Leite com Fruta", 14, "Chocolate base água", 17, "Vegano", 20, "Alcoólicos", 23, "Zero", 26, "Gelatos Proteicos", 29, 8), 5)) + (ROUND(N242,4) &lt; INDEX('Tabela de ingredientes'!$O$1:$V$30, SWITCH(B242, "Gelatos de Leite", 7, "Sorbets", 10, "Gelatos de Leite com Fruta", 13, "Chocolate base água", 16, "Vegano", 19, "Alcoólicos", 22, "Zero", 25, "Gelatos Proteicos", 28, 7), 6)) + (ROUND(N242,4) &gt; INDEX('Tabela de ingredientes'!$O$1:$V$30, SWITCH(B242, "Gelatos de Leite", 8, "Sorbets", 11, "Gelatos de Leite com Fruta", 14, "Chocolate base água", 17, "Vegano", 20, "Alcoólicos", 23, "Zero", 26, "Gelatos Proteicos", 29, 8), 6)) + (ROUND(O242,4) &lt; INDEX('Tabela de ingredientes'!$O$1:$V$30, SWITCH(B242, "Gelatos de Leite", 7, "Sorbets", 10, "Gelatos de Leite com Fruta", 13, "Chocolate base água", 16, "Vegano", 19, "Alcoólicos", 22, "Zero", 25, "Gelatos Proteicos", 28, 7), 7)) + (ROUND(O242,4) &gt; INDEX('Tabela de ingredientes'!$O$1:$V$30, SWITCH(B242, "Gelatos de Leite", 8, "Sorbets", 11, "Gelatos de Leite com Fruta", 14, "Chocolate base água", 17, "Vegano", 20, "Alcoólicos", 23, "Zero", 26, "Gelatos Proteicos", 29, 8), 7)) + (ROUND(P242,4) &lt; INDEX('Tabela de ingredientes'!$O$1:$V$30, SWITCH(B242, "Gelatos de Leite", 7, "Sorbets", 10, "Gelatos de Leite com Fruta", 13, "Chocolate base água", 16, "Vegano", 19, "Alcoólicos", 22, "Zero", 25, "Gelatos Proteicos", 28, 7), 8)) + (ROUND(P242,4) &gt; INDEX('Tabela de ingredientes'!$O$1:$V$30, SWITCH(B242, "Gelatos de Leite", 8, "Sorbets", 11, "Gelatos de Leite com Fruta", 14, "Chocolate base água", 17, "Vegano", 20, "Alcoólicos", 23, "Zero", 26, "Gelatos Proteicos", 29, 8), 8)) + IF(B242="Gelatos Proteicos", (ROUND(Q242,4)&lt;'Tabela de ingredientes'!$W$28)+(ROUND(Q242,4)&gt;'Tabela de ingredientes'!$W$29), 0) = 0, "Ok", "Revisar"))</f>
        <v/>
      </c>
    </row>
    <row r="243">
      <c r="A243" s="264"/>
      <c r="B243" s="264" t="s">
        <v>187</v>
      </c>
      <c r="C243" s="264" t="s">
        <v>187</v>
      </c>
      <c r="D243" s="264" t="s">
        <v>187</v>
      </c>
      <c r="E243" s="264" t="s">
        <v>187</v>
      </c>
      <c r="F243" s="264" t="s">
        <v>187</v>
      </c>
      <c r="G243" s="264" t="s">
        <v>187</v>
      </c>
      <c r="H243" s="264" t="s">
        <v>187</v>
      </c>
      <c r="I243" s="264" t="s">
        <v>187</v>
      </c>
      <c r="J243" s="264" t="s">
        <v>187</v>
      </c>
      <c r="K243" s="264" t="s">
        <v>187</v>
      </c>
      <c r="L243" s="264" t="s">
        <v>187</v>
      </c>
      <c r="M243" s="264" t="s">
        <v>187</v>
      </c>
      <c r="N243" s="264" t="s">
        <v>187</v>
      </c>
      <c r="O243" s="264" t="s">
        <v>187</v>
      </c>
      <c r="P243" s="264" t="s">
        <v>187</v>
      </c>
      <c r="Q243" s="264" t="s">
        <v>187</v>
      </c>
      <c r="R243" s="264" t="s">
        <v>187</v>
      </c>
      <c r="S243" s="97" t="str">
        <f t="array" ref="S243">IF(A243="","", IF( (ROUND(I243,4) &lt; INDEX('Tabela de ingredientes'!$O$1:$V$30, SWITCH(B243, "Gelatos de Leite", 7, "Sorbets", 10, "Gelatos de Leite com Fruta", 13, "Chocolate base água", 16, "Vegano", 19, "Alcoólicos", 22, "Zero", 25, "Gelatos Proteicos", 28, 7), 1)) + (ROUND(I243,4) &gt; INDEX('Tabela de ingredientes'!$O$1:$V$30, SWITCH(B243, "Gelatos de Leite", 8, "Sorbets", 11, "Gelatos de Leite com Fruta", 14, "Chocolate base água", 17, "Vegano", 20, "Alcoólicos", 23, "Zero", 26, "Gelatos Proteicos", 29, 8), 1)) + (ROUND(J243,4) &lt; INDEX('Tabela de ingredientes'!$O$1:$V$30, SWITCH(B243, "Gelatos de Leite", 7, "Sorbets", 10, "Gelatos de Leite com Fruta", 13, "Chocolate base água", 16, "Vegano", 19, "Alcoólicos", 22, "Zero", 25, "Gelatos Proteicos", 28, 7), 2)) + (ROUND(J243,4) &gt; INDEX('Tabela de ingredientes'!$O$1:$V$30, SWITCH(B243, "Gelatos de Leite", 8, "Sorbets", 11, "Gelatos de Leite com Fruta", 14, "Chocolate base água", 17, "Vegano", 20, "Alcoólicos", 23, "Zero", 26, "Gelatos Proteicos", 29, 8), 2)) + (ROUND(K243,4) &lt; INDEX('Tabela de ingredientes'!$O$1:$V$30, SWITCH(B243, "Gelatos de Leite", 7, "Sorbets", 10, "Gelatos de Leite com Fruta", 13, "Chocolate base água", 16, "Vegano", 19, "Alcoólicos", 22, "Zero", 25, "Gelatos Proteicos", 28, 7), 3)) + (ROUND(K243,4) &gt; INDEX('Tabela de ingredientes'!$O$1:$V$30, SWITCH(B243, "Gelatos de Leite", 8, "Sorbets", 11, "Gelatos de Leite com Fruta", 14, "Chocolate base água", 17, "Vegano", 20, "Alcoólicos", 23, "Zero", 26, "Gelatos Proteicos", 29, 8), 3)) + (ROUND(L243,4) &lt; INDEX('Tabela de ingredientes'!$O$1:$V$30, SWITCH(B243, "Gelatos de Leite", 7, "Sorbets", 10, "Gelatos de Leite com Fruta", 13, "Chocolate base água", 16, "Vegano", 19, "Alcoólicos", 22, "Zero", 25, "Gelatos Proteicos", 28, 7), 4)) + (ROUND(L243,4) &gt; INDEX('Tabela de ingredientes'!$O$1:$V$30, SWITCH(B243, "Gelatos de Leite", 8, "Sorbets", 11, "Gelatos de Leite com Fruta", 14, "Chocolate base água", 17, "Vegano", 20, "Alcoólicos", 23, "Zero", 26, "Gelatos Proteicos", 29, 8), 4)) + (ROUND(M243,4) &lt; INDEX('Tabela de ingredientes'!$O$1:$V$30, SWITCH(B243, "Gelatos de Leite", 7, "Sorbets", 10, "Gelatos de Leite com Fruta", 13, "Chocolate base água", 16, "Vegano", 19, "Alcoólicos", 22, "Zero", 25, "Gelatos Proteicos", 28, 7), 5)) + (ROUND(M243,4) &gt; INDEX('Tabela de ingredientes'!$O$1:$V$30, SWITCH(B243, "Gelatos de Leite", 8, "Sorbets", 11, "Gelatos de Leite com Fruta", 14, "Chocolate base água", 17, "Vegano", 20, "Alcoólicos", 23, "Zero", 26, "Gelatos Proteicos", 29, 8), 5)) + (ROUND(N243,4) &lt; INDEX('Tabela de ingredientes'!$O$1:$V$30, SWITCH(B243, "Gelatos de Leite", 7, "Sorbets", 10, "Gelatos de Leite com Fruta", 13, "Chocolate base água", 16, "Vegano", 19, "Alcoólicos", 22, "Zero", 25, "Gelatos Proteicos", 28, 7), 6)) + (ROUND(N243,4) &gt; INDEX('Tabela de ingredientes'!$O$1:$V$30, SWITCH(B243, "Gelatos de Leite", 8, "Sorbets", 11, "Gelatos de Leite com Fruta", 14, "Chocolate base água", 17, "Vegano", 20, "Alcoólicos", 23, "Zero", 26, "Gelatos Proteicos", 29, 8), 6)) + (ROUND(O243,4) &lt; INDEX('Tabela de ingredientes'!$O$1:$V$30, SWITCH(B243, "Gelatos de Leite", 7, "Sorbets", 10, "Gelatos de Leite com Fruta", 13, "Chocolate base água", 16, "Vegano", 19, "Alcoólicos", 22, "Zero", 25, "Gelatos Proteicos", 28, 7), 7)) + (ROUND(O243,4) &gt; INDEX('Tabela de ingredientes'!$O$1:$V$30, SWITCH(B243, "Gelatos de Leite", 8, "Sorbets", 11, "Gelatos de Leite com Fruta", 14, "Chocolate base água", 17, "Vegano", 20, "Alcoólicos", 23, "Zero", 26, "Gelatos Proteicos", 29, 8), 7)) + (ROUND(P243,4) &lt; INDEX('Tabela de ingredientes'!$O$1:$V$30, SWITCH(B243, "Gelatos de Leite", 7, "Sorbets", 10, "Gelatos de Leite com Fruta", 13, "Chocolate base água", 16, "Vegano", 19, "Alcoólicos", 22, "Zero", 25, "Gelatos Proteicos", 28, 7), 8)) + (ROUND(P243,4) &gt; INDEX('Tabela de ingredientes'!$O$1:$V$30, SWITCH(B243, "Gelatos de Leite", 8, "Sorbets", 11, "Gelatos de Leite com Fruta", 14, "Chocolate base água", 17, "Vegano", 20, "Alcoólicos", 23, "Zero", 26, "Gelatos Proteicos", 29, 8), 8)) + IF(B243="Gelatos Proteicos", (ROUND(Q243,4)&lt;'Tabela de ingredientes'!$W$28)+(ROUND(Q243,4)&gt;'Tabela de ingredientes'!$W$29), 0) = 0, "Ok", "Revisar"))</f>
        <v/>
      </c>
    </row>
    <row r="244">
      <c r="A244" s="264"/>
      <c r="B244" s="264" t="s">
        <v>187</v>
      </c>
      <c r="C244" s="264" t="s">
        <v>187</v>
      </c>
      <c r="D244" s="264" t="s">
        <v>187</v>
      </c>
      <c r="E244" s="264" t="s">
        <v>187</v>
      </c>
      <c r="F244" s="264" t="s">
        <v>187</v>
      </c>
      <c r="G244" s="264" t="s">
        <v>187</v>
      </c>
      <c r="H244" s="264" t="s">
        <v>187</v>
      </c>
      <c r="I244" s="264" t="s">
        <v>187</v>
      </c>
      <c r="J244" s="264" t="s">
        <v>187</v>
      </c>
      <c r="K244" s="264" t="s">
        <v>187</v>
      </c>
      <c r="L244" s="264" t="s">
        <v>187</v>
      </c>
      <c r="M244" s="264" t="s">
        <v>187</v>
      </c>
      <c r="N244" s="264" t="s">
        <v>187</v>
      </c>
      <c r="O244" s="264" t="s">
        <v>187</v>
      </c>
      <c r="P244" s="264" t="s">
        <v>187</v>
      </c>
      <c r="Q244" s="264" t="s">
        <v>187</v>
      </c>
      <c r="R244" s="264" t="s">
        <v>187</v>
      </c>
      <c r="S244" s="97" t="str">
        <f t="array" ref="S244">IF(A244="","", IF( (ROUND(I244,4) &lt; INDEX('Tabela de ingredientes'!$O$1:$V$30, SWITCH(B244, "Gelatos de Leite", 7, "Sorbets", 10, "Gelatos de Leite com Fruta", 13, "Chocolate base água", 16, "Vegano", 19, "Alcoólicos", 22, "Zero", 25, "Gelatos Proteicos", 28, 7), 1)) + (ROUND(I244,4) &gt; INDEX('Tabela de ingredientes'!$O$1:$V$30, SWITCH(B244, "Gelatos de Leite", 8, "Sorbets", 11, "Gelatos de Leite com Fruta", 14, "Chocolate base água", 17, "Vegano", 20, "Alcoólicos", 23, "Zero", 26, "Gelatos Proteicos", 29, 8), 1)) + (ROUND(J244,4) &lt; INDEX('Tabela de ingredientes'!$O$1:$V$30, SWITCH(B244, "Gelatos de Leite", 7, "Sorbets", 10, "Gelatos de Leite com Fruta", 13, "Chocolate base água", 16, "Vegano", 19, "Alcoólicos", 22, "Zero", 25, "Gelatos Proteicos", 28, 7), 2)) + (ROUND(J244,4) &gt; INDEX('Tabela de ingredientes'!$O$1:$V$30, SWITCH(B244, "Gelatos de Leite", 8, "Sorbets", 11, "Gelatos de Leite com Fruta", 14, "Chocolate base água", 17, "Vegano", 20, "Alcoólicos", 23, "Zero", 26, "Gelatos Proteicos", 29, 8), 2)) + (ROUND(K244,4) &lt; INDEX('Tabela de ingredientes'!$O$1:$V$30, SWITCH(B244, "Gelatos de Leite", 7, "Sorbets", 10, "Gelatos de Leite com Fruta", 13, "Chocolate base água", 16, "Vegano", 19, "Alcoólicos", 22, "Zero", 25, "Gelatos Proteicos", 28, 7), 3)) + (ROUND(K244,4) &gt; INDEX('Tabela de ingredientes'!$O$1:$V$30, SWITCH(B244, "Gelatos de Leite", 8, "Sorbets", 11, "Gelatos de Leite com Fruta", 14, "Chocolate base água", 17, "Vegano", 20, "Alcoólicos", 23, "Zero", 26, "Gelatos Proteicos", 29, 8), 3)) + (ROUND(L244,4) &lt; INDEX('Tabela de ingredientes'!$O$1:$V$30, SWITCH(B244, "Gelatos de Leite", 7, "Sorbets", 10, "Gelatos de Leite com Fruta", 13, "Chocolate base água", 16, "Vegano", 19, "Alcoólicos", 22, "Zero", 25, "Gelatos Proteicos", 28, 7), 4)) + (ROUND(L244,4) &gt; INDEX('Tabela de ingredientes'!$O$1:$V$30, SWITCH(B244, "Gelatos de Leite", 8, "Sorbets", 11, "Gelatos de Leite com Fruta", 14, "Chocolate base água", 17, "Vegano", 20, "Alcoólicos", 23, "Zero", 26, "Gelatos Proteicos", 29, 8), 4)) + (ROUND(M244,4) &lt; INDEX('Tabela de ingredientes'!$O$1:$V$30, SWITCH(B244, "Gelatos de Leite", 7, "Sorbets", 10, "Gelatos de Leite com Fruta", 13, "Chocolate base água", 16, "Vegano", 19, "Alcoólicos", 22, "Zero", 25, "Gelatos Proteicos", 28, 7), 5)) + (ROUND(M244,4) &gt; INDEX('Tabela de ingredientes'!$O$1:$V$30, SWITCH(B244, "Gelatos de Leite", 8, "Sorbets", 11, "Gelatos de Leite com Fruta", 14, "Chocolate base água", 17, "Vegano", 20, "Alcoólicos", 23, "Zero", 26, "Gelatos Proteicos", 29, 8), 5)) + (ROUND(N244,4) &lt; INDEX('Tabela de ingredientes'!$O$1:$V$30, SWITCH(B244, "Gelatos de Leite", 7, "Sorbets", 10, "Gelatos de Leite com Fruta", 13, "Chocolate base água", 16, "Vegano", 19, "Alcoólicos", 22, "Zero", 25, "Gelatos Proteicos", 28, 7), 6)) + (ROUND(N244,4) &gt; INDEX('Tabela de ingredientes'!$O$1:$V$30, SWITCH(B244, "Gelatos de Leite", 8, "Sorbets", 11, "Gelatos de Leite com Fruta", 14, "Chocolate base água", 17, "Vegano", 20, "Alcoólicos", 23, "Zero", 26, "Gelatos Proteicos", 29, 8), 6)) + (ROUND(O244,4) &lt; INDEX('Tabela de ingredientes'!$O$1:$V$30, SWITCH(B244, "Gelatos de Leite", 7, "Sorbets", 10, "Gelatos de Leite com Fruta", 13, "Chocolate base água", 16, "Vegano", 19, "Alcoólicos", 22, "Zero", 25, "Gelatos Proteicos", 28, 7), 7)) + (ROUND(O244,4) &gt; INDEX('Tabela de ingredientes'!$O$1:$V$30, SWITCH(B244, "Gelatos de Leite", 8, "Sorbets", 11, "Gelatos de Leite com Fruta", 14, "Chocolate base água", 17, "Vegano", 20, "Alcoólicos", 23, "Zero", 26, "Gelatos Proteicos", 29, 8), 7)) + (ROUND(P244,4) &lt; INDEX('Tabela de ingredientes'!$O$1:$V$30, SWITCH(B244, "Gelatos de Leite", 7, "Sorbets", 10, "Gelatos de Leite com Fruta", 13, "Chocolate base água", 16, "Vegano", 19, "Alcoólicos", 22, "Zero", 25, "Gelatos Proteicos", 28, 7), 8)) + (ROUND(P244,4) &gt; INDEX('Tabela de ingredientes'!$O$1:$V$30, SWITCH(B244, "Gelatos de Leite", 8, "Sorbets", 11, "Gelatos de Leite com Fruta", 14, "Chocolate base água", 17, "Vegano", 20, "Alcoólicos", 23, "Zero", 26, "Gelatos Proteicos", 29, 8), 8)) + IF(B244="Gelatos Proteicos", (ROUND(Q244,4)&lt;'Tabela de ingredientes'!$W$28)+(ROUND(Q244,4)&gt;'Tabela de ingredientes'!$W$29), 0) = 0, "Ok", "Revisar"))</f>
        <v/>
      </c>
    </row>
    <row r="245">
      <c r="A245" s="264"/>
      <c r="B245" s="264" t="s">
        <v>187</v>
      </c>
      <c r="C245" s="264" t="s">
        <v>187</v>
      </c>
      <c r="D245" s="264" t="s">
        <v>187</v>
      </c>
      <c r="E245" s="264" t="s">
        <v>187</v>
      </c>
      <c r="F245" s="264" t="s">
        <v>187</v>
      </c>
      <c r="G245" s="264" t="s">
        <v>187</v>
      </c>
      <c r="H245" s="264" t="s">
        <v>187</v>
      </c>
      <c r="I245" s="264" t="s">
        <v>187</v>
      </c>
      <c r="J245" s="264" t="s">
        <v>187</v>
      </c>
      <c r="K245" s="264" t="s">
        <v>187</v>
      </c>
      <c r="L245" s="264" t="s">
        <v>187</v>
      </c>
      <c r="M245" s="264" t="s">
        <v>187</v>
      </c>
      <c r="N245" s="264" t="s">
        <v>187</v>
      </c>
      <c r="O245" s="264" t="s">
        <v>187</v>
      </c>
      <c r="P245" s="264" t="s">
        <v>187</v>
      </c>
      <c r="Q245" s="264" t="s">
        <v>187</v>
      </c>
      <c r="R245" s="264" t="s">
        <v>187</v>
      </c>
      <c r="S245" s="97" t="str">
        <f t="array" ref="S245">IF(A245="","", IF( (ROUND(I245,4) &lt; INDEX('Tabela de ingredientes'!$O$1:$V$30, SWITCH(B245, "Gelatos de Leite", 7, "Sorbets", 10, "Gelatos de Leite com Fruta", 13, "Chocolate base água", 16, "Vegano", 19, "Alcoólicos", 22, "Zero", 25, "Gelatos Proteicos", 28, 7), 1)) + (ROUND(I245,4) &gt; INDEX('Tabela de ingredientes'!$O$1:$V$30, SWITCH(B245, "Gelatos de Leite", 8, "Sorbets", 11, "Gelatos de Leite com Fruta", 14, "Chocolate base água", 17, "Vegano", 20, "Alcoólicos", 23, "Zero", 26, "Gelatos Proteicos", 29, 8), 1)) + (ROUND(J245,4) &lt; INDEX('Tabela de ingredientes'!$O$1:$V$30, SWITCH(B245, "Gelatos de Leite", 7, "Sorbets", 10, "Gelatos de Leite com Fruta", 13, "Chocolate base água", 16, "Vegano", 19, "Alcoólicos", 22, "Zero", 25, "Gelatos Proteicos", 28, 7), 2)) + (ROUND(J245,4) &gt; INDEX('Tabela de ingredientes'!$O$1:$V$30, SWITCH(B245, "Gelatos de Leite", 8, "Sorbets", 11, "Gelatos de Leite com Fruta", 14, "Chocolate base água", 17, "Vegano", 20, "Alcoólicos", 23, "Zero", 26, "Gelatos Proteicos", 29, 8), 2)) + (ROUND(K245,4) &lt; INDEX('Tabela de ingredientes'!$O$1:$V$30, SWITCH(B245, "Gelatos de Leite", 7, "Sorbets", 10, "Gelatos de Leite com Fruta", 13, "Chocolate base água", 16, "Vegano", 19, "Alcoólicos", 22, "Zero", 25, "Gelatos Proteicos", 28, 7), 3)) + (ROUND(K245,4) &gt; INDEX('Tabela de ingredientes'!$O$1:$V$30, SWITCH(B245, "Gelatos de Leite", 8, "Sorbets", 11, "Gelatos de Leite com Fruta", 14, "Chocolate base água", 17, "Vegano", 20, "Alcoólicos", 23, "Zero", 26, "Gelatos Proteicos", 29, 8), 3)) + (ROUND(L245,4) &lt; INDEX('Tabela de ingredientes'!$O$1:$V$30, SWITCH(B245, "Gelatos de Leite", 7, "Sorbets", 10, "Gelatos de Leite com Fruta", 13, "Chocolate base água", 16, "Vegano", 19, "Alcoólicos", 22, "Zero", 25, "Gelatos Proteicos", 28, 7), 4)) + (ROUND(L245,4) &gt; INDEX('Tabela de ingredientes'!$O$1:$V$30, SWITCH(B245, "Gelatos de Leite", 8, "Sorbets", 11, "Gelatos de Leite com Fruta", 14, "Chocolate base água", 17, "Vegano", 20, "Alcoólicos", 23, "Zero", 26, "Gelatos Proteicos", 29, 8), 4)) + (ROUND(M245,4) &lt; INDEX('Tabela de ingredientes'!$O$1:$V$30, SWITCH(B245, "Gelatos de Leite", 7, "Sorbets", 10, "Gelatos de Leite com Fruta", 13, "Chocolate base água", 16, "Vegano", 19, "Alcoólicos", 22, "Zero", 25, "Gelatos Proteicos", 28, 7), 5)) + (ROUND(M245,4) &gt; INDEX('Tabela de ingredientes'!$O$1:$V$30, SWITCH(B245, "Gelatos de Leite", 8, "Sorbets", 11, "Gelatos de Leite com Fruta", 14, "Chocolate base água", 17, "Vegano", 20, "Alcoólicos", 23, "Zero", 26, "Gelatos Proteicos", 29, 8), 5)) + (ROUND(N245,4) &lt; INDEX('Tabela de ingredientes'!$O$1:$V$30, SWITCH(B245, "Gelatos de Leite", 7, "Sorbets", 10, "Gelatos de Leite com Fruta", 13, "Chocolate base água", 16, "Vegano", 19, "Alcoólicos", 22, "Zero", 25, "Gelatos Proteicos", 28, 7), 6)) + (ROUND(N245,4) &gt; INDEX('Tabela de ingredientes'!$O$1:$V$30, SWITCH(B245, "Gelatos de Leite", 8, "Sorbets", 11, "Gelatos de Leite com Fruta", 14, "Chocolate base água", 17, "Vegano", 20, "Alcoólicos", 23, "Zero", 26, "Gelatos Proteicos", 29, 8), 6)) + (ROUND(O245,4) &lt; INDEX('Tabela de ingredientes'!$O$1:$V$30, SWITCH(B245, "Gelatos de Leite", 7, "Sorbets", 10, "Gelatos de Leite com Fruta", 13, "Chocolate base água", 16, "Vegano", 19, "Alcoólicos", 22, "Zero", 25, "Gelatos Proteicos", 28, 7), 7)) + (ROUND(O245,4) &gt; INDEX('Tabela de ingredientes'!$O$1:$V$30, SWITCH(B245, "Gelatos de Leite", 8, "Sorbets", 11, "Gelatos de Leite com Fruta", 14, "Chocolate base água", 17, "Vegano", 20, "Alcoólicos", 23, "Zero", 26, "Gelatos Proteicos", 29, 8), 7)) + (ROUND(P245,4) &lt; INDEX('Tabela de ingredientes'!$O$1:$V$30, SWITCH(B245, "Gelatos de Leite", 7, "Sorbets", 10, "Gelatos de Leite com Fruta", 13, "Chocolate base água", 16, "Vegano", 19, "Alcoólicos", 22, "Zero", 25, "Gelatos Proteicos", 28, 7), 8)) + (ROUND(P245,4) &gt; INDEX('Tabela de ingredientes'!$O$1:$V$30, SWITCH(B245, "Gelatos de Leite", 8, "Sorbets", 11, "Gelatos de Leite com Fruta", 14, "Chocolate base água", 17, "Vegano", 20, "Alcoólicos", 23, "Zero", 26, "Gelatos Proteicos", 29, 8), 8)) + IF(B245="Gelatos Proteicos", (ROUND(Q245,4)&lt;'Tabela de ingredientes'!$W$28)+(ROUND(Q245,4)&gt;'Tabela de ingredientes'!$W$29), 0) = 0, "Ok", "Revisar"))</f>
        <v/>
      </c>
    </row>
    <row r="246">
      <c r="A246" s="264"/>
      <c r="B246" s="264" t="s">
        <v>187</v>
      </c>
      <c r="C246" s="264" t="s">
        <v>187</v>
      </c>
      <c r="D246" s="264" t="s">
        <v>187</v>
      </c>
      <c r="E246" s="264" t="s">
        <v>187</v>
      </c>
      <c r="F246" s="264" t="s">
        <v>187</v>
      </c>
      <c r="G246" s="264" t="s">
        <v>187</v>
      </c>
      <c r="H246" s="264" t="s">
        <v>187</v>
      </c>
      <c r="I246" s="264" t="s">
        <v>187</v>
      </c>
      <c r="J246" s="264" t="s">
        <v>187</v>
      </c>
      <c r="K246" s="264" t="s">
        <v>187</v>
      </c>
      <c r="L246" s="264" t="s">
        <v>187</v>
      </c>
      <c r="M246" s="264" t="s">
        <v>187</v>
      </c>
      <c r="N246" s="264" t="s">
        <v>187</v>
      </c>
      <c r="O246" s="264" t="s">
        <v>187</v>
      </c>
      <c r="P246" s="264" t="s">
        <v>187</v>
      </c>
      <c r="Q246" s="264" t="s">
        <v>187</v>
      </c>
      <c r="R246" s="264" t="s">
        <v>187</v>
      </c>
      <c r="S246" s="97" t="str">
        <f t="array" ref="S246">IF(A246="","", IF( (ROUND(I246,4) &lt; INDEX('Tabela de ingredientes'!$O$1:$V$30, SWITCH(B246, "Gelatos de Leite", 7, "Sorbets", 10, "Gelatos de Leite com Fruta", 13, "Chocolate base água", 16, "Vegano", 19, "Alcoólicos", 22, "Zero", 25, "Gelatos Proteicos", 28, 7), 1)) + (ROUND(I246,4) &gt; INDEX('Tabela de ingredientes'!$O$1:$V$30, SWITCH(B246, "Gelatos de Leite", 8, "Sorbets", 11, "Gelatos de Leite com Fruta", 14, "Chocolate base água", 17, "Vegano", 20, "Alcoólicos", 23, "Zero", 26, "Gelatos Proteicos", 29, 8), 1)) + (ROUND(J246,4) &lt; INDEX('Tabela de ingredientes'!$O$1:$V$30, SWITCH(B246, "Gelatos de Leite", 7, "Sorbets", 10, "Gelatos de Leite com Fruta", 13, "Chocolate base água", 16, "Vegano", 19, "Alcoólicos", 22, "Zero", 25, "Gelatos Proteicos", 28, 7), 2)) + (ROUND(J246,4) &gt; INDEX('Tabela de ingredientes'!$O$1:$V$30, SWITCH(B246, "Gelatos de Leite", 8, "Sorbets", 11, "Gelatos de Leite com Fruta", 14, "Chocolate base água", 17, "Vegano", 20, "Alcoólicos", 23, "Zero", 26, "Gelatos Proteicos", 29, 8), 2)) + (ROUND(K246,4) &lt; INDEX('Tabela de ingredientes'!$O$1:$V$30, SWITCH(B246, "Gelatos de Leite", 7, "Sorbets", 10, "Gelatos de Leite com Fruta", 13, "Chocolate base água", 16, "Vegano", 19, "Alcoólicos", 22, "Zero", 25, "Gelatos Proteicos", 28, 7), 3)) + (ROUND(K246,4) &gt; INDEX('Tabela de ingredientes'!$O$1:$V$30, SWITCH(B246, "Gelatos de Leite", 8, "Sorbets", 11, "Gelatos de Leite com Fruta", 14, "Chocolate base água", 17, "Vegano", 20, "Alcoólicos", 23, "Zero", 26, "Gelatos Proteicos", 29, 8), 3)) + (ROUND(L246,4) &lt; INDEX('Tabela de ingredientes'!$O$1:$V$30, SWITCH(B246, "Gelatos de Leite", 7, "Sorbets", 10, "Gelatos de Leite com Fruta", 13, "Chocolate base água", 16, "Vegano", 19, "Alcoólicos", 22, "Zero", 25, "Gelatos Proteicos", 28, 7), 4)) + (ROUND(L246,4) &gt; INDEX('Tabela de ingredientes'!$O$1:$V$30, SWITCH(B246, "Gelatos de Leite", 8, "Sorbets", 11, "Gelatos de Leite com Fruta", 14, "Chocolate base água", 17, "Vegano", 20, "Alcoólicos", 23, "Zero", 26, "Gelatos Proteicos", 29, 8), 4)) + (ROUND(M246,4) &lt; INDEX('Tabela de ingredientes'!$O$1:$V$30, SWITCH(B246, "Gelatos de Leite", 7, "Sorbets", 10, "Gelatos de Leite com Fruta", 13, "Chocolate base água", 16, "Vegano", 19, "Alcoólicos", 22, "Zero", 25, "Gelatos Proteicos", 28, 7), 5)) + (ROUND(M246,4) &gt; INDEX('Tabela de ingredientes'!$O$1:$V$30, SWITCH(B246, "Gelatos de Leite", 8, "Sorbets", 11, "Gelatos de Leite com Fruta", 14, "Chocolate base água", 17, "Vegano", 20, "Alcoólicos", 23, "Zero", 26, "Gelatos Proteicos", 29, 8), 5)) + (ROUND(N246,4) &lt; INDEX('Tabela de ingredientes'!$O$1:$V$30, SWITCH(B246, "Gelatos de Leite", 7, "Sorbets", 10, "Gelatos de Leite com Fruta", 13, "Chocolate base água", 16, "Vegano", 19, "Alcoólicos", 22, "Zero", 25, "Gelatos Proteicos", 28, 7), 6)) + (ROUND(N246,4) &gt; INDEX('Tabela de ingredientes'!$O$1:$V$30, SWITCH(B246, "Gelatos de Leite", 8, "Sorbets", 11, "Gelatos de Leite com Fruta", 14, "Chocolate base água", 17, "Vegano", 20, "Alcoólicos", 23, "Zero", 26, "Gelatos Proteicos", 29, 8), 6)) + (ROUND(O246,4) &lt; INDEX('Tabela de ingredientes'!$O$1:$V$30, SWITCH(B246, "Gelatos de Leite", 7, "Sorbets", 10, "Gelatos de Leite com Fruta", 13, "Chocolate base água", 16, "Vegano", 19, "Alcoólicos", 22, "Zero", 25, "Gelatos Proteicos", 28, 7), 7)) + (ROUND(O246,4) &gt; INDEX('Tabela de ingredientes'!$O$1:$V$30, SWITCH(B246, "Gelatos de Leite", 8, "Sorbets", 11, "Gelatos de Leite com Fruta", 14, "Chocolate base água", 17, "Vegano", 20, "Alcoólicos", 23, "Zero", 26, "Gelatos Proteicos", 29, 8), 7)) + (ROUND(P246,4) &lt; INDEX('Tabela de ingredientes'!$O$1:$V$30, SWITCH(B246, "Gelatos de Leite", 7, "Sorbets", 10, "Gelatos de Leite com Fruta", 13, "Chocolate base água", 16, "Vegano", 19, "Alcoólicos", 22, "Zero", 25, "Gelatos Proteicos", 28, 7), 8)) + (ROUND(P246,4) &gt; INDEX('Tabela de ingredientes'!$O$1:$V$30, SWITCH(B246, "Gelatos de Leite", 8, "Sorbets", 11, "Gelatos de Leite com Fruta", 14, "Chocolate base água", 17, "Vegano", 20, "Alcoólicos", 23, "Zero", 26, "Gelatos Proteicos", 29, 8), 8)) + IF(B246="Gelatos Proteicos", (ROUND(Q246,4)&lt;'Tabela de ingredientes'!$W$28)+(ROUND(Q246,4)&gt;'Tabela de ingredientes'!$W$29), 0) = 0, "Ok", "Revisar"))</f>
        <v/>
      </c>
    </row>
    <row r="247">
      <c r="A247" s="264"/>
      <c r="B247" s="264" t="s">
        <v>187</v>
      </c>
      <c r="C247" s="264" t="s">
        <v>187</v>
      </c>
      <c r="D247" s="264" t="s">
        <v>187</v>
      </c>
      <c r="E247" s="264" t="s">
        <v>187</v>
      </c>
      <c r="F247" s="264" t="s">
        <v>187</v>
      </c>
      <c r="G247" s="264" t="s">
        <v>187</v>
      </c>
      <c r="H247" s="264" t="s">
        <v>187</v>
      </c>
      <c r="I247" s="264" t="s">
        <v>187</v>
      </c>
      <c r="J247" s="264" t="s">
        <v>187</v>
      </c>
      <c r="K247" s="264" t="s">
        <v>187</v>
      </c>
      <c r="L247" s="264" t="s">
        <v>187</v>
      </c>
      <c r="M247" s="264" t="s">
        <v>187</v>
      </c>
      <c r="N247" s="264" t="s">
        <v>187</v>
      </c>
      <c r="O247" s="264" t="s">
        <v>187</v>
      </c>
      <c r="P247" s="264" t="s">
        <v>187</v>
      </c>
      <c r="Q247" s="264" t="s">
        <v>187</v>
      </c>
      <c r="R247" s="264" t="s">
        <v>187</v>
      </c>
      <c r="S247" s="97" t="str">
        <f t="array" ref="S247">IF(A247="","", IF( (ROUND(I247,4) &lt; INDEX('Tabela de ingredientes'!$O$1:$V$30, SWITCH(B247, "Gelatos de Leite", 7, "Sorbets", 10, "Gelatos de Leite com Fruta", 13, "Chocolate base água", 16, "Vegano", 19, "Alcoólicos", 22, "Zero", 25, "Gelatos Proteicos", 28, 7), 1)) + (ROUND(I247,4) &gt; INDEX('Tabela de ingredientes'!$O$1:$V$30, SWITCH(B247, "Gelatos de Leite", 8, "Sorbets", 11, "Gelatos de Leite com Fruta", 14, "Chocolate base água", 17, "Vegano", 20, "Alcoólicos", 23, "Zero", 26, "Gelatos Proteicos", 29, 8), 1)) + (ROUND(J247,4) &lt; INDEX('Tabela de ingredientes'!$O$1:$V$30, SWITCH(B247, "Gelatos de Leite", 7, "Sorbets", 10, "Gelatos de Leite com Fruta", 13, "Chocolate base água", 16, "Vegano", 19, "Alcoólicos", 22, "Zero", 25, "Gelatos Proteicos", 28, 7), 2)) + (ROUND(J247,4) &gt; INDEX('Tabela de ingredientes'!$O$1:$V$30, SWITCH(B247, "Gelatos de Leite", 8, "Sorbets", 11, "Gelatos de Leite com Fruta", 14, "Chocolate base água", 17, "Vegano", 20, "Alcoólicos", 23, "Zero", 26, "Gelatos Proteicos", 29, 8), 2)) + (ROUND(K247,4) &lt; INDEX('Tabela de ingredientes'!$O$1:$V$30, SWITCH(B247, "Gelatos de Leite", 7, "Sorbets", 10, "Gelatos de Leite com Fruta", 13, "Chocolate base água", 16, "Vegano", 19, "Alcoólicos", 22, "Zero", 25, "Gelatos Proteicos", 28, 7), 3)) + (ROUND(K247,4) &gt; INDEX('Tabela de ingredientes'!$O$1:$V$30, SWITCH(B247, "Gelatos de Leite", 8, "Sorbets", 11, "Gelatos de Leite com Fruta", 14, "Chocolate base água", 17, "Vegano", 20, "Alcoólicos", 23, "Zero", 26, "Gelatos Proteicos", 29, 8), 3)) + (ROUND(L247,4) &lt; INDEX('Tabela de ingredientes'!$O$1:$V$30, SWITCH(B247, "Gelatos de Leite", 7, "Sorbets", 10, "Gelatos de Leite com Fruta", 13, "Chocolate base água", 16, "Vegano", 19, "Alcoólicos", 22, "Zero", 25, "Gelatos Proteicos", 28, 7), 4)) + (ROUND(L247,4) &gt; INDEX('Tabela de ingredientes'!$O$1:$V$30, SWITCH(B247, "Gelatos de Leite", 8, "Sorbets", 11, "Gelatos de Leite com Fruta", 14, "Chocolate base água", 17, "Vegano", 20, "Alcoólicos", 23, "Zero", 26, "Gelatos Proteicos", 29, 8), 4)) + (ROUND(M247,4) &lt; INDEX('Tabela de ingredientes'!$O$1:$V$30, SWITCH(B247, "Gelatos de Leite", 7, "Sorbets", 10, "Gelatos de Leite com Fruta", 13, "Chocolate base água", 16, "Vegano", 19, "Alcoólicos", 22, "Zero", 25, "Gelatos Proteicos", 28, 7), 5)) + (ROUND(M247,4) &gt; INDEX('Tabela de ingredientes'!$O$1:$V$30, SWITCH(B247, "Gelatos de Leite", 8, "Sorbets", 11, "Gelatos de Leite com Fruta", 14, "Chocolate base água", 17, "Vegano", 20, "Alcoólicos", 23, "Zero", 26, "Gelatos Proteicos", 29, 8), 5)) + (ROUND(N247,4) &lt; INDEX('Tabela de ingredientes'!$O$1:$V$30, SWITCH(B247, "Gelatos de Leite", 7, "Sorbets", 10, "Gelatos de Leite com Fruta", 13, "Chocolate base água", 16, "Vegano", 19, "Alcoólicos", 22, "Zero", 25, "Gelatos Proteicos", 28, 7), 6)) + (ROUND(N247,4) &gt; INDEX('Tabela de ingredientes'!$O$1:$V$30, SWITCH(B247, "Gelatos de Leite", 8, "Sorbets", 11, "Gelatos de Leite com Fruta", 14, "Chocolate base água", 17, "Vegano", 20, "Alcoólicos", 23, "Zero", 26, "Gelatos Proteicos", 29, 8), 6)) + (ROUND(O247,4) &lt; INDEX('Tabela de ingredientes'!$O$1:$V$30, SWITCH(B247, "Gelatos de Leite", 7, "Sorbets", 10, "Gelatos de Leite com Fruta", 13, "Chocolate base água", 16, "Vegano", 19, "Alcoólicos", 22, "Zero", 25, "Gelatos Proteicos", 28, 7), 7)) + (ROUND(O247,4) &gt; INDEX('Tabela de ingredientes'!$O$1:$V$30, SWITCH(B247, "Gelatos de Leite", 8, "Sorbets", 11, "Gelatos de Leite com Fruta", 14, "Chocolate base água", 17, "Vegano", 20, "Alcoólicos", 23, "Zero", 26, "Gelatos Proteicos", 29, 8), 7)) + (ROUND(P247,4) &lt; INDEX('Tabela de ingredientes'!$O$1:$V$30, SWITCH(B247, "Gelatos de Leite", 7, "Sorbets", 10, "Gelatos de Leite com Fruta", 13, "Chocolate base água", 16, "Vegano", 19, "Alcoólicos", 22, "Zero", 25, "Gelatos Proteicos", 28, 7), 8)) + (ROUND(P247,4) &gt; INDEX('Tabela de ingredientes'!$O$1:$V$30, SWITCH(B247, "Gelatos de Leite", 8, "Sorbets", 11, "Gelatos de Leite com Fruta", 14, "Chocolate base água", 17, "Vegano", 20, "Alcoólicos", 23, "Zero", 26, "Gelatos Proteicos", 29, 8), 8)) + IF(B247="Gelatos Proteicos", (ROUND(Q247,4)&lt;'Tabela de ingredientes'!$W$28)+(ROUND(Q247,4)&gt;'Tabela de ingredientes'!$W$29), 0) = 0, "Ok", "Revisar"))</f>
        <v/>
      </c>
    </row>
    <row r="248">
      <c r="A248" s="264"/>
      <c r="B248" s="264" t="s">
        <v>187</v>
      </c>
      <c r="C248" s="264" t="s">
        <v>187</v>
      </c>
      <c r="D248" s="264" t="s">
        <v>187</v>
      </c>
      <c r="E248" s="264" t="s">
        <v>187</v>
      </c>
      <c r="F248" s="264" t="s">
        <v>187</v>
      </c>
      <c r="G248" s="264" t="s">
        <v>187</v>
      </c>
      <c r="H248" s="264" t="s">
        <v>187</v>
      </c>
      <c r="I248" s="264" t="s">
        <v>187</v>
      </c>
      <c r="J248" s="264" t="s">
        <v>187</v>
      </c>
      <c r="K248" s="264" t="s">
        <v>187</v>
      </c>
      <c r="L248" s="264" t="s">
        <v>187</v>
      </c>
      <c r="M248" s="264" t="s">
        <v>187</v>
      </c>
      <c r="N248" s="264" t="s">
        <v>187</v>
      </c>
      <c r="O248" s="264" t="s">
        <v>187</v>
      </c>
      <c r="P248" s="264" t="s">
        <v>187</v>
      </c>
      <c r="Q248" s="264" t="s">
        <v>187</v>
      </c>
      <c r="R248" s="264" t="s">
        <v>187</v>
      </c>
      <c r="S248" s="97" t="str">
        <f t="array" ref="S248">IF(A248="","", IF( (ROUND(I248,4) &lt; INDEX('Tabela de ingredientes'!$O$1:$V$30, SWITCH(B248, "Gelatos de Leite", 7, "Sorbets", 10, "Gelatos de Leite com Fruta", 13, "Chocolate base água", 16, "Vegano", 19, "Alcoólicos", 22, "Zero", 25, "Gelatos Proteicos", 28, 7), 1)) + (ROUND(I248,4) &gt; INDEX('Tabela de ingredientes'!$O$1:$V$30, SWITCH(B248, "Gelatos de Leite", 8, "Sorbets", 11, "Gelatos de Leite com Fruta", 14, "Chocolate base água", 17, "Vegano", 20, "Alcoólicos", 23, "Zero", 26, "Gelatos Proteicos", 29, 8), 1)) + (ROUND(J248,4) &lt; INDEX('Tabela de ingredientes'!$O$1:$V$30, SWITCH(B248, "Gelatos de Leite", 7, "Sorbets", 10, "Gelatos de Leite com Fruta", 13, "Chocolate base água", 16, "Vegano", 19, "Alcoólicos", 22, "Zero", 25, "Gelatos Proteicos", 28, 7), 2)) + (ROUND(J248,4) &gt; INDEX('Tabela de ingredientes'!$O$1:$V$30, SWITCH(B248, "Gelatos de Leite", 8, "Sorbets", 11, "Gelatos de Leite com Fruta", 14, "Chocolate base água", 17, "Vegano", 20, "Alcoólicos", 23, "Zero", 26, "Gelatos Proteicos", 29, 8), 2)) + (ROUND(K248,4) &lt; INDEX('Tabela de ingredientes'!$O$1:$V$30, SWITCH(B248, "Gelatos de Leite", 7, "Sorbets", 10, "Gelatos de Leite com Fruta", 13, "Chocolate base água", 16, "Vegano", 19, "Alcoólicos", 22, "Zero", 25, "Gelatos Proteicos", 28, 7), 3)) + (ROUND(K248,4) &gt; INDEX('Tabela de ingredientes'!$O$1:$V$30, SWITCH(B248, "Gelatos de Leite", 8, "Sorbets", 11, "Gelatos de Leite com Fruta", 14, "Chocolate base água", 17, "Vegano", 20, "Alcoólicos", 23, "Zero", 26, "Gelatos Proteicos", 29, 8), 3)) + (ROUND(L248,4) &lt; INDEX('Tabela de ingredientes'!$O$1:$V$30, SWITCH(B248, "Gelatos de Leite", 7, "Sorbets", 10, "Gelatos de Leite com Fruta", 13, "Chocolate base água", 16, "Vegano", 19, "Alcoólicos", 22, "Zero", 25, "Gelatos Proteicos", 28, 7), 4)) + (ROUND(L248,4) &gt; INDEX('Tabela de ingredientes'!$O$1:$V$30, SWITCH(B248, "Gelatos de Leite", 8, "Sorbets", 11, "Gelatos de Leite com Fruta", 14, "Chocolate base água", 17, "Vegano", 20, "Alcoólicos", 23, "Zero", 26, "Gelatos Proteicos", 29, 8), 4)) + (ROUND(M248,4) &lt; INDEX('Tabela de ingredientes'!$O$1:$V$30, SWITCH(B248, "Gelatos de Leite", 7, "Sorbets", 10, "Gelatos de Leite com Fruta", 13, "Chocolate base água", 16, "Vegano", 19, "Alcoólicos", 22, "Zero", 25, "Gelatos Proteicos", 28, 7), 5)) + (ROUND(M248,4) &gt; INDEX('Tabela de ingredientes'!$O$1:$V$30, SWITCH(B248, "Gelatos de Leite", 8, "Sorbets", 11, "Gelatos de Leite com Fruta", 14, "Chocolate base água", 17, "Vegano", 20, "Alcoólicos", 23, "Zero", 26, "Gelatos Proteicos", 29, 8), 5)) + (ROUND(N248,4) &lt; INDEX('Tabela de ingredientes'!$O$1:$V$30, SWITCH(B248, "Gelatos de Leite", 7, "Sorbets", 10, "Gelatos de Leite com Fruta", 13, "Chocolate base água", 16, "Vegano", 19, "Alcoólicos", 22, "Zero", 25, "Gelatos Proteicos", 28, 7), 6)) + (ROUND(N248,4) &gt; INDEX('Tabela de ingredientes'!$O$1:$V$30, SWITCH(B248, "Gelatos de Leite", 8, "Sorbets", 11, "Gelatos de Leite com Fruta", 14, "Chocolate base água", 17, "Vegano", 20, "Alcoólicos", 23, "Zero", 26, "Gelatos Proteicos", 29, 8), 6)) + (ROUND(O248,4) &lt; INDEX('Tabela de ingredientes'!$O$1:$V$30, SWITCH(B248, "Gelatos de Leite", 7, "Sorbets", 10, "Gelatos de Leite com Fruta", 13, "Chocolate base água", 16, "Vegano", 19, "Alcoólicos", 22, "Zero", 25, "Gelatos Proteicos", 28, 7), 7)) + (ROUND(O248,4) &gt; INDEX('Tabela de ingredientes'!$O$1:$V$30, SWITCH(B248, "Gelatos de Leite", 8, "Sorbets", 11, "Gelatos de Leite com Fruta", 14, "Chocolate base água", 17, "Vegano", 20, "Alcoólicos", 23, "Zero", 26, "Gelatos Proteicos", 29, 8), 7)) + (ROUND(P248,4) &lt; INDEX('Tabela de ingredientes'!$O$1:$V$30, SWITCH(B248, "Gelatos de Leite", 7, "Sorbets", 10, "Gelatos de Leite com Fruta", 13, "Chocolate base água", 16, "Vegano", 19, "Alcoólicos", 22, "Zero", 25, "Gelatos Proteicos", 28, 7), 8)) + (ROUND(P248,4) &gt; INDEX('Tabela de ingredientes'!$O$1:$V$30, SWITCH(B248, "Gelatos de Leite", 8, "Sorbets", 11, "Gelatos de Leite com Fruta", 14, "Chocolate base água", 17, "Vegano", 20, "Alcoólicos", 23, "Zero", 26, "Gelatos Proteicos", 29, 8), 8)) + IF(B248="Gelatos Proteicos", (ROUND(Q248,4)&lt;'Tabela de ingredientes'!$W$28)+(ROUND(Q248,4)&gt;'Tabela de ingredientes'!$W$29), 0) = 0, "Ok", "Revisar"))</f>
        <v/>
      </c>
    </row>
    <row r="249">
      <c r="A249" s="264"/>
      <c r="B249" s="264" t="s">
        <v>187</v>
      </c>
      <c r="C249" s="264" t="s">
        <v>187</v>
      </c>
      <c r="D249" s="264" t="s">
        <v>187</v>
      </c>
      <c r="E249" s="264" t="s">
        <v>187</v>
      </c>
      <c r="F249" s="264" t="s">
        <v>187</v>
      </c>
      <c r="G249" s="264" t="s">
        <v>187</v>
      </c>
      <c r="H249" s="264" t="s">
        <v>187</v>
      </c>
      <c r="I249" s="264" t="s">
        <v>187</v>
      </c>
      <c r="J249" s="264" t="s">
        <v>187</v>
      </c>
      <c r="K249" s="264" t="s">
        <v>187</v>
      </c>
      <c r="L249" s="264" t="s">
        <v>187</v>
      </c>
      <c r="M249" s="264" t="s">
        <v>187</v>
      </c>
      <c r="N249" s="264" t="s">
        <v>187</v>
      </c>
      <c r="O249" s="264" t="s">
        <v>187</v>
      </c>
      <c r="P249" s="264" t="s">
        <v>187</v>
      </c>
      <c r="Q249" s="264" t="s">
        <v>187</v>
      </c>
      <c r="R249" s="264" t="s">
        <v>187</v>
      </c>
      <c r="S249" s="97" t="str">
        <f t="array" ref="S249">IF(A249="","", IF( (ROUND(I249,4) &lt; INDEX('Tabela de ingredientes'!$O$1:$V$30, SWITCH(B249, "Gelatos de Leite", 7, "Sorbets", 10, "Gelatos de Leite com Fruta", 13, "Chocolate base água", 16, "Vegano", 19, "Alcoólicos", 22, "Zero", 25, "Gelatos Proteicos", 28, 7), 1)) + (ROUND(I249,4) &gt; INDEX('Tabela de ingredientes'!$O$1:$V$30, SWITCH(B249, "Gelatos de Leite", 8, "Sorbets", 11, "Gelatos de Leite com Fruta", 14, "Chocolate base água", 17, "Vegano", 20, "Alcoólicos", 23, "Zero", 26, "Gelatos Proteicos", 29, 8), 1)) + (ROUND(J249,4) &lt; INDEX('Tabela de ingredientes'!$O$1:$V$30, SWITCH(B249, "Gelatos de Leite", 7, "Sorbets", 10, "Gelatos de Leite com Fruta", 13, "Chocolate base água", 16, "Vegano", 19, "Alcoólicos", 22, "Zero", 25, "Gelatos Proteicos", 28, 7), 2)) + (ROUND(J249,4) &gt; INDEX('Tabela de ingredientes'!$O$1:$V$30, SWITCH(B249, "Gelatos de Leite", 8, "Sorbets", 11, "Gelatos de Leite com Fruta", 14, "Chocolate base água", 17, "Vegano", 20, "Alcoólicos", 23, "Zero", 26, "Gelatos Proteicos", 29, 8), 2)) + (ROUND(K249,4) &lt; INDEX('Tabela de ingredientes'!$O$1:$V$30, SWITCH(B249, "Gelatos de Leite", 7, "Sorbets", 10, "Gelatos de Leite com Fruta", 13, "Chocolate base água", 16, "Vegano", 19, "Alcoólicos", 22, "Zero", 25, "Gelatos Proteicos", 28, 7), 3)) + (ROUND(K249,4) &gt; INDEX('Tabela de ingredientes'!$O$1:$V$30, SWITCH(B249, "Gelatos de Leite", 8, "Sorbets", 11, "Gelatos de Leite com Fruta", 14, "Chocolate base água", 17, "Vegano", 20, "Alcoólicos", 23, "Zero", 26, "Gelatos Proteicos", 29, 8), 3)) + (ROUND(L249,4) &lt; INDEX('Tabela de ingredientes'!$O$1:$V$30, SWITCH(B249, "Gelatos de Leite", 7, "Sorbets", 10, "Gelatos de Leite com Fruta", 13, "Chocolate base água", 16, "Vegano", 19, "Alcoólicos", 22, "Zero", 25, "Gelatos Proteicos", 28, 7), 4)) + (ROUND(L249,4) &gt; INDEX('Tabela de ingredientes'!$O$1:$V$30, SWITCH(B249, "Gelatos de Leite", 8, "Sorbets", 11, "Gelatos de Leite com Fruta", 14, "Chocolate base água", 17, "Vegano", 20, "Alcoólicos", 23, "Zero", 26, "Gelatos Proteicos", 29, 8), 4)) + (ROUND(M249,4) &lt; INDEX('Tabela de ingredientes'!$O$1:$V$30, SWITCH(B249, "Gelatos de Leite", 7, "Sorbets", 10, "Gelatos de Leite com Fruta", 13, "Chocolate base água", 16, "Vegano", 19, "Alcoólicos", 22, "Zero", 25, "Gelatos Proteicos", 28, 7), 5)) + (ROUND(M249,4) &gt; INDEX('Tabela de ingredientes'!$O$1:$V$30, SWITCH(B249, "Gelatos de Leite", 8, "Sorbets", 11, "Gelatos de Leite com Fruta", 14, "Chocolate base água", 17, "Vegano", 20, "Alcoólicos", 23, "Zero", 26, "Gelatos Proteicos", 29, 8), 5)) + (ROUND(N249,4) &lt; INDEX('Tabela de ingredientes'!$O$1:$V$30, SWITCH(B249, "Gelatos de Leite", 7, "Sorbets", 10, "Gelatos de Leite com Fruta", 13, "Chocolate base água", 16, "Vegano", 19, "Alcoólicos", 22, "Zero", 25, "Gelatos Proteicos", 28, 7), 6)) + (ROUND(N249,4) &gt; INDEX('Tabela de ingredientes'!$O$1:$V$30, SWITCH(B249, "Gelatos de Leite", 8, "Sorbets", 11, "Gelatos de Leite com Fruta", 14, "Chocolate base água", 17, "Vegano", 20, "Alcoólicos", 23, "Zero", 26, "Gelatos Proteicos", 29, 8), 6)) + (ROUND(O249,4) &lt; INDEX('Tabela de ingredientes'!$O$1:$V$30, SWITCH(B249, "Gelatos de Leite", 7, "Sorbets", 10, "Gelatos de Leite com Fruta", 13, "Chocolate base água", 16, "Vegano", 19, "Alcoólicos", 22, "Zero", 25, "Gelatos Proteicos", 28, 7), 7)) + (ROUND(O249,4) &gt; INDEX('Tabela de ingredientes'!$O$1:$V$30, SWITCH(B249, "Gelatos de Leite", 8, "Sorbets", 11, "Gelatos de Leite com Fruta", 14, "Chocolate base água", 17, "Vegano", 20, "Alcoólicos", 23, "Zero", 26, "Gelatos Proteicos", 29, 8), 7)) + (ROUND(P249,4) &lt; INDEX('Tabela de ingredientes'!$O$1:$V$30, SWITCH(B249, "Gelatos de Leite", 7, "Sorbets", 10, "Gelatos de Leite com Fruta", 13, "Chocolate base água", 16, "Vegano", 19, "Alcoólicos", 22, "Zero", 25, "Gelatos Proteicos", 28, 7), 8)) + (ROUND(P249,4) &gt; INDEX('Tabela de ingredientes'!$O$1:$V$30, SWITCH(B249, "Gelatos de Leite", 8, "Sorbets", 11, "Gelatos de Leite com Fruta", 14, "Chocolate base água", 17, "Vegano", 20, "Alcoólicos", 23, "Zero", 26, "Gelatos Proteicos", 29, 8), 8)) + IF(B249="Gelatos Proteicos", (ROUND(Q249,4)&lt;'Tabela de ingredientes'!$W$28)+(ROUND(Q249,4)&gt;'Tabela de ingredientes'!$W$29), 0) = 0, "Ok", "Revisar"))</f>
        <v/>
      </c>
    </row>
    <row r="250">
      <c r="A250" s="264"/>
      <c r="B250" s="264" t="s">
        <v>187</v>
      </c>
      <c r="C250" s="264" t="s">
        <v>187</v>
      </c>
      <c r="D250" s="264" t="s">
        <v>187</v>
      </c>
      <c r="E250" s="264" t="s">
        <v>187</v>
      </c>
      <c r="F250" s="264" t="s">
        <v>187</v>
      </c>
      <c r="G250" s="264" t="s">
        <v>187</v>
      </c>
      <c r="H250" s="264" t="s">
        <v>187</v>
      </c>
      <c r="I250" s="264" t="s">
        <v>187</v>
      </c>
      <c r="J250" s="264" t="s">
        <v>187</v>
      </c>
      <c r="K250" s="264" t="s">
        <v>187</v>
      </c>
      <c r="L250" s="264" t="s">
        <v>187</v>
      </c>
      <c r="M250" s="264" t="s">
        <v>187</v>
      </c>
      <c r="N250" s="264" t="s">
        <v>187</v>
      </c>
      <c r="O250" s="264" t="s">
        <v>187</v>
      </c>
      <c r="P250" s="264" t="s">
        <v>187</v>
      </c>
      <c r="Q250" s="264" t="s">
        <v>187</v>
      </c>
      <c r="R250" s="264" t="s">
        <v>187</v>
      </c>
      <c r="S250" s="97" t="str">
        <f t="array" ref="S250">IF(A250="","", IF( (ROUND(I250,4) &lt; INDEX('Tabela de ingredientes'!$O$1:$V$30, SWITCH(B250, "Gelatos de Leite", 7, "Sorbets", 10, "Gelatos de Leite com Fruta", 13, "Chocolate base água", 16, "Vegano", 19, "Alcoólicos", 22, "Zero", 25, "Gelatos Proteicos", 28, 7), 1)) + (ROUND(I250,4) &gt; INDEX('Tabela de ingredientes'!$O$1:$V$30, SWITCH(B250, "Gelatos de Leite", 8, "Sorbets", 11, "Gelatos de Leite com Fruta", 14, "Chocolate base água", 17, "Vegano", 20, "Alcoólicos", 23, "Zero", 26, "Gelatos Proteicos", 29, 8), 1)) + (ROUND(J250,4) &lt; INDEX('Tabela de ingredientes'!$O$1:$V$30, SWITCH(B250, "Gelatos de Leite", 7, "Sorbets", 10, "Gelatos de Leite com Fruta", 13, "Chocolate base água", 16, "Vegano", 19, "Alcoólicos", 22, "Zero", 25, "Gelatos Proteicos", 28, 7), 2)) + (ROUND(J250,4) &gt; INDEX('Tabela de ingredientes'!$O$1:$V$30, SWITCH(B250, "Gelatos de Leite", 8, "Sorbets", 11, "Gelatos de Leite com Fruta", 14, "Chocolate base água", 17, "Vegano", 20, "Alcoólicos", 23, "Zero", 26, "Gelatos Proteicos", 29, 8), 2)) + (ROUND(K250,4) &lt; INDEX('Tabela de ingredientes'!$O$1:$V$30, SWITCH(B250, "Gelatos de Leite", 7, "Sorbets", 10, "Gelatos de Leite com Fruta", 13, "Chocolate base água", 16, "Vegano", 19, "Alcoólicos", 22, "Zero", 25, "Gelatos Proteicos", 28, 7), 3)) + (ROUND(K250,4) &gt; INDEX('Tabela de ingredientes'!$O$1:$V$30, SWITCH(B250, "Gelatos de Leite", 8, "Sorbets", 11, "Gelatos de Leite com Fruta", 14, "Chocolate base água", 17, "Vegano", 20, "Alcoólicos", 23, "Zero", 26, "Gelatos Proteicos", 29, 8), 3)) + (ROUND(L250,4) &lt; INDEX('Tabela de ingredientes'!$O$1:$V$30, SWITCH(B250, "Gelatos de Leite", 7, "Sorbets", 10, "Gelatos de Leite com Fruta", 13, "Chocolate base água", 16, "Vegano", 19, "Alcoólicos", 22, "Zero", 25, "Gelatos Proteicos", 28, 7), 4)) + (ROUND(L250,4) &gt; INDEX('Tabela de ingredientes'!$O$1:$V$30, SWITCH(B250, "Gelatos de Leite", 8, "Sorbets", 11, "Gelatos de Leite com Fruta", 14, "Chocolate base água", 17, "Vegano", 20, "Alcoólicos", 23, "Zero", 26, "Gelatos Proteicos", 29, 8), 4)) + (ROUND(M250,4) &lt; INDEX('Tabela de ingredientes'!$O$1:$V$30, SWITCH(B250, "Gelatos de Leite", 7, "Sorbets", 10, "Gelatos de Leite com Fruta", 13, "Chocolate base água", 16, "Vegano", 19, "Alcoólicos", 22, "Zero", 25, "Gelatos Proteicos", 28, 7), 5)) + (ROUND(M250,4) &gt; INDEX('Tabela de ingredientes'!$O$1:$V$30, SWITCH(B250, "Gelatos de Leite", 8, "Sorbets", 11, "Gelatos de Leite com Fruta", 14, "Chocolate base água", 17, "Vegano", 20, "Alcoólicos", 23, "Zero", 26, "Gelatos Proteicos", 29, 8), 5)) + (ROUND(N250,4) &lt; INDEX('Tabela de ingredientes'!$O$1:$V$30, SWITCH(B250, "Gelatos de Leite", 7, "Sorbets", 10, "Gelatos de Leite com Fruta", 13, "Chocolate base água", 16, "Vegano", 19, "Alcoólicos", 22, "Zero", 25, "Gelatos Proteicos", 28, 7), 6)) + (ROUND(N250,4) &gt; INDEX('Tabela de ingredientes'!$O$1:$V$30, SWITCH(B250, "Gelatos de Leite", 8, "Sorbets", 11, "Gelatos de Leite com Fruta", 14, "Chocolate base água", 17, "Vegano", 20, "Alcoólicos", 23, "Zero", 26, "Gelatos Proteicos", 29, 8), 6)) + (ROUND(O250,4) &lt; INDEX('Tabela de ingredientes'!$O$1:$V$30, SWITCH(B250, "Gelatos de Leite", 7, "Sorbets", 10, "Gelatos de Leite com Fruta", 13, "Chocolate base água", 16, "Vegano", 19, "Alcoólicos", 22, "Zero", 25, "Gelatos Proteicos", 28, 7), 7)) + (ROUND(O250,4) &gt; INDEX('Tabela de ingredientes'!$O$1:$V$30, SWITCH(B250, "Gelatos de Leite", 8, "Sorbets", 11, "Gelatos de Leite com Fruta", 14, "Chocolate base água", 17, "Vegano", 20, "Alcoólicos", 23, "Zero", 26, "Gelatos Proteicos", 29, 8), 7)) + (ROUND(P250,4) &lt; INDEX('Tabela de ingredientes'!$O$1:$V$30, SWITCH(B250, "Gelatos de Leite", 7, "Sorbets", 10, "Gelatos de Leite com Fruta", 13, "Chocolate base água", 16, "Vegano", 19, "Alcoólicos", 22, "Zero", 25, "Gelatos Proteicos", 28, 7), 8)) + (ROUND(P250,4) &gt; INDEX('Tabela de ingredientes'!$O$1:$V$30, SWITCH(B250, "Gelatos de Leite", 8, "Sorbets", 11, "Gelatos de Leite com Fruta", 14, "Chocolate base água", 17, "Vegano", 20, "Alcoólicos", 23, "Zero", 26, "Gelatos Proteicos", 29, 8), 8)) + IF(B250="Gelatos Proteicos", (ROUND(Q250,4)&lt;'Tabela de ingredientes'!$W$28)+(ROUND(Q250,4)&gt;'Tabela de ingredientes'!$W$29), 0) = 0, "Ok", "Revisar"))</f>
        <v/>
      </c>
    </row>
    <row r="251">
      <c r="A251" s="264"/>
      <c r="B251" s="264" t="s">
        <v>187</v>
      </c>
      <c r="C251" s="264" t="s">
        <v>187</v>
      </c>
      <c r="D251" s="264" t="s">
        <v>187</v>
      </c>
      <c r="E251" s="264" t="s">
        <v>187</v>
      </c>
      <c r="F251" s="264" t="s">
        <v>187</v>
      </c>
      <c r="G251" s="264" t="s">
        <v>187</v>
      </c>
      <c r="H251" s="264" t="s">
        <v>187</v>
      </c>
      <c r="I251" s="264" t="s">
        <v>187</v>
      </c>
      <c r="J251" s="264" t="s">
        <v>187</v>
      </c>
      <c r="K251" s="264" t="s">
        <v>187</v>
      </c>
      <c r="L251" s="264" t="s">
        <v>187</v>
      </c>
      <c r="M251" s="264" t="s">
        <v>187</v>
      </c>
      <c r="N251" s="264" t="s">
        <v>187</v>
      </c>
      <c r="O251" s="264" t="s">
        <v>187</v>
      </c>
      <c r="P251" s="264" t="s">
        <v>187</v>
      </c>
      <c r="Q251" s="264" t="s">
        <v>187</v>
      </c>
      <c r="R251" s="264" t="s">
        <v>187</v>
      </c>
      <c r="S251" s="97" t="str">
        <f t="array" ref="S251">IF(A251="","", IF( (ROUND(I251,4) &lt; INDEX('Tabela de ingredientes'!$O$1:$V$30, SWITCH(B251, "Gelatos de Leite", 7, "Sorbets", 10, "Gelatos de Leite com Fruta", 13, "Chocolate base água", 16, "Vegano", 19, "Alcoólicos", 22, "Zero", 25, "Gelatos Proteicos", 28, 7), 1)) + (ROUND(I251,4) &gt; INDEX('Tabela de ingredientes'!$O$1:$V$30, SWITCH(B251, "Gelatos de Leite", 8, "Sorbets", 11, "Gelatos de Leite com Fruta", 14, "Chocolate base água", 17, "Vegano", 20, "Alcoólicos", 23, "Zero", 26, "Gelatos Proteicos", 29, 8), 1)) + (ROUND(J251,4) &lt; INDEX('Tabela de ingredientes'!$O$1:$V$30, SWITCH(B251, "Gelatos de Leite", 7, "Sorbets", 10, "Gelatos de Leite com Fruta", 13, "Chocolate base água", 16, "Vegano", 19, "Alcoólicos", 22, "Zero", 25, "Gelatos Proteicos", 28, 7), 2)) + (ROUND(J251,4) &gt; INDEX('Tabela de ingredientes'!$O$1:$V$30, SWITCH(B251, "Gelatos de Leite", 8, "Sorbets", 11, "Gelatos de Leite com Fruta", 14, "Chocolate base água", 17, "Vegano", 20, "Alcoólicos", 23, "Zero", 26, "Gelatos Proteicos", 29, 8), 2)) + (ROUND(K251,4) &lt; INDEX('Tabela de ingredientes'!$O$1:$V$30, SWITCH(B251, "Gelatos de Leite", 7, "Sorbets", 10, "Gelatos de Leite com Fruta", 13, "Chocolate base água", 16, "Vegano", 19, "Alcoólicos", 22, "Zero", 25, "Gelatos Proteicos", 28, 7), 3)) + (ROUND(K251,4) &gt; INDEX('Tabela de ingredientes'!$O$1:$V$30, SWITCH(B251, "Gelatos de Leite", 8, "Sorbets", 11, "Gelatos de Leite com Fruta", 14, "Chocolate base água", 17, "Vegano", 20, "Alcoólicos", 23, "Zero", 26, "Gelatos Proteicos", 29, 8), 3)) + (ROUND(L251,4) &lt; INDEX('Tabela de ingredientes'!$O$1:$V$30, SWITCH(B251, "Gelatos de Leite", 7, "Sorbets", 10, "Gelatos de Leite com Fruta", 13, "Chocolate base água", 16, "Vegano", 19, "Alcoólicos", 22, "Zero", 25, "Gelatos Proteicos", 28, 7), 4)) + (ROUND(L251,4) &gt; INDEX('Tabela de ingredientes'!$O$1:$V$30, SWITCH(B251, "Gelatos de Leite", 8, "Sorbets", 11, "Gelatos de Leite com Fruta", 14, "Chocolate base água", 17, "Vegano", 20, "Alcoólicos", 23, "Zero", 26, "Gelatos Proteicos", 29, 8), 4)) + (ROUND(M251,4) &lt; INDEX('Tabela de ingredientes'!$O$1:$V$30, SWITCH(B251, "Gelatos de Leite", 7, "Sorbets", 10, "Gelatos de Leite com Fruta", 13, "Chocolate base água", 16, "Vegano", 19, "Alcoólicos", 22, "Zero", 25, "Gelatos Proteicos", 28, 7), 5)) + (ROUND(M251,4) &gt; INDEX('Tabela de ingredientes'!$O$1:$V$30, SWITCH(B251, "Gelatos de Leite", 8, "Sorbets", 11, "Gelatos de Leite com Fruta", 14, "Chocolate base água", 17, "Vegano", 20, "Alcoólicos", 23, "Zero", 26, "Gelatos Proteicos", 29, 8), 5)) + (ROUND(N251,4) &lt; INDEX('Tabela de ingredientes'!$O$1:$V$30, SWITCH(B251, "Gelatos de Leite", 7, "Sorbets", 10, "Gelatos de Leite com Fruta", 13, "Chocolate base água", 16, "Vegano", 19, "Alcoólicos", 22, "Zero", 25, "Gelatos Proteicos", 28, 7), 6)) + (ROUND(N251,4) &gt; INDEX('Tabela de ingredientes'!$O$1:$V$30, SWITCH(B251, "Gelatos de Leite", 8, "Sorbets", 11, "Gelatos de Leite com Fruta", 14, "Chocolate base água", 17, "Vegano", 20, "Alcoólicos", 23, "Zero", 26, "Gelatos Proteicos", 29, 8), 6)) + (ROUND(O251,4) &lt; INDEX('Tabela de ingredientes'!$O$1:$V$30, SWITCH(B251, "Gelatos de Leite", 7, "Sorbets", 10, "Gelatos de Leite com Fruta", 13, "Chocolate base água", 16, "Vegano", 19, "Alcoólicos", 22, "Zero", 25, "Gelatos Proteicos", 28, 7), 7)) + (ROUND(O251,4) &gt; INDEX('Tabela de ingredientes'!$O$1:$V$30, SWITCH(B251, "Gelatos de Leite", 8, "Sorbets", 11, "Gelatos de Leite com Fruta", 14, "Chocolate base água", 17, "Vegano", 20, "Alcoólicos", 23, "Zero", 26, "Gelatos Proteicos", 29, 8), 7)) + (ROUND(P251,4) &lt; INDEX('Tabela de ingredientes'!$O$1:$V$30, SWITCH(B251, "Gelatos de Leite", 7, "Sorbets", 10, "Gelatos de Leite com Fruta", 13, "Chocolate base água", 16, "Vegano", 19, "Alcoólicos", 22, "Zero", 25, "Gelatos Proteicos", 28, 7), 8)) + (ROUND(P251,4) &gt; INDEX('Tabela de ingredientes'!$O$1:$V$30, SWITCH(B251, "Gelatos de Leite", 8, "Sorbets", 11, "Gelatos de Leite com Fruta", 14, "Chocolate base água", 17, "Vegano", 20, "Alcoólicos", 23, "Zero", 26, "Gelatos Proteicos", 29, 8), 8)) + IF(B251="Gelatos Proteicos", (ROUND(Q251,4)&lt;'Tabela de ingredientes'!$W$28)+(ROUND(Q251,4)&gt;'Tabela de ingredientes'!$W$29), 0) = 0, "Ok", "Revisar"))</f>
        <v/>
      </c>
    </row>
    <row r="252">
      <c r="A252" s="264"/>
      <c r="B252" s="264" t="s">
        <v>187</v>
      </c>
      <c r="C252" s="264" t="s">
        <v>187</v>
      </c>
      <c r="D252" s="264" t="s">
        <v>187</v>
      </c>
      <c r="E252" s="264" t="s">
        <v>187</v>
      </c>
      <c r="F252" s="264" t="s">
        <v>187</v>
      </c>
      <c r="G252" s="264" t="s">
        <v>187</v>
      </c>
      <c r="H252" s="264" t="s">
        <v>187</v>
      </c>
      <c r="I252" s="264" t="s">
        <v>187</v>
      </c>
      <c r="J252" s="264" t="s">
        <v>187</v>
      </c>
      <c r="K252" s="264" t="s">
        <v>187</v>
      </c>
      <c r="L252" s="264" t="s">
        <v>187</v>
      </c>
      <c r="M252" s="264" t="s">
        <v>187</v>
      </c>
      <c r="N252" s="264" t="s">
        <v>187</v>
      </c>
      <c r="O252" s="264" t="s">
        <v>187</v>
      </c>
      <c r="P252" s="264" t="s">
        <v>187</v>
      </c>
      <c r="Q252" s="264" t="s">
        <v>187</v>
      </c>
      <c r="R252" s="264" t="s">
        <v>187</v>
      </c>
      <c r="S252" s="97" t="str">
        <f t="array" ref="S252">IF(A252="","", IF( (ROUND(I252,4) &lt; INDEX('Tabela de ingredientes'!$O$1:$V$30, SWITCH(B252, "Gelatos de Leite", 7, "Sorbets", 10, "Gelatos de Leite com Fruta", 13, "Chocolate base água", 16, "Vegano", 19, "Alcoólicos", 22, "Zero", 25, "Gelatos Proteicos", 28, 7), 1)) + (ROUND(I252,4) &gt; INDEX('Tabela de ingredientes'!$O$1:$V$30, SWITCH(B252, "Gelatos de Leite", 8, "Sorbets", 11, "Gelatos de Leite com Fruta", 14, "Chocolate base água", 17, "Vegano", 20, "Alcoólicos", 23, "Zero", 26, "Gelatos Proteicos", 29, 8), 1)) + (ROUND(J252,4) &lt; INDEX('Tabela de ingredientes'!$O$1:$V$30, SWITCH(B252, "Gelatos de Leite", 7, "Sorbets", 10, "Gelatos de Leite com Fruta", 13, "Chocolate base água", 16, "Vegano", 19, "Alcoólicos", 22, "Zero", 25, "Gelatos Proteicos", 28, 7), 2)) + (ROUND(J252,4) &gt; INDEX('Tabela de ingredientes'!$O$1:$V$30, SWITCH(B252, "Gelatos de Leite", 8, "Sorbets", 11, "Gelatos de Leite com Fruta", 14, "Chocolate base água", 17, "Vegano", 20, "Alcoólicos", 23, "Zero", 26, "Gelatos Proteicos", 29, 8), 2)) + (ROUND(K252,4) &lt; INDEX('Tabela de ingredientes'!$O$1:$V$30, SWITCH(B252, "Gelatos de Leite", 7, "Sorbets", 10, "Gelatos de Leite com Fruta", 13, "Chocolate base água", 16, "Vegano", 19, "Alcoólicos", 22, "Zero", 25, "Gelatos Proteicos", 28, 7), 3)) + (ROUND(K252,4) &gt; INDEX('Tabela de ingredientes'!$O$1:$V$30, SWITCH(B252, "Gelatos de Leite", 8, "Sorbets", 11, "Gelatos de Leite com Fruta", 14, "Chocolate base água", 17, "Vegano", 20, "Alcoólicos", 23, "Zero", 26, "Gelatos Proteicos", 29, 8), 3)) + (ROUND(L252,4) &lt; INDEX('Tabela de ingredientes'!$O$1:$V$30, SWITCH(B252, "Gelatos de Leite", 7, "Sorbets", 10, "Gelatos de Leite com Fruta", 13, "Chocolate base água", 16, "Vegano", 19, "Alcoólicos", 22, "Zero", 25, "Gelatos Proteicos", 28, 7), 4)) + (ROUND(L252,4) &gt; INDEX('Tabela de ingredientes'!$O$1:$V$30, SWITCH(B252, "Gelatos de Leite", 8, "Sorbets", 11, "Gelatos de Leite com Fruta", 14, "Chocolate base água", 17, "Vegano", 20, "Alcoólicos", 23, "Zero", 26, "Gelatos Proteicos", 29, 8), 4)) + (ROUND(M252,4) &lt; INDEX('Tabela de ingredientes'!$O$1:$V$30, SWITCH(B252, "Gelatos de Leite", 7, "Sorbets", 10, "Gelatos de Leite com Fruta", 13, "Chocolate base água", 16, "Vegano", 19, "Alcoólicos", 22, "Zero", 25, "Gelatos Proteicos", 28, 7), 5)) + (ROUND(M252,4) &gt; INDEX('Tabela de ingredientes'!$O$1:$V$30, SWITCH(B252, "Gelatos de Leite", 8, "Sorbets", 11, "Gelatos de Leite com Fruta", 14, "Chocolate base água", 17, "Vegano", 20, "Alcoólicos", 23, "Zero", 26, "Gelatos Proteicos", 29, 8), 5)) + (ROUND(N252,4) &lt; INDEX('Tabela de ingredientes'!$O$1:$V$30, SWITCH(B252, "Gelatos de Leite", 7, "Sorbets", 10, "Gelatos de Leite com Fruta", 13, "Chocolate base água", 16, "Vegano", 19, "Alcoólicos", 22, "Zero", 25, "Gelatos Proteicos", 28, 7), 6)) + (ROUND(N252,4) &gt; INDEX('Tabela de ingredientes'!$O$1:$V$30, SWITCH(B252, "Gelatos de Leite", 8, "Sorbets", 11, "Gelatos de Leite com Fruta", 14, "Chocolate base água", 17, "Vegano", 20, "Alcoólicos", 23, "Zero", 26, "Gelatos Proteicos", 29, 8), 6)) + (ROUND(O252,4) &lt; INDEX('Tabela de ingredientes'!$O$1:$V$30, SWITCH(B252, "Gelatos de Leite", 7, "Sorbets", 10, "Gelatos de Leite com Fruta", 13, "Chocolate base água", 16, "Vegano", 19, "Alcoólicos", 22, "Zero", 25, "Gelatos Proteicos", 28, 7), 7)) + (ROUND(O252,4) &gt; INDEX('Tabela de ingredientes'!$O$1:$V$30, SWITCH(B252, "Gelatos de Leite", 8, "Sorbets", 11, "Gelatos de Leite com Fruta", 14, "Chocolate base água", 17, "Vegano", 20, "Alcoólicos", 23, "Zero", 26, "Gelatos Proteicos", 29, 8), 7)) + (ROUND(P252,4) &lt; INDEX('Tabela de ingredientes'!$O$1:$V$30, SWITCH(B252, "Gelatos de Leite", 7, "Sorbets", 10, "Gelatos de Leite com Fruta", 13, "Chocolate base água", 16, "Vegano", 19, "Alcoólicos", 22, "Zero", 25, "Gelatos Proteicos", 28, 7), 8)) + (ROUND(P252,4) &gt; INDEX('Tabela de ingredientes'!$O$1:$V$30, SWITCH(B252, "Gelatos de Leite", 8, "Sorbets", 11, "Gelatos de Leite com Fruta", 14, "Chocolate base água", 17, "Vegano", 20, "Alcoólicos", 23, "Zero", 26, "Gelatos Proteicos", 29, 8), 8)) + IF(B252="Gelatos Proteicos", (ROUND(Q252,4)&lt;'Tabela de ingredientes'!$W$28)+(ROUND(Q252,4)&gt;'Tabela de ingredientes'!$W$29), 0) = 0, "Ok", "Revisar"))</f>
        <v/>
      </c>
    </row>
    <row r="253">
      <c r="A253" s="264"/>
      <c r="B253" s="264" t="s">
        <v>187</v>
      </c>
      <c r="C253" s="264" t="s">
        <v>187</v>
      </c>
      <c r="D253" s="264" t="s">
        <v>187</v>
      </c>
      <c r="E253" s="264" t="s">
        <v>187</v>
      </c>
      <c r="F253" s="264" t="s">
        <v>187</v>
      </c>
      <c r="G253" s="264" t="s">
        <v>187</v>
      </c>
      <c r="H253" s="264" t="s">
        <v>187</v>
      </c>
      <c r="I253" s="264" t="s">
        <v>187</v>
      </c>
      <c r="J253" s="264" t="s">
        <v>187</v>
      </c>
      <c r="K253" s="264" t="s">
        <v>187</v>
      </c>
      <c r="L253" s="264" t="s">
        <v>187</v>
      </c>
      <c r="M253" s="264" t="s">
        <v>187</v>
      </c>
      <c r="N253" s="264" t="s">
        <v>187</v>
      </c>
      <c r="O253" s="264" t="s">
        <v>187</v>
      </c>
      <c r="P253" s="264" t="s">
        <v>187</v>
      </c>
      <c r="Q253" s="264" t="s">
        <v>187</v>
      </c>
      <c r="R253" s="264" t="s">
        <v>187</v>
      </c>
      <c r="S253" s="97" t="str">
        <f t="array" ref="S253">IF(A253="","", IF( (ROUND(I253,4) &lt; INDEX('Tabela de ingredientes'!$O$1:$V$30, SWITCH(B253, "Gelatos de Leite", 7, "Sorbets", 10, "Gelatos de Leite com Fruta", 13, "Chocolate base água", 16, "Vegano", 19, "Alcoólicos", 22, "Zero", 25, "Gelatos Proteicos", 28, 7), 1)) + (ROUND(I253,4) &gt; INDEX('Tabela de ingredientes'!$O$1:$V$30, SWITCH(B253, "Gelatos de Leite", 8, "Sorbets", 11, "Gelatos de Leite com Fruta", 14, "Chocolate base água", 17, "Vegano", 20, "Alcoólicos", 23, "Zero", 26, "Gelatos Proteicos", 29, 8), 1)) + (ROUND(J253,4) &lt; INDEX('Tabela de ingredientes'!$O$1:$V$30, SWITCH(B253, "Gelatos de Leite", 7, "Sorbets", 10, "Gelatos de Leite com Fruta", 13, "Chocolate base água", 16, "Vegano", 19, "Alcoólicos", 22, "Zero", 25, "Gelatos Proteicos", 28, 7), 2)) + (ROUND(J253,4) &gt; INDEX('Tabela de ingredientes'!$O$1:$V$30, SWITCH(B253, "Gelatos de Leite", 8, "Sorbets", 11, "Gelatos de Leite com Fruta", 14, "Chocolate base água", 17, "Vegano", 20, "Alcoólicos", 23, "Zero", 26, "Gelatos Proteicos", 29, 8), 2)) + (ROUND(K253,4) &lt; INDEX('Tabela de ingredientes'!$O$1:$V$30, SWITCH(B253, "Gelatos de Leite", 7, "Sorbets", 10, "Gelatos de Leite com Fruta", 13, "Chocolate base água", 16, "Vegano", 19, "Alcoólicos", 22, "Zero", 25, "Gelatos Proteicos", 28, 7), 3)) + (ROUND(K253,4) &gt; INDEX('Tabela de ingredientes'!$O$1:$V$30, SWITCH(B253, "Gelatos de Leite", 8, "Sorbets", 11, "Gelatos de Leite com Fruta", 14, "Chocolate base água", 17, "Vegano", 20, "Alcoólicos", 23, "Zero", 26, "Gelatos Proteicos", 29, 8), 3)) + (ROUND(L253,4) &lt; INDEX('Tabela de ingredientes'!$O$1:$V$30, SWITCH(B253, "Gelatos de Leite", 7, "Sorbets", 10, "Gelatos de Leite com Fruta", 13, "Chocolate base água", 16, "Vegano", 19, "Alcoólicos", 22, "Zero", 25, "Gelatos Proteicos", 28, 7), 4)) + (ROUND(L253,4) &gt; INDEX('Tabela de ingredientes'!$O$1:$V$30, SWITCH(B253, "Gelatos de Leite", 8, "Sorbets", 11, "Gelatos de Leite com Fruta", 14, "Chocolate base água", 17, "Vegano", 20, "Alcoólicos", 23, "Zero", 26, "Gelatos Proteicos", 29, 8), 4)) + (ROUND(M253,4) &lt; INDEX('Tabela de ingredientes'!$O$1:$V$30, SWITCH(B253, "Gelatos de Leite", 7, "Sorbets", 10, "Gelatos de Leite com Fruta", 13, "Chocolate base água", 16, "Vegano", 19, "Alcoólicos", 22, "Zero", 25, "Gelatos Proteicos", 28, 7), 5)) + (ROUND(M253,4) &gt; INDEX('Tabela de ingredientes'!$O$1:$V$30, SWITCH(B253, "Gelatos de Leite", 8, "Sorbets", 11, "Gelatos de Leite com Fruta", 14, "Chocolate base água", 17, "Vegano", 20, "Alcoólicos", 23, "Zero", 26, "Gelatos Proteicos", 29, 8), 5)) + (ROUND(N253,4) &lt; INDEX('Tabela de ingredientes'!$O$1:$V$30, SWITCH(B253, "Gelatos de Leite", 7, "Sorbets", 10, "Gelatos de Leite com Fruta", 13, "Chocolate base água", 16, "Vegano", 19, "Alcoólicos", 22, "Zero", 25, "Gelatos Proteicos", 28, 7), 6)) + (ROUND(N253,4) &gt; INDEX('Tabela de ingredientes'!$O$1:$V$30, SWITCH(B253, "Gelatos de Leite", 8, "Sorbets", 11, "Gelatos de Leite com Fruta", 14, "Chocolate base água", 17, "Vegano", 20, "Alcoólicos", 23, "Zero", 26, "Gelatos Proteicos", 29, 8), 6)) + (ROUND(O253,4) &lt; INDEX('Tabela de ingredientes'!$O$1:$V$30, SWITCH(B253, "Gelatos de Leite", 7, "Sorbets", 10, "Gelatos de Leite com Fruta", 13, "Chocolate base água", 16, "Vegano", 19, "Alcoólicos", 22, "Zero", 25, "Gelatos Proteicos", 28, 7), 7)) + (ROUND(O253,4) &gt; INDEX('Tabela de ingredientes'!$O$1:$V$30, SWITCH(B253, "Gelatos de Leite", 8, "Sorbets", 11, "Gelatos de Leite com Fruta", 14, "Chocolate base água", 17, "Vegano", 20, "Alcoólicos", 23, "Zero", 26, "Gelatos Proteicos", 29, 8), 7)) + (ROUND(P253,4) &lt; INDEX('Tabela de ingredientes'!$O$1:$V$30, SWITCH(B253, "Gelatos de Leite", 7, "Sorbets", 10, "Gelatos de Leite com Fruta", 13, "Chocolate base água", 16, "Vegano", 19, "Alcoólicos", 22, "Zero", 25, "Gelatos Proteicos", 28, 7), 8)) + (ROUND(P253,4) &gt; INDEX('Tabela de ingredientes'!$O$1:$V$30, SWITCH(B253, "Gelatos de Leite", 8, "Sorbets", 11, "Gelatos de Leite com Fruta", 14, "Chocolate base água", 17, "Vegano", 20, "Alcoólicos", 23, "Zero", 26, "Gelatos Proteicos", 29, 8), 8)) + IF(B253="Gelatos Proteicos", (ROUND(Q253,4)&lt;'Tabela de ingredientes'!$W$28)+(ROUND(Q253,4)&gt;'Tabela de ingredientes'!$W$29), 0) = 0, "Ok", "Revisar"))</f>
        <v/>
      </c>
    </row>
    <row r="254">
      <c r="A254" s="264"/>
      <c r="B254" s="264" t="s">
        <v>187</v>
      </c>
      <c r="C254" s="264" t="s">
        <v>187</v>
      </c>
      <c r="D254" s="264" t="s">
        <v>187</v>
      </c>
      <c r="E254" s="264" t="s">
        <v>187</v>
      </c>
      <c r="F254" s="264" t="s">
        <v>187</v>
      </c>
      <c r="G254" s="264" t="s">
        <v>187</v>
      </c>
      <c r="H254" s="264" t="s">
        <v>187</v>
      </c>
      <c r="I254" s="264" t="s">
        <v>187</v>
      </c>
      <c r="J254" s="264" t="s">
        <v>187</v>
      </c>
      <c r="K254" s="264" t="s">
        <v>187</v>
      </c>
      <c r="L254" s="264" t="s">
        <v>187</v>
      </c>
      <c r="M254" s="264" t="s">
        <v>187</v>
      </c>
      <c r="N254" s="264" t="s">
        <v>187</v>
      </c>
      <c r="O254" s="264" t="s">
        <v>187</v>
      </c>
      <c r="P254" s="264" t="s">
        <v>187</v>
      </c>
      <c r="Q254" s="264" t="s">
        <v>187</v>
      </c>
      <c r="R254" s="264" t="s">
        <v>187</v>
      </c>
      <c r="S254" s="97" t="str">
        <f t="array" ref="S254">IF(A254="","", IF( (ROUND(I254,4) &lt; INDEX('Tabela de ingredientes'!$O$1:$V$30, SWITCH(B254, "Gelatos de Leite", 7, "Sorbets", 10, "Gelatos de Leite com Fruta", 13, "Chocolate base água", 16, "Vegano", 19, "Alcoólicos", 22, "Zero", 25, "Gelatos Proteicos", 28, 7), 1)) + (ROUND(I254,4) &gt; INDEX('Tabela de ingredientes'!$O$1:$V$30, SWITCH(B254, "Gelatos de Leite", 8, "Sorbets", 11, "Gelatos de Leite com Fruta", 14, "Chocolate base água", 17, "Vegano", 20, "Alcoólicos", 23, "Zero", 26, "Gelatos Proteicos", 29, 8), 1)) + (ROUND(J254,4) &lt; INDEX('Tabela de ingredientes'!$O$1:$V$30, SWITCH(B254, "Gelatos de Leite", 7, "Sorbets", 10, "Gelatos de Leite com Fruta", 13, "Chocolate base água", 16, "Vegano", 19, "Alcoólicos", 22, "Zero", 25, "Gelatos Proteicos", 28, 7), 2)) + (ROUND(J254,4) &gt; INDEX('Tabela de ingredientes'!$O$1:$V$30, SWITCH(B254, "Gelatos de Leite", 8, "Sorbets", 11, "Gelatos de Leite com Fruta", 14, "Chocolate base água", 17, "Vegano", 20, "Alcoólicos", 23, "Zero", 26, "Gelatos Proteicos", 29, 8), 2)) + (ROUND(K254,4) &lt; INDEX('Tabela de ingredientes'!$O$1:$V$30, SWITCH(B254, "Gelatos de Leite", 7, "Sorbets", 10, "Gelatos de Leite com Fruta", 13, "Chocolate base água", 16, "Vegano", 19, "Alcoólicos", 22, "Zero", 25, "Gelatos Proteicos", 28, 7), 3)) + (ROUND(K254,4) &gt; INDEX('Tabela de ingredientes'!$O$1:$V$30, SWITCH(B254, "Gelatos de Leite", 8, "Sorbets", 11, "Gelatos de Leite com Fruta", 14, "Chocolate base água", 17, "Vegano", 20, "Alcoólicos", 23, "Zero", 26, "Gelatos Proteicos", 29, 8), 3)) + (ROUND(L254,4) &lt; INDEX('Tabela de ingredientes'!$O$1:$V$30, SWITCH(B254, "Gelatos de Leite", 7, "Sorbets", 10, "Gelatos de Leite com Fruta", 13, "Chocolate base água", 16, "Vegano", 19, "Alcoólicos", 22, "Zero", 25, "Gelatos Proteicos", 28, 7), 4)) + (ROUND(L254,4) &gt; INDEX('Tabela de ingredientes'!$O$1:$V$30, SWITCH(B254, "Gelatos de Leite", 8, "Sorbets", 11, "Gelatos de Leite com Fruta", 14, "Chocolate base água", 17, "Vegano", 20, "Alcoólicos", 23, "Zero", 26, "Gelatos Proteicos", 29, 8), 4)) + (ROUND(M254,4) &lt; INDEX('Tabela de ingredientes'!$O$1:$V$30, SWITCH(B254, "Gelatos de Leite", 7, "Sorbets", 10, "Gelatos de Leite com Fruta", 13, "Chocolate base água", 16, "Vegano", 19, "Alcoólicos", 22, "Zero", 25, "Gelatos Proteicos", 28, 7), 5)) + (ROUND(M254,4) &gt; INDEX('Tabela de ingredientes'!$O$1:$V$30, SWITCH(B254, "Gelatos de Leite", 8, "Sorbets", 11, "Gelatos de Leite com Fruta", 14, "Chocolate base água", 17, "Vegano", 20, "Alcoólicos", 23, "Zero", 26, "Gelatos Proteicos", 29, 8), 5)) + (ROUND(N254,4) &lt; INDEX('Tabela de ingredientes'!$O$1:$V$30, SWITCH(B254, "Gelatos de Leite", 7, "Sorbets", 10, "Gelatos de Leite com Fruta", 13, "Chocolate base água", 16, "Vegano", 19, "Alcoólicos", 22, "Zero", 25, "Gelatos Proteicos", 28, 7), 6)) + (ROUND(N254,4) &gt; INDEX('Tabela de ingredientes'!$O$1:$V$30, SWITCH(B254, "Gelatos de Leite", 8, "Sorbets", 11, "Gelatos de Leite com Fruta", 14, "Chocolate base água", 17, "Vegano", 20, "Alcoólicos", 23, "Zero", 26, "Gelatos Proteicos", 29, 8), 6)) + (ROUND(O254,4) &lt; INDEX('Tabela de ingredientes'!$O$1:$V$30, SWITCH(B254, "Gelatos de Leite", 7, "Sorbets", 10, "Gelatos de Leite com Fruta", 13, "Chocolate base água", 16, "Vegano", 19, "Alcoólicos", 22, "Zero", 25, "Gelatos Proteicos", 28, 7), 7)) + (ROUND(O254,4) &gt; INDEX('Tabela de ingredientes'!$O$1:$V$30, SWITCH(B254, "Gelatos de Leite", 8, "Sorbets", 11, "Gelatos de Leite com Fruta", 14, "Chocolate base água", 17, "Vegano", 20, "Alcoólicos", 23, "Zero", 26, "Gelatos Proteicos", 29, 8), 7)) + (ROUND(P254,4) &lt; INDEX('Tabela de ingredientes'!$O$1:$V$30, SWITCH(B254, "Gelatos de Leite", 7, "Sorbets", 10, "Gelatos de Leite com Fruta", 13, "Chocolate base água", 16, "Vegano", 19, "Alcoólicos", 22, "Zero", 25, "Gelatos Proteicos", 28, 7), 8)) + (ROUND(P254,4) &gt; INDEX('Tabela de ingredientes'!$O$1:$V$30, SWITCH(B254, "Gelatos de Leite", 8, "Sorbets", 11, "Gelatos de Leite com Fruta", 14, "Chocolate base água", 17, "Vegano", 20, "Alcoólicos", 23, "Zero", 26, "Gelatos Proteicos", 29, 8), 8)) + IF(B254="Gelatos Proteicos", (ROUND(Q254,4)&lt;'Tabela de ingredientes'!$W$28)+(ROUND(Q254,4)&gt;'Tabela de ingredientes'!$W$29), 0) = 0, "Ok", "Revisar"))</f>
        <v/>
      </c>
    </row>
    <row r="255">
      <c r="A255" s="264"/>
      <c r="B255" s="264" t="s">
        <v>187</v>
      </c>
      <c r="C255" s="264" t="s">
        <v>187</v>
      </c>
      <c r="D255" s="264" t="s">
        <v>187</v>
      </c>
      <c r="E255" s="264" t="s">
        <v>187</v>
      </c>
      <c r="F255" s="264" t="s">
        <v>187</v>
      </c>
      <c r="G255" s="264" t="s">
        <v>187</v>
      </c>
      <c r="H255" s="264" t="s">
        <v>187</v>
      </c>
      <c r="I255" s="264" t="s">
        <v>187</v>
      </c>
      <c r="J255" s="264" t="s">
        <v>187</v>
      </c>
      <c r="K255" s="264" t="s">
        <v>187</v>
      </c>
      <c r="L255" s="264" t="s">
        <v>187</v>
      </c>
      <c r="M255" s="264" t="s">
        <v>187</v>
      </c>
      <c r="N255" s="264" t="s">
        <v>187</v>
      </c>
      <c r="O255" s="264" t="s">
        <v>187</v>
      </c>
      <c r="P255" s="264" t="s">
        <v>187</v>
      </c>
      <c r="Q255" s="264" t="s">
        <v>187</v>
      </c>
      <c r="R255" s="264" t="s">
        <v>187</v>
      </c>
      <c r="S255" s="97" t="str">
        <f t="array" ref="S255">IF(A255="","", IF( (ROUND(I255,4) &lt; INDEX('Tabela de ingredientes'!$O$1:$V$30, SWITCH(B255, "Gelatos de Leite", 7, "Sorbets", 10, "Gelatos de Leite com Fruta", 13, "Chocolate base água", 16, "Vegano", 19, "Alcoólicos", 22, "Zero", 25, "Gelatos Proteicos", 28, 7), 1)) + (ROUND(I255,4) &gt; INDEX('Tabela de ingredientes'!$O$1:$V$30, SWITCH(B255, "Gelatos de Leite", 8, "Sorbets", 11, "Gelatos de Leite com Fruta", 14, "Chocolate base água", 17, "Vegano", 20, "Alcoólicos", 23, "Zero", 26, "Gelatos Proteicos", 29, 8), 1)) + (ROUND(J255,4) &lt; INDEX('Tabela de ingredientes'!$O$1:$V$30, SWITCH(B255, "Gelatos de Leite", 7, "Sorbets", 10, "Gelatos de Leite com Fruta", 13, "Chocolate base água", 16, "Vegano", 19, "Alcoólicos", 22, "Zero", 25, "Gelatos Proteicos", 28, 7), 2)) + (ROUND(J255,4) &gt; INDEX('Tabela de ingredientes'!$O$1:$V$30, SWITCH(B255, "Gelatos de Leite", 8, "Sorbets", 11, "Gelatos de Leite com Fruta", 14, "Chocolate base água", 17, "Vegano", 20, "Alcoólicos", 23, "Zero", 26, "Gelatos Proteicos", 29, 8), 2)) + (ROUND(K255,4) &lt; INDEX('Tabela de ingredientes'!$O$1:$V$30, SWITCH(B255, "Gelatos de Leite", 7, "Sorbets", 10, "Gelatos de Leite com Fruta", 13, "Chocolate base água", 16, "Vegano", 19, "Alcoólicos", 22, "Zero", 25, "Gelatos Proteicos", 28, 7), 3)) + (ROUND(K255,4) &gt; INDEX('Tabela de ingredientes'!$O$1:$V$30, SWITCH(B255, "Gelatos de Leite", 8, "Sorbets", 11, "Gelatos de Leite com Fruta", 14, "Chocolate base água", 17, "Vegano", 20, "Alcoólicos", 23, "Zero", 26, "Gelatos Proteicos", 29, 8), 3)) + (ROUND(L255,4) &lt; INDEX('Tabela de ingredientes'!$O$1:$V$30, SWITCH(B255, "Gelatos de Leite", 7, "Sorbets", 10, "Gelatos de Leite com Fruta", 13, "Chocolate base água", 16, "Vegano", 19, "Alcoólicos", 22, "Zero", 25, "Gelatos Proteicos", 28, 7), 4)) + (ROUND(L255,4) &gt; INDEX('Tabela de ingredientes'!$O$1:$V$30, SWITCH(B255, "Gelatos de Leite", 8, "Sorbets", 11, "Gelatos de Leite com Fruta", 14, "Chocolate base água", 17, "Vegano", 20, "Alcoólicos", 23, "Zero", 26, "Gelatos Proteicos", 29, 8), 4)) + (ROUND(M255,4) &lt; INDEX('Tabela de ingredientes'!$O$1:$V$30, SWITCH(B255, "Gelatos de Leite", 7, "Sorbets", 10, "Gelatos de Leite com Fruta", 13, "Chocolate base água", 16, "Vegano", 19, "Alcoólicos", 22, "Zero", 25, "Gelatos Proteicos", 28, 7), 5)) + (ROUND(M255,4) &gt; INDEX('Tabela de ingredientes'!$O$1:$V$30, SWITCH(B255, "Gelatos de Leite", 8, "Sorbets", 11, "Gelatos de Leite com Fruta", 14, "Chocolate base água", 17, "Vegano", 20, "Alcoólicos", 23, "Zero", 26, "Gelatos Proteicos", 29, 8), 5)) + (ROUND(N255,4) &lt; INDEX('Tabela de ingredientes'!$O$1:$V$30, SWITCH(B255, "Gelatos de Leite", 7, "Sorbets", 10, "Gelatos de Leite com Fruta", 13, "Chocolate base água", 16, "Vegano", 19, "Alcoólicos", 22, "Zero", 25, "Gelatos Proteicos", 28, 7), 6)) + (ROUND(N255,4) &gt; INDEX('Tabela de ingredientes'!$O$1:$V$30, SWITCH(B255, "Gelatos de Leite", 8, "Sorbets", 11, "Gelatos de Leite com Fruta", 14, "Chocolate base água", 17, "Vegano", 20, "Alcoólicos", 23, "Zero", 26, "Gelatos Proteicos", 29, 8), 6)) + (ROUND(O255,4) &lt; INDEX('Tabela de ingredientes'!$O$1:$V$30, SWITCH(B255, "Gelatos de Leite", 7, "Sorbets", 10, "Gelatos de Leite com Fruta", 13, "Chocolate base água", 16, "Vegano", 19, "Alcoólicos", 22, "Zero", 25, "Gelatos Proteicos", 28, 7), 7)) + (ROUND(O255,4) &gt; INDEX('Tabela de ingredientes'!$O$1:$V$30, SWITCH(B255, "Gelatos de Leite", 8, "Sorbets", 11, "Gelatos de Leite com Fruta", 14, "Chocolate base água", 17, "Vegano", 20, "Alcoólicos", 23, "Zero", 26, "Gelatos Proteicos", 29, 8), 7)) + (ROUND(P255,4) &lt; INDEX('Tabela de ingredientes'!$O$1:$V$30, SWITCH(B255, "Gelatos de Leite", 7, "Sorbets", 10, "Gelatos de Leite com Fruta", 13, "Chocolate base água", 16, "Vegano", 19, "Alcoólicos", 22, "Zero", 25, "Gelatos Proteicos", 28, 7), 8)) + (ROUND(P255,4) &gt; INDEX('Tabela de ingredientes'!$O$1:$V$30, SWITCH(B255, "Gelatos de Leite", 8, "Sorbets", 11, "Gelatos de Leite com Fruta", 14, "Chocolate base água", 17, "Vegano", 20, "Alcoólicos", 23, "Zero", 26, "Gelatos Proteicos", 29, 8), 8)) + IF(B255="Gelatos Proteicos", (ROUND(Q255,4)&lt;'Tabela de ingredientes'!$W$28)+(ROUND(Q255,4)&gt;'Tabela de ingredientes'!$W$29), 0) = 0, "Ok", "Revisar"))</f>
        <v/>
      </c>
    </row>
    <row r="256">
      <c r="A256" s="264"/>
      <c r="B256" s="264" t="s">
        <v>187</v>
      </c>
      <c r="C256" s="264" t="s">
        <v>187</v>
      </c>
      <c r="D256" s="264" t="s">
        <v>187</v>
      </c>
      <c r="E256" s="264" t="s">
        <v>187</v>
      </c>
      <c r="F256" s="264" t="s">
        <v>187</v>
      </c>
      <c r="G256" s="264" t="s">
        <v>187</v>
      </c>
      <c r="H256" s="264" t="s">
        <v>187</v>
      </c>
      <c r="I256" s="264" t="s">
        <v>187</v>
      </c>
      <c r="J256" s="264" t="s">
        <v>187</v>
      </c>
      <c r="K256" s="264" t="s">
        <v>187</v>
      </c>
      <c r="L256" s="264" t="s">
        <v>187</v>
      </c>
      <c r="M256" s="264" t="s">
        <v>187</v>
      </c>
      <c r="N256" s="264" t="s">
        <v>187</v>
      </c>
      <c r="O256" s="264" t="s">
        <v>187</v>
      </c>
      <c r="P256" s="264" t="s">
        <v>187</v>
      </c>
      <c r="Q256" s="264" t="s">
        <v>187</v>
      </c>
      <c r="R256" s="264" t="s">
        <v>187</v>
      </c>
      <c r="S256" s="97" t="str">
        <f t="array" ref="S256">IF(A256="","", IF( (ROUND(I256,4) &lt; INDEX('Tabela de ingredientes'!$O$1:$V$30, SWITCH(B256, "Gelatos de Leite", 7, "Sorbets", 10, "Gelatos de Leite com Fruta", 13, "Chocolate base água", 16, "Vegano", 19, "Alcoólicos", 22, "Zero", 25, "Gelatos Proteicos", 28, 7), 1)) + (ROUND(I256,4) &gt; INDEX('Tabela de ingredientes'!$O$1:$V$30, SWITCH(B256, "Gelatos de Leite", 8, "Sorbets", 11, "Gelatos de Leite com Fruta", 14, "Chocolate base água", 17, "Vegano", 20, "Alcoólicos", 23, "Zero", 26, "Gelatos Proteicos", 29, 8), 1)) + (ROUND(J256,4) &lt; INDEX('Tabela de ingredientes'!$O$1:$V$30, SWITCH(B256, "Gelatos de Leite", 7, "Sorbets", 10, "Gelatos de Leite com Fruta", 13, "Chocolate base água", 16, "Vegano", 19, "Alcoólicos", 22, "Zero", 25, "Gelatos Proteicos", 28, 7), 2)) + (ROUND(J256,4) &gt; INDEX('Tabela de ingredientes'!$O$1:$V$30, SWITCH(B256, "Gelatos de Leite", 8, "Sorbets", 11, "Gelatos de Leite com Fruta", 14, "Chocolate base água", 17, "Vegano", 20, "Alcoólicos", 23, "Zero", 26, "Gelatos Proteicos", 29, 8), 2)) + (ROUND(K256,4) &lt; INDEX('Tabela de ingredientes'!$O$1:$V$30, SWITCH(B256, "Gelatos de Leite", 7, "Sorbets", 10, "Gelatos de Leite com Fruta", 13, "Chocolate base água", 16, "Vegano", 19, "Alcoólicos", 22, "Zero", 25, "Gelatos Proteicos", 28, 7), 3)) + (ROUND(K256,4) &gt; INDEX('Tabela de ingredientes'!$O$1:$V$30, SWITCH(B256, "Gelatos de Leite", 8, "Sorbets", 11, "Gelatos de Leite com Fruta", 14, "Chocolate base água", 17, "Vegano", 20, "Alcoólicos", 23, "Zero", 26, "Gelatos Proteicos", 29, 8), 3)) + (ROUND(L256,4) &lt; INDEX('Tabela de ingredientes'!$O$1:$V$30, SWITCH(B256, "Gelatos de Leite", 7, "Sorbets", 10, "Gelatos de Leite com Fruta", 13, "Chocolate base água", 16, "Vegano", 19, "Alcoólicos", 22, "Zero", 25, "Gelatos Proteicos", 28, 7), 4)) + (ROUND(L256,4) &gt; INDEX('Tabela de ingredientes'!$O$1:$V$30, SWITCH(B256, "Gelatos de Leite", 8, "Sorbets", 11, "Gelatos de Leite com Fruta", 14, "Chocolate base água", 17, "Vegano", 20, "Alcoólicos", 23, "Zero", 26, "Gelatos Proteicos", 29, 8), 4)) + (ROUND(M256,4) &lt; INDEX('Tabela de ingredientes'!$O$1:$V$30, SWITCH(B256, "Gelatos de Leite", 7, "Sorbets", 10, "Gelatos de Leite com Fruta", 13, "Chocolate base água", 16, "Vegano", 19, "Alcoólicos", 22, "Zero", 25, "Gelatos Proteicos", 28, 7), 5)) + (ROUND(M256,4) &gt; INDEX('Tabela de ingredientes'!$O$1:$V$30, SWITCH(B256, "Gelatos de Leite", 8, "Sorbets", 11, "Gelatos de Leite com Fruta", 14, "Chocolate base água", 17, "Vegano", 20, "Alcoólicos", 23, "Zero", 26, "Gelatos Proteicos", 29, 8), 5)) + (ROUND(N256,4) &lt; INDEX('Tabela de ingredientes'!$O$1:$V$30, SWITCH(B256, "Gelatos de Leite", 7, "Sorbets", 10, "Gelatos de Leite com Fruta", 13, "Chocolate base água", 16, "Vegano", 19, "Alcoólicos", 22, "Zero", 25, "Gelatos Proteicos", 28, 7), 6)) + (ROUND(N256,4) &gt; INDEX('Tabela de ingredientes'!$O$1:$V$30, SWITCH(B256, "Gelatos de Leite", 8, "Sorbets", 11, "Gelatos de Leite com Fruta", 14, "Chocolate base água", 17, "Vegano", 20, "Alcoólicos", 23, "Zero", 26, "Gelatos Proteicos", 29, 8), 6)) + (ROUND(O256,4) &lt; INDEX('Tabela de ingredientes'!$O$1:$V$30, SWITCH(B256, "Gelatos de Leite", 7, "Sorbets", 10, "Gelatos de Leite com Fruta", 13, "Chocolate base água", 16, "Vegano", 19, "Alcoólicos", 22, "Zero", 25, "Gelatos Proteicos", 28, 7), 7)) + (ROUND(O256,4) &gt; INDEX('Tabela de ingredientes'!$O$1:$V$30, SWITCH(B256, "Gelatos de Leite", 8, "Sorbets", 11, "Gelatos de Leite com Fruta", 14, "Chocolate base água", 17, "Vegano", 20, "Alcoólicos", 23, "Zero", 26, "Gelatos Proteicos", 29, 8), 7)) + (ROUND(P256,4) &lt; INDEX('Tabela de ingredientes'!$O$1:$V$30, SWITCH(B256, "Gelatos de Leite", 7, "Sorbets", 10, "Gelatos de Leite com Fruta", 13, "Chocolate base água", 16, "Vegano", 19, "Alcoólicos", 22, "Zero", 25, "Gelatos Proteicos", 28, 7), 8)) + (ROUND(P256,4) &gt; INDEX('Tabela de ingredientes'!$O$1:$V$30, SWITCH(B256, "Gelatos de Leite", 8, "Sorbets", 11, "Gelatos de Leite com Fruta", 14, "Chocolate base água", 17, "Vegano", 20, "Alcoólicos", 23, "Zero", 26, "Gelatos Proteicos", 29, 8), 8)) + IF(B256="Gelatos Proteicos", (ROUND(Q256,4)&lt;'Tabela de ingredientes'!$W$28)+(ROUND(Q256,4)&gt;'Tabela de ingredientes'!$W$29), 0) = 0, "Ok", "Revisar"))</f>
        <v/>
      </c>
    </row>
    <row r="257">
      <c r="A257" s="264"/>
      <c r="B257" s="264" t="s">
        <v>187</v>
      </c>
      <c r="C257" s="264" t="s">
        <v>187</v>
      </c>
      <c r="D257" s="264" t="s">
        <v>187</v>
      </c>
      <c r="E257" s="264" t="s">
        <v>187</v>
      </c>
      <c r="F257" s="264" t="s">
        <v>187</v>
      </c>
      <c r="G257" s="264" t="s">
        <v>187</v>
      </c>
      <c r="H257" s="264" t="s">
        <v>187</v>
      </c>
      <c r="I257" s="264" t="s">
        <v>187</v>
      </c>
      <c r="J257" s="264" t="s">
        <v>187</v>
      </c>
      <c r="K257" s="264" t="s">
        <v>187</v>
      </c>
      <c r="L257" s="264" t="s">
        <v>187</v>
      </c>
      <c r="M257" s="264" t="s">
        <v>187</v>
      </c>
      <c r="N257" s="264" t="s">
        <v>187</v>
      </c>
      <c r="O257" s="264" t="s">
        <v>187</v>
      </c>
      <c r="P257" s="264" t="s">
        <v>187</v>
      </c>
      <c r="Q257" s="264" t="s">
        <v>187</v>
      </c>
      <c r="R257" s="264" t="s">
        <v>187</v>
      </c>
      <c r="S257" s="97" t="str">
        <f t="array" ref="S257">IF(A257="","", IF( (ROUND(I257,4) &lt; INDEX('Tabela de ingredientes'!$O$1:$V$30, SWITCH(B257, "Gelatos de Leite", 7, "Sorbets", 10, "Gelatos de Leite com Fruta", 13, "Chocolate base água", 16, "Vegano", 19, "Alcoólicos", 22, "Zero", 25, "Gelatos Proteicos", 28, 7), 1)) + (ROUND(I257,4) &gt; INDEX('Tabela de ingredientes'!$O$1:$V$30, SWITCH(B257, "Gelatos de Leite", 8, "Sorbets", 11, "Gelatos de Leite com Fruta", 14, "Chocolate base água", 17, "Vegano", 20, "Alcoólicos", 23, "Zero", 26, "Gelatos Proteicos", 29, 8), 1)) + (ROUND(J257,4) &lt; INDEX('Tabela de ingredientes'!$O$1:$V$30, SWITCH(B257, "Gelatos de Leite", 7, "Sorbets", 10, "Gelatos de Leite com Fruta", 13, "Chocolate base água", 16, "Vegano", 19, "Alcoólicos", 22, "Zero", 25, "Gelatos Proteicos", 28, 7), 2)) + (ROUND(J257,4) &gt; INDEX('Tabela de ingredientes'!$O$1:$V$30, SWITCH(B257, "Gelatos de Leite", 8, "Sorbets", 11, "Gelatos de Leite com Fruta", 14, "Chocolate base água", 17, "Vegano", 20, "Alcoólicos", 23, "Zero", 26, "Gelatos Proteicos", 29, 8), 2)) + (ROUND(K257,4) &lt; INDEX('Tabela de ingredientes'!$O$1:$V$30, SWITCH(B257, "Gelatos de Leite", 7, "Sorbets", 10, "Gelatos de Leite com Fruta", 13, "Chocolate base água", 16, "Vegano", 19, "Alcoólicos", 22, "Zero", 25, "Gelatos Proteicos", 28, 7), 3)) + (ROUND(K257,4) &gt; INDEX('Tabela de ingredientes'!$O$1:$V$30, SWITCH(B257, "Gelatos de Leite", 8, "Sorbets", 11, "Gelatos de Leite com Fruta", 14, "Chocolate base água", 17, "Vegano", 20, "Alcoólicos", 23, "Zero", 26, "Gelatos Proteicos", 29, 8), 3)) + (ROUND(L257,4) &lt; INDEX('Tabela de ingredientes'!$O$1:$V$30, SWITCH(B257, "Gelatos de Leite", 7, "Sorbets", 10, "Gelatos de Leite com Fruta", 13, "Chocolate base água", 16, "Vegano", 19, "Alcoólicos", 22, "Zero", 25, "Gelatos Proteicos", 28, 7), 4)) + (ROUND(L257,4) &gt; INDEX('Tabela de ingredientes'!$O$1:$V$30, SWITCH(B257, "Gelatos de Leite", 8, "Sorbets", 11, "Gelatos de Leite com Fruta", 14, "Chocolate base água", 17, "Vegano", 20, "Alcoólicos", 23, "Zero", 26, "Gelatos Proteicos", 29, 8), 4)) + (ROUND(M257,4) &lt; INDEX('Tabela de ingredientes'!$O$1:$V$30, SWITCH(B257, "Gelatos de Leite", 7, "Sorbets", 10, "Gelatos de Leite com Fruta", 13, "Chocolate base água", 16, "Vegano", 19, "Alcoólicos", 22, "Zero", 25, "Gelatos Proteicos", 28, 7), 5)) + (ROUND(M257,4) &gt; INDEX('Tabela de ingredientes'!$O$1:$V$30, SWITCH(B257, "Gelatos de Leite", 8, "Sorbets", 11, "Gelatos de Leite com Fruta", 14, "Chocolate base água", 17, "Vegano", 20, "Alcoólicos", 23, "Zero", 26, "Gelatos Proteicos", 29, 8), 5)) + (ROUND(N257,4) &lt; INDEX('Tabela de ingredientes'!$O$1:$V$30, SWITCH(B257, "Gelatos de Leite", 7, "Sorbets", 10, "Gelatos de Leite com Fruta", 13, "Chocolate base água", 16, "Vegano", 19, "Alcoólicos", 22, "Zero", 25, "Gelatos Proteicos", 28, 7), 6)) + (ROUND(N257,4) &gt; INDEX('Tabela de ingredientes'!$O$1:$V$30, SWITCH(B257, "Gelatos de Leite", 8, "Sorbets", 11, "Gelatos de Leite com Fruta", 14, "Chocolate base água", 17, "Vegano", 20, "Alcoólicos", 23, "Zero", 26, "Gelatos Proteicos", 29, 8), 6)) + (ROUND(O257,4) &lt; INDEX('Tabela de ingredientes'!$O$1:$V$30, SWITCH(B257, "Gelatos de Leite", 7, "Sorbets", 10, "Gelatos de Leite com Fruta", 13, "Chocolate base água", 16, "Vegano", 19, "Alcoólicos", 22, "Zero", 25, "Gelatos Proteicos", 28, 7), 7)) + (ROUND(O257,4) &gt; INDEX('Tabela de ingredientes'!$O$1:$V$30, SWITCH(B257, "Gelatos de Leite", 8, "Sorbets", 11, "Gelatos de Leite com Fruta", 14, "Chocolate base água", 17, "Vegano", 20, "Alcoólicos", 23, "Zero", 26, "Gelatos Proteicos", 29, 8), 7)) + (ROUND(P257,4) &lt; INDEX('Tabela de ingredientes'!$O$1:$V$30, SWITCH(B257, "Gelatos de Leite", 7, "Sorbets", 10, "Gelatos de Leite com Fruta", 13, "Chocolate base água", 16, "Vegano", 19, "Alcoólicos", 22, "Zero", 25, "Gelatos Proteicos", 28, 7), 8)) + (ROUND(P257,4) &gt; INDEX('Tabela de ingredientes'!$O$1:$V$30, SWITCH(B257, "Gelatos de Leite", 8, "Sorbets", 11, "Gelatos de Leite com Fruta", 14, "Chocolate base água", 17, "Vegano", 20, "Alcoólicos", 23, "Zero", 26, "Gelatos Proteicos", 29, 8), 8)) + IF(B257="Gelatos Proteicos", (ROUND(Q257,4)&lt;'Tabela de ingredientes'!$W$28)+(ROUND(Q257,4)&gt;'Tabela de ingredientes'!$W$29), 0) = 0, "Ok", "Revisar"))</f>
        <v/>
      </c>
    </row>
    <row r="258">
      <c r="A258" s="264"/>
      <c r="B258" s="264" t="s">
        <v>187</v>
      </c>
      <c r="C258" s="264" t="s">
        <v>187</v>
      </c>
      <c r="D258" s="264" t="s">
        <v>187</v>
      </c>
      <c r="E258" s="264" t="s">
        <v>187</v>
      </c>
      <c r="F258" s="264" t="s">
        <v>187</v>
      </c>
      <c r="G258" s="264" t="s">
        <v>187</v>
      </c>
      <c r="H258" s="264" t="s">
        <v>187</v>
      </c>
      <c r="I258" s="264" t="s">
        <v>187</v>
      </c>
      <c r="J258" s="264" t="s">
        <v>187</v>
      </c>
      <c r="K258" s="264" t="s">
        <v>187</v>
      </c>
      <c r="L258" s="264" t="s">
        <v>187</v>
      </c>
      <c r="M258" s="264" t="s">
        <v>187</v>
      </c>
      <c r="N258" s="264" t="s">
        <v>187</v>
      </c>
      <c r="O258" s="264" t="s">
        <v>187</v>
      </c>
      <c r="P258" s="264" t="s">
        <v>187</v>
      </c>
      <c r="Q258" s="264" t="s">
        <v>187</v>
      </c>
      <c r="R258" s="264" t="s">
        <v>187</v>
      </c>
      <c r="S258" s="97" t="str">
        <f t="array" ref="S258">IF(A258="","", IF( (ROUND(I258,4) &lt; INDEX('Tabela de ingredientes'!$O$1:$V$30, SWITCH(B258, "Gelatos de Leite", 7, "Sorbets", 10, "Gelatos de Leite com Fruta", 13, "Chocolate base água", 16, "Vegano", 19, "Alcoólicos", 22, "Zero", 25, "Gelatos Proteicos", 28, 7), 1)) + (ROUND(I258,4) &gt; INDEX('Tabela de ingredientes'!$O$1:$V$30, SWITCH(B258, "Gelatos de Leite", 8, "Sorbets", 11, "Gelatos de Leite com Fruta", 14, "Chocolate base água", 17, "Vegano", 20, "Alcoólicos", 23, "Zero", 26, "Gelatos Proteicos", 29, 8), 1)) + (ROUND(J258,4) &lt; INDEX('Tabela de ingredientes'!$O$1:$V$30, SWITCH(B258, "Gelatos de Leite", 7, "Sorbets", 10, "Gelatos de Leite com Fruta", 13, "Chocolate base água", 16, "Vegano", 19, "Alcoólicos", 22, "Zero", 25, "Gelatos Proteicos", 28, 7), 2)) + (ROUND(J258,4) &gt; INDEX('Tabela de ingredientes'!$O$1:$V$30, SWITCH(B258, "Gelatos de Leite", 8, "Sorbets", 11, "Gelatos de Leite com Fruta", 14, "Chocolate base água", 17, "Vegano", 20, "Alcoólicos", 23, "Zero", 26, "Gelatos Proteicos", 29, 8), 2)) + (ROUND(K258,4) &lt; INDEX('Tabela de ingredientes'!$O$1:$V$30, SWITCH(B258, "Gelatos de Leite", 7, "Sorbets", 10, "Gelatos de Leite com Fruta", 13, "Chocolate base água", 16, "Vegano", 19, "Alcoólicos", 22, "Zero", 25, "Gelatos Proteicos", 28, 7), 3)) + (ROUND(K258,4) &gt; INDEX('Tabela de ingredientes'!$O$1:$V$30, SWITCH(B258, "Gelatos de Leite", 8, "Sorbets", 11, "Gelatos de Leite com Fruta", 14, "Chocolate base água", 17, "Vegano", 20, "Alcoólicos", 23, "Zero", 26, "Gelatos Proteicos", 29, 8), 3)) + (ROUND(L258,4) &lt; INDEX('Tabela de ingredientes'!$O$1:$V$30, SWITCH(B258, "Gelatos de Leite", 7, "Sorbets", 10, "Gelatos de Leite com Fruta", 13, "Chocolate base água", 16, "Vegano", 19, "Alcoólicos", 22, "Zero", 25, "Gelatos Proteicos", 28, 7), 4)) + (ROUND(L258,4) &gt; INDEX('Tabela de ingredientes'!$O$1:$V$30, SWITCH(B258, "Gelatos de Leite", 8, "Sorbets", 11, "Gelatos de Leite com Fruta", 14, "Chocolate base água", 17, "Vegano", 20, "Alcoólicos", 23, "Zero", 26, "Gelatos Proteicos", 29, 8), 4)) + (ROUND(M258,4) &lt; INDEX('Tabela de ingredientes'!$O$1:$V$30, SWITCH(B258, "Gelatos de Leite", 7, "Sorbets", 10, "Gelatos de Leite com Fruta", 13, "Chocolate base água", 16, "Vegano", 19, "Alcoólicos", 22, "Zero", 25, "Gelatos Proteicos", 28, 7), 5)) + (ROUND(M258,4) &gt; INDEX('Tabela de ingredientes'!$O$1:$V$30, SWITCH(B258, "Gelatos de Leite", 8, "Sorbets", 11, "Gelatos de Leite com Fruta", 14, "Chocolate base água", 17, "Vegano", 20, "Alcoólicos", 23, "Zero", 26, "Gelatos Proteicos", 29, 8), 5)) + (ROUND(N258,4) &lt; INDEX('Tabela de ingredientes'!$O$1:$V$30, SWITCH(B258, "Gelatos de Leite", 7, "Sorbets", 10, "Gelatos de Leite com Fruta", 13, "Chocolate base água", 16, "Vegano", 19, "Alcoólicos", 22, "Zero", 25, "Gelatos Proteicos", 28, 7), 6)) + (ROUND(N258,4) &gt; INDEX('Tabela de ingredientes'!$O$1:$V$30, SWITCH(B258, "Gelatos de Leite", 8, "Sorbets", 11, "Gelatos de Leite com Fruta", 14, "Chocolate base água", 17, "Vegano", 20, "Alcoólicos", 23, "Zero", 26, "Gelatos Proteicos", 29, 8), 6)) + (ROUND(O258,4) &lt; INDEX('Tabela de ingredientes'!$O$1:$V$30, SWITCH(B258, "Gelatos de Leite", 7, "Sorbets", 10, "Gelatos de Leite com Fruta", 13, "Chocolate base água", 16, "Vegano", 19, "Alcoólicos", 22, "Zero", 25, "Gelatos Proteicos", 28, 7), 7)) + (ROUND(O258,4) &gt; INDEX('Tabela de ingredientes'!$O$1:$V$30, SWITCH(B258, "Gelatos de Leite", 8, "Sorbets", 11, "Gelatos de Leite com Fruta", 14, "Chocolate base água", 17, "Vegano", 20, "Alcoólicos", 23, "Zero", 26, "Gelatos Proteicos", 29, 8), 7)) + (ROUND(P258,4) &lt; INDEX('Tabela de ingredientes'!$O$1:$V$30, SWITCH(B258, "Gelatos de Leite", 7, "Sorbets", 10, "Gelatos de Leite com Fruta", 13, "Chocolate base água", 16, "Vegano", 19, "Alcoólicos", 22, "Zero", 25, "Gelatos Proteicos", 28, 7), 8)) + (ROUND(P258,4) &gt; INDEX('Tabela de ingredientes'!$O$1:$V$30, SWITCH(B258, "Gelatos de Leite", 8, "Sorbets", 11, "Gelatos de Leite com Fruta", 14, "Chocolate base água", 17, "Vegano", 20, "Alcoólicos", 23, "Zero", 26, "Gelatos Proteicos", 29, 8), 8)) + IF(B258="Gelatos Proteicos", (ROUND(Q258,4)&lt;'Tabela de ingredientes'!$W$28)+(ROUND(Q258,4)&gt;'Tabela de ingredientes'!$W$29), 0) = 0, "Ok", "Revisar"))</f>
        <v/>
      </c>
    </row>
    <row r="259">
      <c r="A259" s="264"/>
      <c r="B259" s="264" t="s">
        <v>187</v>
      </c>
      <c r="C259" s="264" t="s">
        <v>187</v>
      </c>
      <c r="D259" s="264" t="s">
        <v>187</v>
      </c>
      <c r="E259" s="264" t="s">
        <v>187</v>
      </c>
      <c r="F259" s="264" t="s">
        <v>187</v>
      </c>
      <c r="G259" s="264" t="s">
        <v>187</v>
      </c>
      <c r="H259" s="264" t="s">
        <v>187</v>
      </c>
      <c r="I259" s="264" t="s">
        <v>187</v>
      </c>
      <c r="J259" s="264" t="s">
        <v>187</v>
      </c>
      <c r="K259" s="264" t="s">
        <v>187</v>
      </c>
      <c r="L259" s="264" t="s">
        <v>187</v>
      </c>
      <c r="M259" s="264" t="s">
        <v>187</v>
      </c>
      <c r="N259" s="264" t="s">
        <v>187</v>
      </c>
      <c r="O259" s="264" t="s">
        <v>187</v>
      </c>
      <c r="P259" s="264" t="s">
        <v>187</v>
      </c>
      <c r="Q259" s="264" t="s">
        <v>187</v>
      </c>
      <c r="R259" s="264" t="s">
        <v>187</v>
      </c>
      <c r="S259" s="97" t="str">
        <f t="array" ref="S259">IF(A259="","", IF( (ROUND(I259,4) &lt; INDEX('Tabela de ingredientes'!$O$1:$V$30, SWITCH(B259, "Gelatos de Leite", 7, "Sorbets", 10, "Gelatos de Leite com Fruta", 13, "Chocolate base água", 16, "Vegano", 19, "Alcoólicos", 22, "Zero", 25, "Gelatos Proteicos", 28, 7), 1)) + (ROUND(I259,4) &gt; INDEX('Tabela de ingredientes'!$O$1:$V$30, SWITCH(B259, "Gelatos de Leite", 8, "Sorbets", 11, "Gelatos de Leite com Fruta", 14, "Chocolate base água", 17, "Vegano", 20, "Alcoólicos", 23, "Zero", 26, "Gelatos Proteicos", 29, 8), 1)) + (ROUND(J259,4) &lt; INDEX('Tabela de ingredientes'!$O$1:$V$30, SWITCH(B259, "Gelatos de Leite", 7, "Sorbets", 10, "Gelatos de Leite com Fruta", 13, "Chocolate base água", 16, "Vegano", 19, "Alcoólicos", 22, "Zero", 25, "Gelatos Proteicos", 28, 7), 2)) + (ROUND(J259,4) &gt; INDEX('Tabela de ingredientes'!$O$1:$V$30, SWITCH(B259, "Gelatos de Leite", 8, "Sorbets", 11, "Gelatos de Leite com Fruta", 14, "Chocolate base água", 17, "Vegano", 20, "Alcoólicos", 23, "Zero", 26, "Gelatos Proteicos", 29, 8), 2)) + (ROUND(K259,4) &lt; INDEX('Tabela de ingredientes'!$O$1:$V$30, SWITCH(B259, "Gelatos de Leite", 7, "Sorbets", 10, "Gelatos de Leite com Fruta", 13, "Chocolate base água", 16, "Vegano", 19, "Alcoólicos", 22, "Zero", 25, "Gelatos Proteicos", 28, 7), 3)) + (ROUND(K259,4) &gt; INDEX('Tabela de ingredientes'!$O$1:$V$30, SWITCH(B259, "Gelatos de Leite", 8, "Sorbets", 11, "Gelatos de Leite com Fruta", 14, "Chocolate base água", 17, "Vegano", 20, "Alcoólicos", 23, "Zero", 26, "Gelatos Proteicos", 29, 8), 3)) + (ROUND(L259,4) &lt; INDEX('Tabela de ingredientes'!$O$1:$V$30, SWITCH(B259, "Gelatos de Leite", 7, "Sorbets", 10, "Gelatos de Leite com Fruta", 13, "Chocolate base água", 16, "Vegano", 19, "Alcoólicos", 22, "Zero", 25, "Gelatos Proteicos", 28, 7), 4)) + (ROUND(L259,4) &gt; INDEX('Tabela de ingredientes'!$O$1:$V$30, SWITCH(B259, "Gelatos de Leite", 8, "Sorbets", 11, "Gelatos de Leite com Fruta", 14, "Chocolate base água", 17, "Vegano", 20, "Alcoólicos", 23, "Zero", 26, "Gelatos Proteicos", 29, 8), 4)) + (ROUND(M259,4) &lt; INDEX('Tabela de ingredientes'!$O$1:$V$30, SWITCH(B259, "Gelatos de Leite", 7, "Sorbets", 10, "Gelatos de Leite com Fruta", 13, "Chocolate base água", 16, "Vegano", 19, "Alcoólicos", 22, "Zero", 25, "Gelatos Proteicos", 28, 7), 5)) + (ROUND(M259,4) &gt; INDEX('Tabela de ingredientes'!$O$1:$V$30, SWITCH(B259, "Gelatos de Leite", 8, "Sorbets", 11, "Gelatos de Leite com Fruta", 14, "Chocolate base água", 17, "Vegano", 20, "Alcoólicos", 23, "Zero", 26, "Gelatos Proteicos", 29, 8), 5)) + (ROUND(N259,4) &lt; INDEX('Tabela de ingredientes'!$O$1:$V$30, SWITCH(B259, "Gelatos de Leite", 7, "Sorbets", 10, "Gelatos de Leite com Fruta", 13, "Chocolate base água", 16, "Vegano", 19, "Alcoólicos", 22, "Zero", 25, "Gelatos Proteicos", 28, 7), 6)) + (ROUND(N259,4) &gt; INDEX('Tabela de ingredientes'!$O$1:$V$30, SWITCH(B259, "Gelatos de Leite", 8, "Sorbets", 11, "Gelatos de Leite com Fruta", 14, "Chocolate base água", 17, "Vegano", 20, "Alcoólicos", 23, "Zero", 26, "Gelatos Proteicos", 29, 8), 6)) + (ROUND(O259,4) &lt; INDEX('Tabela de ingredientes'!$O$1:$V$30, SWITCH(B259, "Gelatos de Leite", 7, "Sorbets", 10, "Gelatos de Leite com Fruta", 13, "Chocolate base água", 16, "Vegano", 19, "Alcoólicos", 22, "Zero", 25, "Gelatos Proteicos", 28, 7), 7)) + (ROUND(O259,4) &gt; INDEX('Tabela de ingredientes'!$O$1:$V$30, SWITCH(B259, "Gelatos de Leite", 8, "Sorbets", 11, "Gelatos de Leite com Fruta", 14, "Chocolate base água", 17, "Vegano", 20, "Alcoólicos", 23, "Zero", 26, "Gelatos Proteicos", 29, 8), 7)) + (ROUND(P259,4) &lt; INDEX('Tabela de ingredientes'!$O$1:$V$30, SWITCH(B259, "Gelatos de Leite", 7, "Sorbets", 10, "Gelatos de Leite com Fruta", 13, "Chocolate base água", 16, "Vegano", 19, "Alcoólicos", 22, "Zero", 25, "Gelatos Proteicos", 28, 7), 8)) + (ROUND(P259,4) &gt; INDEX('Tabela de ingredientes'!$O$1:$V$30, SWITCH(B259, "Gelatos de Leite", 8, "Sorbets", 11, "Gelatos de Leite com Fruta", 14, "Chocolate base água", 17, "Vegano", 20, "Alcoólicos", 23, "Zero", 26, "Gelatos Proteicos", 29, 8), 8)) + IF(B259="Gelatos Proteicos", (ROUND(Q259,4)&lt;'Tabela de ingredientes'!$W$28)+(ROUND(Q259,4)&gt;'Tabela de ingredientes'!$W$29), 0) = 0, "Ok", "Revisar"))</f>
        <v/>
      </c>
    </row>
    <row r="260">
      <c r="A260" s="264"/>
      <c r="B260" s="264" t="s">
        <v>187</v>
      </c>
      <c r="C260" s="264" t="s">
        <v>187</v>
      </c>
      <c r="D260" s="264" t="s">
        <v>187</v>
      </c>
      <c r="E260" s="264" t="s">
        <v>187</v>
      </c>
      <c r="F260" s="264" t="s">
        <v>187</v>
      </c>
      <c r="G260" s="264" t="s">
        <v>187</v>
      </c>
      <c r="H260" s="264" t="s">
        <v>187</v>
      </c>
      <c r="I260" s="264" t="s">
        <v>187</v>
      </c>
      <c r="J260" s="264" t="s">
        <v>187</v>
      </c>
      <c r="K260" s="264" t="s">
        <v>187</v>
      </c>
      <c r="L260" s="264" t="s">
        <v>187</v>
      </c>
      <c r="M260" s="264" t="s">
        <v>187</v>
      </c>
      <c r="N260" s="264" t="s">
        <v>187</v>
      </c>
      <c r="O260" s="264" t="s">
        <v>187</v>
      </c>
      <c r="P260" s="264" t="s">
        <v>187</v>
      </c>
      <c r="Q260" s="264" t="s">
        <v>187</v>
      </c>
      <c r="R260" s="264" t="s">
        <v>187</v>
      </c>
      <c r="S260" s="97" t="str">
        <f t="array" ref="S260">IF(A260="","", IF( (ROUND(I260,4) &lt; INDEX('Tabela de ingredientes'!$O$1:$V$30, SWITCH(B260, "Gelatos de Leite", 7, "Sorbets", 10, "Gelatos de Leite com Fruta", 13, "Chocolate base água", 16, "Vegano", 19, "Alcoólicos", 22, "Zero", 25, "Gelatos Proteicos", 28, 7), 1)) + (ROUND(I260,4) &gt; INDEX('Tabela de ingredientes'!$O$1:$V$30, SWITCH(B260, "Gelatos de Leite", 8, "Sorbets", 11, "Gelatos de Leite com Fruta", 14, "Chocolate base água", 17, "Vegano", 20, "Alcoólicos", 23, "Zero", 26, "Gelatos Proteicos", 29, 8), 1)) + (ROUND(J260,4) &lt; INDEX('Tabela de ingredientes'!$O$1:$V$30, SWITCH(B260, "Gelatos de Leite", 7, "Sorbets", 10, "Gelatos de Leite com Fruta", 13, "Chocolate base água", 16, "Vegano", 19, "Alcoólicos", 22, "Zero", 25, "Gelatos Proteicos", 28, 7), 2)) + (ROUND(J260,4) &gt; INDEX('Tabela de ingredientes'!$O$1:$V$30, SWITCH(B260, "Gelatos de Leite", 8, "Sorbets", 11, "Gelatos de Leite com Fruta", 14, "Chocolate base água", 17, "Vegano", 20, "Alcoólicos", 23, "Zero", 26, "Gelatos Proteicos", 29, 8), 2)) + (ROUND(K260,4) &lt; INDEX('Tabela de ingredientes'!$O$1:$V$30, SWITCH(B260, "Gelatos de Leite", 7, "Sorbets", 10, "Gelatos de Leite com Fruta", 13, "Chocolate base água", 16, "Vegano", 19, "Alcoólicos", 22, "Zero", 25, "Gelatos Proteicos", 28, 7), 3)) + (ROUND(K260,4) &gt; INDEX('Tabela de ingredientes'!$O$1:$V$30, SWITCH(B260, "Gelatos de Leite", 8, "Sorbets", 11, "Gelatos de Leite com Fruta", 14, "Chocolate base água", 17, "Vegano", 20, "Alcoólicos", 23, "Zero", 26, "Gelatos Proteicos", 29, 8), 3)) + (ROUND(L260,4) &lt; INDEX('Tabela de ingredientes'!$O$1:$V$30, SWITCH(B260, "Gelatos de Leite", 7, "Sorbets", 10, "Gelatos de Leite com Fruta", 13, "Chocolate base água", 16, "Vegano", 19, "Alcoólicos", 22, "Zero", 25, "Gelatos Proteicos", 28, 7), 4)) + (ROUND(L260,4) &gt; INDEX('Tabela de ingredientes'!$O$1:$V$30, SWITCH(B260, "Gelatos de Leite", 8, "Sorbets", 11, "Gelatos de Leite com Fruta", 14, "Chocolate base água", 17, "Vegano", 20, "Alcoólicos", 23, "Zero", 26, "Gelatos Proteicos", 29, 8), 4)) + (ROUND(M260,4) &lt; INDEX('Tabela de ingredientes'!$O$1:$V$30, SWITCH(B260, "Gelatos de Leite", 7, "Sorbets", 10, "Gelatos de Leite com Fruta", 13, "Chocolate base água", 16, "Vegano", 19, "Alcoólicos", 22, "Zero", 25, "Gelatos Proteicos", 28, 7), 5)) + (ROUND(M260,4) &gt; INDEX('Tabela de ingredientes'!$O$1:$V$30, SWITCH(B260, "Gelatos de Leite", 8, "Sorbets", 11, "Gelatos de Leite com Fruta", 14, "Chocolate base água", 17, "Vegano", 20, "Alcoólicos", 23, "Zero", 26, "Gelatos Proteicos", 29, 8), 5)) + (ROUND(N260,4) &lt; INDEX('Tabela de ingredientes'!$O$1:$V$30, SWITCH(B260, "Gelatos de Leite", 7, "Sorbets", 10, "Gelatos de Leite com Fruta", 13, "Chocolate base água", 16, "Vegano", 19, "Alcoólicos", 22, "Zero", 25, "Gelatos Proteicos", 28, 7), 6)) + (ROUND(N260,4) &gt; INDEX('Tabela de ingredientes'!$O$1:$V$30, SWITCH(B260, "Gelatos de Leite", 8, "Sorbets", 11, "Gelatos de Leite com Fruta", 14, "Chocolate base água", 17, "Vegano", 20, "Alcoólicos", 23, "Zero", 26, "Gelatos Proteicos", 29, 8), 6)) + (ROUND(O260,4) &lt; INDEX('Tabela de ingredientes'!$O$1:$V$30, SWITCH(B260, "Gelatos de Leite", 7, "Sorbets", 10, "Gelatos de Leite com Fruta", 13, "Chocolate base água", 16, "Vegano", 19, "Alcoólicos", 22, "Zero", 25, "Gelatos Proteicos", 28, 7), 7)) + (ROUND(O260,4) &gt; INDEX('Tabela de ingredientes'!$O$1:$V$30, SWITCH(B260, "Gelatos de Leite", 8, "Sorbets", 11, "Gelatos de Leite com Fruta", 14, "Chocolate base água", 17, "Vegano", 20, "Alcoólicos", 23, "Zero", 26, "Gelatos Proteicos", 29, 8), 7)) + (ROUND(P260,4) &lt; INDEX('Tabela de ingredientes'!$O$1:$V$30, SWITCH(B260, "Gelatos de Leite", 7, "Sorbets", 10, "Gelatos de Leite com Fruta", 13, "Chocolate base água", 16, "Vegano", 19, "Alcoólicos", 22, "Zero", 25, "Gelatos Proteicos", 28, 7), 8)) + (ROUND(P260,4) &gt; INDEX('Tabela de ingredientes'!$O$1:$V$30, SWITCH(B260, "Gelatos de Leite", 8, "Sorbets", 11, "Gelatos de Leite com Fruta", 14, "Chocolate base água", 17, "Vegano", 20, "Alcoólicos", 23, "Zero", 26, "Gelatos Proteicos", 29, 8), 8)) + IF(B260="Gelatos Proteicos", (ROUND(Q260,4)&lt;'Tabela de ingredientes'!$W$28)+(ROUND(Q260,4)&gt;'Tabela de ingredientes'!$W$29), 0) = 0, "Ok", "Revisar"))</f>
        <v/>
      </c>
    </row>
    <row r="261">
      <c r="A261" s="264"/>
      <c r="B261" s="264" t="s">
        <v>187</v>
      </c>
      <c r="C261" s="264" t="s">
        <v>187</v>
      </c>
      <c r="D261" s="264" t="s">
        <v>187</v>
      </c>
      <c r="E261" s="264" t="s">
        <v>187</v>
      </c>
      <c r="F261" s="264" t="s">
        <v>187</v>
      </c>
      <c r="G261" s="264" t="s">
        <v>187</v>
      </c>
      <c r="H261" s="264" t="s">
        <v>187</v>
      </c>
      <c r="I261" s="264" t="s">
        <v>187</v>
      </c>
      <c r="J261" s="264" t="s">
        <v>187</v>
      </c>
      <c r="K261" s="264" t="s">
        <v>187</v>
      </c>
      <c r="L261" s="264" t="s">
        <v>187</v>
      </c>
      <c r="M261" s="264" t="s">
        <v>187</v>
      </c>
      <c r="N261" s="264" t="s">
        <v>187</v>
      </c>
      <c r="O261" s="264" t="s">
        <v>187</v>
      </c>
      <c r="P261" s="264" t="s">
        <v>187</v>
      </c>
      <c r="Q261" s="264" t="s">
        <v>187</v>
      </c>
      <c r="R261" s="264" t="s">
        <v>187</v>
      </c>
      <c r="S261" s="97" t="str">
        <f t="array" ref="S261">IF(A261="","", IF( (ROUND(I261,4) &lt; INDEX('Tabela de ingredientes'!$O$1:$V$30, SWITCH(B261, "Gelatos de Leite", 7, "Sorbets", 10, "Gelatos de Leite com Fruta", 13, "Chocolate base água", 16, "Vegano", 19, "Alcoólicos", 22, "Zero", 25, "Gelatos Proteicos", 28, 7), 1)) + (ROUND(I261,4) &gt; INDEX('Tabela de ingredientes'!$O$1:$V$30, SWITCH(B261, "Gelatos de Leite", 8, "Sorbets", 11, "Gelatos de Leite com Fruta", 14, "Chocolate base água", 17, "Vegano", 20, "Alcoólicos", 23, "Zero", 26, "Gelatos Proteicos", 29, 8), 1)) + (ROUND(J261,4) &lt; INDEX('Tabela de ingredientes'!$O$1:$V$30, SWITCH(B261, "Gelatos de Leite", 7, "Sorbets", 10, "Gelatos de Leite com Fruta", 13, "Chocolate base água", 16, "Vegano", 19, "Alcoólicos", 22, "Zero", 25, "Gelatos Proteicos", 28, 7), 2)) + (ROUND(J261,4) &gt; INDEX('Tabela de ingredientes'!$O$1:$V$30, SWITCH(B261, "Gelatos de Leite", 8, "Sorbets", 11, "Gelatos de Leite com Fruta", 14, "Chocolate base água", 17, "Vegano", 20, "Alcoólicos", 23, "Zero", 26, "Gelatos Proteicos", 29, 8), 2)) + (ROUND(K261,4) &lt; INDEX('Tabela de ingredientes'!$O$1:$V$30, SWITCH(B261, "Gelatos de Leite", 7, "Sorbets", 10, "Gelatos de Leite com Fruta", 13, "Chocolate base água", 16, "Vegano", 19, "Alcoólicos", 22, "Zero", 25, "Gelatos Proteicos", 28, 7), 3)) + (ROUND(K261,4) &gt; INDEX('Tabela de ingredientes'!$O$1:$V$30, SWITCH(B261, "Gelatos de Leite", 8, "Sorbets", 11, "Gelatos de Leite com Fruta", 14, "Chocolate base água", 17, "Vegano", 20, "Alcoólicos", 23, "Zero", 26, "Gelatos Proteicos", 29, 8), 3)) + (ROUND(L261,4) &lt; INDEX('Tabela de ingredientes'!$O$1:$V$30, SWITCH(B261, "Gelatos de Leite", 7, "Sorbets", 10, "Gelatos de Leite com Fruta", 13, "Chocolate base água", 16, "Vegano", 19, "Alcoólicos", 22, "Zero", 25, "Gelatos Proteicos", 28, 7), 4)) + (ROUND(L261,4) &gt; INDEX('Tabela de ingredientes'!$O$1:$V$30, SWITCH(B261, "Gelatos de Leite", 8, "Sorbets", 11, "Gelatos de Leite com Fruta", 14, "Chocolate base água", 17, "Vegano", 20, "Alcoólicos", 23, "Zero", 26, "Gelatos Proteicos", 29, 8), 4)) + (ROUND(M261,4) &lt; INDEX('Tabela de ingredientes'!$O$1:$V$30, SWITCH(B261, "Gelatos de Leite", 7, "Sorbets", 10, "Gelatos de Leite com Fruta", 13, "Chocolate base água", 16, "Vegano", 19, "Alcoólicos", 22, "Zero", 25, "Gelatos Proteicos", 28, 7), 5)) + (ROUND(M261,4) &gt; INDEX('Tabela de ingredientes'!$O$1:$V$30, SWITCH(B261, "Gelatos de Leite", 8, "Sorbets", 11, "Gelatos de Leite com Fruta", 14, "Chocolate base água", 17, "Vegano", 20, "Alcoólicos", 23, "Zero", 26, "Gelatos Proteicos", 29, 8), 5)) + (ROUND(N261,4) &lt; INDEX('Tabela de ingredientes'!$O$1:$V$30, SWITCH(B261, "Gelatos de Leite", 7, "Sorbets", 10, "Gelatos de Leite com Fruta", 13, "Chocolate base água", 16, "Vegano", 19, "Alcoólicos", 22, "Zero", 25, "Gelatos Proteicos", 28, 7), 6)) + (ROUND(N261,4) &gt; INDEX('Tabela de ingredientes'!$O$1:$V$30, SWITCH(B261, "Gelatos de Leite", 8, "Sorbets", 11, "Gelatos de Leite com Fruta", 14, "Chocolate base água", 17, "Vegano", 20, "Alcoólicos", 23, "Zero", 26, "Gelatos Proteicos", 29, 8), 6)) + (ROUND(O261,4) &lt; INDEX('Tabela de ingredientes'!$O$1:$V$30, SWITCH(B261, "Gelatos de Leite", 7, "Sorbets", 10, "Gelatos de Leite com Fruta", 13, "Chocolate base água", 16, "Vegano", 19, "Alcoólicos", 22, "Zero", 25, "Gelatos Proteicos", 28, 7), 7)) + (ROUND(O261,4) &gt; INDEX('Tabela de ingredientes'!$O$1:$V$30, SWITCH(B261, "Gelatos de Leite", 8, "Sorbets", 11, "Gelatos de Leite com Fruta", 14, "Chocolate base água", 17, "Vegano", 20, "Alcoólicos", 23, "Zero", 26, "Gelatos Proteicos", 29, 8), 7)) + (ROUND(P261,4) &lt; INDEX('Tabela de ingredientes'!$O$1:$V$30, SWITCH(B261, "Gelatos de Leite", 7, "Sorbets", 10, "Gelatos de Leite com Fruta", 13, "Chocolate base água", 16, "Vegano", 19, "Alcoólicos", 22, "Zero", 25, "Gelatos Proteicos", 28, 7), 8)) + (ROUND(P261,4) &gt; INDEX('Tabela de ingredientes'!$O$1:$V$30, SWITCH(B261, "Gelatos de Leite", 8, "Sorbets", 11, "Gelatos de Leite com Fruta", 14, "Chocolate base água", 17, "Vegano", 20, "Alcoólicos", 23, "Zero", 26, "Gelatos Proteicos", 29, 8), 8)) + IF(B261="Gelatos Proteicos", (ROUND(Q261,4)&lt;'Tabela de ingredientes'!$W$28)+(ROUND(Q261,4)&gt;'Tabela de ingredientes'!$W$29), 0) = 0, "Ok", "Revisar"))</f>
        <v/>
      </c>
    </row>
    <row r="262">
      <c r="A262" s="264"/>
      <c r="B262" s="264" t="s">
        <v>187</v>
      </c>
      <c r="C262" s="264" t="s">
        <v>187</v>
      </c>
      <c r="D262" s="264" t="s">
        <v>187</v>
      </c>
      <c r="E262" s="264" t="s">
        <v>187</v>
      </c>
      <c r="F262" s="264" t="s">
        <v>187</v>
      </c>
      <c r="G262" s="264" t="s">
        <v>187</v>
      </c>
      <c r="H262" s="264" t="s">
        <v>187</v>
      </c>
      <c r="I262" s="264" t="s">
        <v>187</v>
      </c>
      <c r="J262" s="264" t="s">
        <v>187</v>
      </c>
      <c r="K262" s="264" t="s">
        <v>187</v>
      </c>
      <c r="L262" s="264" t="s">
        <v>187</v>
      </c>
      <c r="M262" s="264" t="s">
        <v>187</v>
      </c>
      <c r="N262" s="264" t="s">
        <v>187</v>
      </c>
      <c r="O262" s="264" t="s">
        <v>187</v>
      </c>
      <c r="P262" s="264" t="s">
        <v>187</v>
      </c>
      <c r="Q262" s="264" t="s">
        <v>187</v>
      </c>
      <c r="R262" s="264" t="s">
        <v>187</v>
      </c>
      <c r="S262" s="97" t="str">
        <f t="array" ref="S262">IF(A262="","", IF( (ROUND(I262,4) &lt; INDEX('Tabela de ingredientes'!$O$1:$V$30, SWITCH(B262, "Gelatos de Leite", 7, "Sorbets", 10, "Gelatos de Leite com Fruta", 13, "Chocolate base água", 16, "Vegano", 19, "Alcoólicos", 22, "Zero", 25, "Gelatos Proteicos", 28, 7), 1)) + (ROUND(I262,4) &gt; INDEX('Tabela de ingredientes'!$O$1:$V$30, SWITCH(B262, "Gelatos de Leite", 8, "Sorbets", 11, "Gelatos de Leite com Fruta", 14, "Chocolate base água", 17, "Vegano", 20, "Alcoólicos", 23, "Zero", 26, "Gelatos Proteicos", 29, 8), 1)) + (ROUND(J262,4) &lt; INDEX('Tabela de ingredientes'!$O$1:$V$30, SWITCH(B262, "Gelatos de Leite", 7, "Sorbets", 10, "Gelatos de Leite com Fruta", 13, "Chocolate base água", 16, "Vegano", 19, "Alcoólicos", 22, "Zero", 25, "Gelatos Proteicos", 28, 7), 2)) + (ROUND(J262,4) &gt; INDEX('Tabela de ingredientes'!$O$1:$V$30, SWITCH(B262, "Gelatos de Leite", 8, "Sorbets", 11, "Gelatos de Leite com Fruta", 14, "Chocolate base água", 17, "Vegano", 20, "Alcoólicos", 23, "Zero", 26, "Gelatos Proteicos", 29, 8), 2)) + (ROUND(K262,4) &lt; INDEX('Tabela de ingredientes'!$O$1:$V$30, SWITCH(B262, "Gelatos de Leite", 7, "Sorbets", 10, "Gelatos de Leite com Fruta", 13, "Chocolate base água", 16, "Vegano", 19, "Alcoólicos", 22, "Zero", 25, "Gelatos Proteicos", 28, 7), 3)) + (ROUND(K262,4) &gt; INDEX('Tabela de ingredientes'!$O$1:$V$30, SWITCH(B262, "Gelatos de Leite", 8, "Sorbets", 11, "Gelatos de Leite com Fruta", 14, "Chocolate base água", 17, "Vegano", 20, "Alcoólicos", 23, "Zero", 26, "Gelatos Proteicos", 29, 8), 3)) + (ROUND(L262,4) &lt; INDEX('Tabela de ingredientes'!$O$1:$V$30, SWITCH(B262, "Gelatos de Leite", 7, "Sorbets", 10, "Gelatos de Leite com Fruta", 13, "Chocolate base água", 16, "Vegano", 19, "Alcoólicos", 22, "Zero", 25, "Gelatos Proteicos", 28, 7), 4)) + (ROUND(L262,4) &gt; INDEX('Tabela de ingredientes'!$O$1:$V$30, SWITCH(B262, "Gelatos de Leite", 8, "Sorbets", 11, "Gelatos de Leite com Fruta", 14, "Chocolate base água", 17, "Vegano", 20, "Alcoólicos", 23, "Zero", 26, "Gelatos Proteicos", 29, 8), 4)) + (ROUND(M262,4) &lt; INDEX('Tabela de ingredientes'!$O$1:$V$30, SWITCH(B262, "Gelatos de Leite", 7, "Sorbets", 10, "Gelatos de Leite com Fruta", 13, "Chocolate base água", 16, "Vegano", 19, "Alcoólicos", 22, "Zero", 25, "Gelatos Proteicos", 28, 7), 5)) + (ROUND(M262,4) &gt; INDEX('Tabela de ingredientes'!$O$1:$V$30, SWITCH(B262, "Gelatos de Leite", 8, "Sorbets", 11, "Gelatos de Leite com Fruta", 14, "Chocolate base água", 17, "Vegano", 20, "Alcoólicos", 23, "Zero", 26, "Gelatos Proteicos", 29, 8), 5)) + (ROUND(N262,4) &lt; INDEX('Tabela de ingredientes'!$O$1:$V$30, SWITCH(B262, "Gelatos de Leite", 7, "Sorbets", 10, "Gelatos de Leite com Fruta", 13, "Chocolate base água", 16, "Vegano", 19, "Alcoólicos", 22, "Zero", 25, "Gelatos Proteicos", 28, 7), 6)) + (ROUND(N262,4) &gt; INDEX('Tabela de ingredientes'!$O$1:$V$30, SWITCH(B262, "Gelatos de Leite", 8, "Sorbets", 11, "Gelatos de Leite com Fruta", 14, "Chocolate base água", 17, "Vegano", 20, "Alcoólicos", 23, "Zero", 26, "Gelatos Proteicos", 29, 8), 6)) + (ROUND(O262,4) &lt; INDEX('Tabela de ingredientes'!$O$1:$V$30, SWITCH(B262, "Gelatos de Leite", 7, "Sorbets", 10, "Gelatos de Leite com Fruta", 13, "Chocolate base água", 16, "Vegano", 19, "Alcoólicos", 22, "Zero", 25, "Gelatos Proteicos", 28, 7), 7)) + (ROUND(O262,4) &gt; INDEX('Tabela de ingredientes'!$O$1:$V$30, SWITCH(B262, "Gelatos de Leite", 8, "Sorbets", 11, "Gelatos de Leite com Fruta", 14, "Chocolate base água", 17, "Vegano", 20, "Alcoólicos", 23, "Zero", 26, "Gelatos Proteicos", 29, 8), 7)) + (ROUND(P262,4) &lt; INDEX('Tabela de ingredientes'!$O$1:$V$30, SWITCH(B262, "Gelatos de Leite", 7, "Sorbets", 10, "Gelatos de Leite com Fruta", 13, "Chocolate base água", 16, "Vegano", 19, "Alcoólicos", 22, "Zero", 25, "Gelatos Proteicos", 28, 7), 8)) + (ROUND(P262,4) &gt; INDEX('Tabela de ingredientes'!$O$1:$V$30, SWITCH(B262, "Gelatos de Leite", 8, "Sorbets", 11, "Gelatos de Leite com Fruta", 14, "Chocolate base água", 17, "Vegano", 20, "Alcoólicos", 23, "Zero", 26, "Gelatos Proteicos", 29, 8), 8)) + IF(B262="Gelatos Proteicos", (ROUND(Q262,4)&lt;'Tabela de ingredientes'!$W$28)+(ROUND(Q262,4)&gt;'Tabela de ingredientes'!$W$29), 0) = 0, "Ok", "Revisar"))</f>
        <v/>
      </c>
    </row>
    <row r="263">
      <c r="A263" s="264"/>
      <c r="B263" s="264" t="s">
        <v>187</v>
      </c>
      <c r="C263" s="264" t="s">
        <v>187</v>
      </c>
      <c r="D263" s="264" t="s">
        <v>187</v>
      </c>
      <c r="E263" s="264" t="s">
        <v>187</v>
      </c>
      <c r="F263" s="264" t="s">
        <v>187</v>
      </c>
      <c r="G263" s="264" t="s">
        <v>187</v>
      </c>
      <c r="H263" s="264" t="s">
        <v>187</v>
      </c>
      <c r="I263" s="264" t="s">
        <v>187</v>
      </c>
      <c r="J263" s="264" t="s">
        <v>187</v>
      </c>
      <c r="K263" s="264" t="s">
        <v>187</v>
      </c>
      <c r="L263" s="264" t="s">
        <v>187</v>
      </c>
      <c r="M263" s="264" t="s">
        <v>187</v>
      </c>
      <c r="N263" s="264" t="s">
        <v>187</v>
      </c>
      <c r="O263" s="264" t="s">
        <v>187</v>
      </c>
      <c r="P263" s="264" t="s">
        <v>187</v>
      </c>
      <c r="Q263" s="264" t="s">
        <v>187</v>
      </c>
      <c r="R263" s="264" t="s">
        <v>187</v>
      </c>
      <c r="S263" s="97" t="str">
        <f t="array" ref="S263">IF(A263="","", IF( (ROUND(I263,4) &lt; INDEX('Tabela de ingredientes'!$O$1:$V$30, SWITCH(B263, "Gelatos de Leite", 7, "Sorbets", 10, "Gelatos de Leite com Fruta", 13, "Chocolate base água", 16, "Vegano", 19, "Alcoólicos", 22, "Zero", 25, "Gelatos Proteicos", 28, 7), 1)) + (ROUND(I263,4) &gt; INDEX('Tabela de ingredientes'!$O$1:$V$30, SWITCH(B263, "Gelatos de Leite", 8, "Sorbets", 11, "Gelatos de Leite com Fruta", 14, "Chocolate base água", 17, "Vegano", 20, "Alcoólicos", 23, "Zero", 26, "Gelatos Proteicos", 29, 8), 1)) + (ROUND(J263,4) &lt; INDEX('Tabela de ingredientes'!$O$1:$V$30, SWITCH(B263, "Gelatos de Leite", 7, "Sorbets", 10, "Gelatos de Leite com Fruta", 13, "Chocolate base água", 16, "Vegano", 19, "Alcoólicos", 22, "Zero", 25, "Gelatos Proteicos", 28, 7), 2)) + (ROUND(J263,4) &gt; INDEX('Tabela de ingredientes'!$O$1:$V$30, SWITCH(B263, "Gelatos de Leite", 8, "Sorbets", 11, "Gelatos de Leite com Fruta", 14, "Chocolate base água", 17, "Vegano", 20, "Alcoólicos", 23, "Zero", 26, "Gelatos Proteicos", 29, 8), 2)) + (ROUND(K263,4) &lt; INDEX('Tabela de ingredientes'!$O$1:$V$30, SWITCH(B263, "Gelatos de Leite", 7, "Sorbets", 10, "Gelatos de Leite com Fruta", 13, "Chocolate base água", 16, "Vegano", 19, "Alcoólicos", 22, "Zero", 25, "Gelatos Proteicos", 28, 7), 3)) + (ROUND(K263,4) &gt; INDEX('Tabela de ingredientes'!$O$1:$V$30, SWITCH(B263, "Gelatos de Leite", 8, "Sorbets", 11, "Gelatos de Leite com Fruta", 14, "Chocolate base água", 17, "Vegano", 20, "Alcoólicos", 23, "Zero", 26, "Gelatos Proteicos", 29, 8), 3)) + (ROUND(L263,4) &lt; INDEX('Tabela de ingredientes'!$O$1:$V$30, SWITCH(B263, "Gelatos de Leite", 7, "Sorbets", 10, "Gelatos de Leite com Fruta", 13, "Chocolate base água", 16, "Vegano", 19, "Alcoólicos", 22, "Zero", 25, "Gelatos Proteicos", 28, 7), 4)) + (ROUND(L263,4) &gt; INDEX('Tabela de ingredientes'!$O$1:$V$30, SWITCH(B263, "Gelatos de Leite", 8, "Sorbets", 11, "Gelatos de Leite com Fruta", 14, "Chocolate base água", 17, "Vegano", 20, "Alcoólicos", 23, "Zero", 26, "Gelatos Proteicos", 29, 8), 4)) + (ROUND(M263,4) &lt; INDEX('Tabela de ingredientes'!$O$1:$V$30, SWITCH(B263, "Gelatos de Leite", 7, "Sorbets", 10, "Gelatos de Leite com Fruta", 13, "Chocolate base água", 16, "Vegano", 19, "Alcoólicos", 22, "Zero", 25, "Gelatos Proteicos", 28, 7), 5)) + (ROUND(M263,4) &gt; INDEX('Tabela de ingredientes'!$O$1:$V$30, SWITCH(B263, "Gelatos de Leite", 8, "Sorbets", 11, "Gelatos de Leite com Fruta", 14, "Chocolate base água", 17, "Vegano", 20, "Alcoólicos", 23, "Zero", 26, "Gelatos Proteicos", 29, 8), 5)) + (ROUND(N263,4) &lt; INDEX('Tabela de ingredientes'!$O$1:$V$30, SWITCH(B263, "Gelatos de Leite", 7, "Sorbets", 10, "Gelatos de Leite com Fruta", 13, "Chocolate base água", 16, "Vegano", 19, "Alcoólicos", 22, "Zero", 25, "Gelatos Proteicos", 28, 7), 6)) + (ROUND(N263,4) &gt; INDEX('Tabela de ingredientes'!$O$1:$V$30, SWITCH(B263, "Gelatos de Leite", 8, "Sorbets", 11, "Gelatos de Leite com Fruta", 14, "Chocolate base água", 17, "Vegano", 20, "Alcoólicos", 23, "Zero", 26, "Gelatos Proteicos", 29, 8), 6)) + (ROUND(O263,4) &lt; INDEX('Tabela de ingredientes'!$O$1:$V$30, SWITCH(B263, "Gelatos de Leite", 7, "Sorbets", 10, "Gelatos de Leite com Fruta", 13, "Chocolate base água", 16, "Vegano", 19, "Alcoólicos", 22, "Zero", 25, "Gelatos Proteicos", 28, 7), 7)) + (ROUND(O263,4) &gt; INDEX('Tabela de ingredientes'!$O$1:$V$30, SWITCH(B263, "Gelatos de Leite", 8, "Sorbets", 11, "Gelatos de Leite com Fruta", 14, "Chocolate base água", 17, "Vegano", 20, "Alcoólicos", 23, "Zero", 26, "Gelatos Proteicos", 29, 8), 7)) + (ROUND(P263,4) &lt; INDEX('Tabela de ingredientes'!$O$1:$V$30, SWITCH(B263, "Gelatos de Leite", 7, "Sorbets", 10, "Gelatos de Leite com Fruta", 13, "Chocolate base água", 16, "Vegano", 19, "Alcoólicos", 22, "Zero", 25, "Gelatos Proteicos", 28, 7), 8)) + (ROUND(P263,4) &gt; INDEX('Tabela de ingredientes'!$O$1:$V$30, SWITCH(B263, "Gelatos de Leite", 8, "Sorbets", 11, "Gelatos de Leite com Fruta", 14, "Chocolate base água", 17, "Vegano", 20, "Alcoólicos", 23, "Zero", 26, "Gelatos Proteicos", 29, 8), 8)) + IF(B263="Gelatos Proteicos", (ROUND(Q263,4)&lt;'Tabela de ingredientes'!$W$28)+(ROUND(Q263,4)&gt;'Tabela de ingredientes'!$W$29), 0) = 0, "Ok", "Revisar"))</f>
        <v/>
      </c>
    </row>
    <row r="264">
      <c r="A264" s="264"/>
      <c r="B264" s="264" t="s">
        <v>187</v>
      </c>
      <c r="C264" s="264" t="s">
        <v>187</v>
      </c>
      <c r="D264" s="264" t="s">
        <v>187</v>
      </c>
      <c r="E264" s="264" t="s">
        <v>187</v>
      </c>
      <c r="F264" s="264" t="s">
        <v>187</v>
      </c>
      <c r="G264" s="264" t="s">
        <v>187</v>
      </c>
      <c r="H264" s="264" t="s">
        <v>187</v>
      </c>
      <c r="I264" s="264" t="s">
        <v>187</v>
      </c>
      <c r="J264" s="264" t="s">
        <v>187</v>
      </c>
      <c r="K264" s="264" t="s">
        <v>187</v>
      </c>
      <c r="L264" s="264" t="s">
        <v>187</v>
      </c>
      <c r="M264" s="264" t="s">
        <v>187</v>
      </c>
      <c r="N264" s="264" t="s">
        <v>187</v>
      </c>
      <c r="O264" s="264" t="s">
        <v>187</v>
      </c>
      <c r="P264" s="264" t="s">
        <v>187</v>
      </c>
      <c r="Q264" s="264" t="s">
        <v>187</v>
      </c>
      <c r="R264" s="264" t="s">
        <v>187</v>
      </c>
      <c r="S264" s="97" t="str">
        <f t="array" ref="S264">IF(A264="","", IF( (ROUND(I264,4) &lt; INDEX('Tabela de ingredientes'!$O$1:$V$30, SWITCH(B264, "Gelatos de Leite", 7, "Sorbets", 10, "Gelatos de Leite com Fruta", 13, "Chocolate base água", 16, "Vegano", 19, "Alcoólicos", 22, "Zero", 25, "Gelatos Proteicos", 28, 7), 1)) + (ROUND(I264,4) &gt; INDEX('Tabela de ingredientes'!$O$1:$V$30, SWITCH(B264, "Gelatos de Leite", 8, "Sorbets", 11, "Gelatos de Leite com Fruta", 14, "Chocolate base água", 17, "Vegano", 20, "Alcoólicos", 23, "Zero", 26, "Gelatos Proteicos", 29, 8), 1)) + (ROUND(J264,4) &lt; INDEX('Tabela de ingredientes'!$O$1:$V$30, SWITCH(B264, "Gelatos de Leite", 7, "Sorbets", 10, "Gelatos de Leite com Fruta", 13, "Chocolate base água", 16, "Vegano", 19, "Alcoólicos", 22, "Zero", 25, "Gelatos Proteicos", 28, 7), 2)) + (ROUND(J264,4) &gt; INDEX('Tabela de ingredientes'!$O$1:$V$30, SWITCH(B264, "Gelatos de Leite", 8, "Sorbets", 11, "Gelatos de Leite com Fruta", 14, "Chocolate base água", 17, "Vegano", 20, "Alcoólicos", 23, "Zero", 26, "Gelatos Proteicos", 29, 8), 2)) + (ROUND(K264,4) &lt; INDEX('Tabela de ingredientes'!$O$1:$V$30, SWITCH(B264, "Gelatos de Leite", 7, "Sorbets", 10, "Gelatos de Leite com Fruta", 13, "Chocolate base água", 16, "Vegano", 19, "Alcoólicos", 22, "Zero", 25, "Gelatos Proteicos", 28, 7), 3)) + (ROUND(K264,4) &gt; INDEX('Tabela de ingredientes'!$O$1:$V$30, SWITCH(B264, "Gelatos de Leite", 8, "Sorbets", 11, "Gelatos de Leite com Fruta", 14, "Chocolate base água", 17, "Vegano", 20, "Alcoólicos", 23, "Zero", 26, "Gelatos Proteicos", 29, 8), 3)) + (ROUND(L264,4) &lt; INDEX('Tabela de ingredientes'!$O$1:$V$30, SWITCH(B264, "Gelatos de Leite", 7, "Sorbets", 10, "Gelatos de Leite com Fruta", 13, "Chocolate base água", 16, "Vegano", 19, "Alcoólicos", 22, "Zero", 25, "Gelatos Proteicos", 28, 7), 4)) + (ROUND(L264,4) &gt; INDEX('Tabela de ingredientes'!$O$1:$V$30, SWITCH(B264, "Gelatos de Leite", 8, "Sorbets", 11, "Gelatos de Leite com Fruta", 14, "Chocolate base água", 17, "Vegano", 20, "Alcoólicos", 23, "Zero", 26, "Gelatos Proteicos", 29, 8), 4)) + (ROUND(M264,4) &lt; INDEX('Tabela de ingredientes'!$O$1:$V$30, SWITCH(B264, "Gelatos de Leite", 7, "Sorbets", 10, "Gelatos de Leite com Fruta", 13, "Chocolate base água", 16, "Vegano", 19, "Alcoólicos", 22, "Zero", 25, "Gelatos Proteicos", 28, 7), 5)) + (ROUND(M264,4) &gt; INDEX('Tabela de ingredientes'!$O$1:$V$30, SWITCH(B264, "Gelatos de Leite", 8, "Sorbets", 11, "Gelatos de Leite com Fruta", 14, "Chocolate base água", 17, "Vegano", 20, "Alcoólicos", 23, "Zero", 26, "Gelatos Proteicos", 29, 8), 5)) + (ROUND(N264,4) &lt; INDEX('Tabela de ingredientes'!$O$1:$V$30, SWITCH(B264, "Gelatos de Leite", 7, "Sorbets", 10, "Gelatos de Leite com Fruta", 13, "Chocolate base água", 16, "Vegano", 19, "Alcoólicos", 22, "Zero", 25, "Gelatos Proteicos", 28, 7), 6)) + (ROUND(N264,4) &gt; INDEX('Tabela de ingredientes'!$O$1:$V$30, SWITCH(B264, "Gelatos de Leite", 8, "Sorbets", 11, "Gelatos de Leite com Fruta", 14, "Chocolate base água", 17, "Vegano", 20, "Alcoólicos", 23, "Zero", 26, "Gelatos Proteicos", 29, 8), 6)) + (ROUND(O264,4) &lt; INDEX('Tabela de ingredientes'!$O$1:$V$30, SWITCH(B264, "Gelatos de Leite", 7, "Sorbets", 10, "Gelatos de Leite com Fruta", 13, "Chocolate base água", 16, "Vegano", 19, "Alcoólicos", 22, "Zero", 25, "Gelatos Proteicos", 28, 7), 7)) + (ROUND(O264,4) &gt; INDEX('Tabela de ingredientes'!$O$1:$V$30, SWITCH(B264, "Gelatos de Leite", 8, "Sorbets", 11, "Gelatos de Leite com Fruta", 14, "Chocolate base água", 17, "Vegano", 20, "Alcoólicos", 23, "Zero", 26, "Gelatos Proteicos", 29, 8), 7)) + (ROUND(P264,4) &lt; INDEX('Tabela de ingredientes'!$O$1:$V$30, SWITCH(B264, "Gelatos de Leite", 7, "Sorbets", 10, "Gelatos de Leite com Fruta", 13, "Chocolate base água", 16, "Vegano", 19, "Alcoólicos", 22, "Zero", 25, "Gelatos Proteicos", 28, 7), 8)) + (ROUND(P264,4) &gt; INDEX('Tabela de ingredientes'!$O$1:$V$30, SWITCH(B264, "Gelatos de Leite", 8, "Sorbets", 11, "Gelatos de Leite com Fruta", 14, "Chocolate base água", 17, "Vegano", 20, "Alcoólicos", 23, "Zero", 26, "Gelatos Proteicos", 29, 8), 8)) + IF(B264="Gelatos Proteicos", (ROUND(Q264,4)&lt;'Tabela de ingredientes'!$W$28)+(ROUND(Q264,4)&gt;'Tabela de ingredientes'!$W$29), 0) = 0, "Ok", "Revisar"))</f>
        <v/>
      </c>
    </row>
    <row r="265">
      <c r="A265" s="264"/>
      <c r="B265" s="264" t="s">
        <v>187</v>
      </c>
      <c r="C265" s="264" t="s">
        <v>187</v>
      </c>
      <c r="D265" s="264" t="s">
        <v>187</v>
      </c>
      <c r="E265" s="264" t="s">
        <v>187</v>
      </c>
      <c r="F265" s="264" t="s">
        <v>187</v>
      </c>
      <c r="G265" s="264" t="s">
        <v>187</v>
      </c>
      <c r="H265" s="264" t="s">
        <v>187</v>
      </c>
      <c r="I265" s="264" t="s">
        <v>187</v>
      </c>
      <c r="J265" s="264" t="s">
        <v>187</v>
      </c>
      <c r="K265" s="264" t="s">
        <v>187</v>
      </c>
      <c r="L265" s="264" t="s">
        <v>187</v>
      </c>
      <c r="M265" s="264" t="s">
        <v>187</v>
      </c>
      <c r="N265" s="264" t="s">
        <v>187</v>
      </c>
      <c r="O265" s="264" t="s">
        <v>187</v>
      </c>
      <c r="P265" s="264" t="s">
        <v>187</v>
      </c>
      <c r="Q265" s="264" t="s">
        <v>187</v>
      </c>
      <c r="R265" s="264" t="s">
        <v>187</v>
      </c>
      <c r="S265" s="97" t="str">
        <f t="array" ref="S265">IF(A265="","", IF( (ROUND(I265,4) &lt; INDEX('Tabela de ingredientes'!$O$1:$V$30, SWITCH(B265, "Gelatos de Leite", 7, "Sorbets", 10, "Gelatos de Leite com Fruta", 13, "Chocolate base água", 16, "Vegano", 19, "Alcoólicos", 22, "Zero", 25, "Gelatos Proteicos", 28, 7), 1)) + (ROUND(I265,4) &gt; INDEX('Tabela de ingredientes'!$O$1:$V$30, SWITCH(B265, "Gelatos de Leite", 8, "Sorbets", 11, "Gelatos de Leite com Fruta", 14, "Chocolate base água", 17, "Vegano", 20, "Alcoólicos", 23, "Zero", 26, "Gelatos Proteicos", 29, 8), 1)) + (ROUND(J265,4) &lt; INDEX('Tabela de ingredientes'!$O$1:$V$30, SWITCH(B265, "Gelatos de Leite", 7, "Sorbets", 10, "Gelatos de Leite com Fruta", 13, "Chocolate base água", 16, "Vegano", 19, "Alcoólicos", 22, "Zero", 25, "Gelatos Proteicos", 28, 7), 2)) + (ROUND(J265,4) &gt; INDEX('Tabela de ingredientes'!$O$1:$V$30, SWITCH(B265, "Gelatos de Leite", 8, "Sorbets", 11, "Gelatos de Leite com Fruta", 14, "Chocolate base água", 17, "Vegano", 20, "Alcoólicos", 23, "Zero", 26, "Gelatos Proteicos", 29, 8), 2)) + (ROUND(K265,4) &lt; INDEX('Tabela de ingredientes'!$O$1:$V$30, SWITCH(B265, "Gelatos de Leite", 7, "Sorbets", 10, "Gelatos de Leite com Fruta", 13, "Chocolate base água", 16, "Vegano", 19, "Alcoólicos", 22, "Zero", 25, "Gelatos Proteicos", 28, 7), 3)) + (ROUND(K265,4) &gt; INDEX('Tabela de ingredientes'!$O$1:$V$30, SWITCH(B265, "Gelatos de Leite", 8, "Sorbets", 11, "Gelatos de Leite com Fruta", 14, "Chocolate base água", 17, "Vegano", 20, "Alcoólicos", 23, "Zero", 26, "Gelatos Proteicos", 29, 8), 3)) + (ROUND(L265,4) &lt; INDEX('Tabela de ingredientes'!$O$1:$V$30, SWITCH(B265, "Gelatos de Leite", 7, "Sorbets", 10, "Gelatos de Leite com Fruta", 13, "Chocolate base água", 16, "Vegano", 19, "Alcoólicos", 22, "Zero", 25, "Gelatos Proteicos", 28, 7), 4)) + (ROUND(L265,4) &gt; INDEX('Tabela de ingredientes'!$O$1:$V$30, SWITCH(B265, "Gelatos de Leite", 8, "Sorbets", 11, "Gelatos de Leite com Fruta", 14, "Chocolate base água", 17, "Vegano", 20, "Alcoólicos", 23, "Zero", 26, "Gelatos Proteicos", 29, 8), 4)) + (ROUND(M265,4) &lt; INDEX('Tabela de ingredientes'!$O$1:$V$30, SWITCH(B265, "Gelatos de Leite", 7, "Sorbets", 10, "Gelatos de Leite com Fruta", 13, "Chocolate base água", 16, "Vegano", 19, "Alcoólicos", 22, "Zero", 25, "Gelatos Proteicos", 28, 7), 5)) + (ROUND(M265,4) &gt; INDEX('Tabela de ingredientes'!$O$1:$V$30, SWITCH(B265, "Gelatos de Leite", 8, "Sorbets", 11, "Gelatos de Leite com Fruta", 14, "Chocolate base água", 17, "Vegano", 20, "Alcoólicos", 23, "Zero", 26, "Gelatos Proteicos", 29, 8), 5)) + (ROUND(N265,4) &lt; INDEX('Tabela de ingredientes'!$O$1:$V$30, SWITCH(B265, "Gelatos de Leite", 7, "Sorbets", 10, "Gelatos de Leite com Fruta", 13, "Chocolate base água", 16, "Vegano", 19, "Alcoólicos", 22, "Zero", 25, "Gelatos Proteicos", 28, 7), 6)) + (ROUND(N265,4) &gt; INDEX('Tabela de ingredientes'!$O$1:$V$30, SWITCH(B265, "Gelatos de Leite", 8, "Sorbets", 11, "Gelatos de Leite com Fruta", 14, "Chocolate base água", 17, "Vegano", 20, "Alcoólicos", 23, "Zero", 26, "Gelatos Proteicos", 29, 8), 6)) + (ROUND(O265,4) &lt; INDEX('Tabela de ingredientes'!$O$1:$V$30, SWITCH(B265, "Gelatos de Leite", 7, "Sorbets", 10, "Gelatos de Leite com Fruta", 13, "Chocolate base água", 16, "Vegano", 19, "Alcoólicos", 22, "Zero", 25, "Gelatos Proteicos", 28, 7), 7)) + (ROUND(O265,4) &gt; INDEX('Tabela de ingredientes'!$O$1:$V$30, SWITCH(B265, "Gelatos de Leite", 8, "Sorbets", 11, "Gelatos de Leite com Fruta", 14, "Chocolate base água", 17, "Vegano", 20, "Alcoólicos", 23, "Zero", 26, "Gelatos Proteicos", 29, 8), 7)) + (ROUND(P265,4) &lt; INDEX('Tabela de ingredientes'!$O$1:$V$30, SWITCH(B265, "Gelatos de Leite", 7, "Sorbets", 10, "Gelatos de Leite com Fruta", 13, "Chocolate base água", 16, "Vegano", 19, "Alcoólicos", 22, "Zero", 25, "Gelatos Proteicos", 28, 7), 8)) + (ROUND(P265,4) &gt; INDEX('Tabela de ingredientes'!$O$1:$V$30, SWITCH(B265, "Gelatos de Leite", 8, "Sorbets", 11, "Gelatos de Leite com Fruta", 14, "Chocolate base água", 17, "Vegano", 20, "Alcoólicos", 23, "Zero", 26, "Gelatos Proteicos", 29, 8), 8)) + IF(B265="Gelatos Proteicos", (ROUND(Q265,4)&lt;'Tabela de ingredientes'!$W$28)+(ROUND(Q265,4)&gt;'Tabela de ingredientes'!$W$29), 0) = 0, "Ok", "Revisar"))</f>
        <v/>
      </c>
    </row>
    <row r="266">
      <c r="A266" s="264"/>
      <c r="B266" s="264" t="s">
        <v>187</v>
      </c>
      <c r="C266" s="264" t="s">
        <v>187</v>
      </c>
      <c r="D266" s="264" t="s">
        <v>187</v>
      </c>
      <c r="E266" s="264" t="s">
        <v>187</v>
      </c>
      <c r="F266" s="264" t="s">
        <v>187</v>
      </c>
      <c r="G266" s="264" t="s">
        <v>187</v>
      </c>
      <c r="H266" s="264" t="s">
        <v>187</v>
      </c>
      <c r="I266" s="264" t="s">
        <v>187</v>
      </c>
      <c r="J266" s="264" t="s">
        <v>187</v>
      </c>
      <c r="K266" s="264" t="s">
        <v>187</v>
      </c>
      <c r="L266" s="264" t="s">
        <v>187</v>
      </c>
      <c r="M266" s="264" t="s">
        <v>187</v>
      </c>
      <c r="N266" s="264" t="s">
        <v>187</v>
      </c>
      <c r="O266" s="264" t="s">
        <v>187</v>
      </c>
      <c r="P266" s="264" t="s">
        <v>187</v>
      </c>
      <c r="Q266" s="264" t="s">
        <v>187</v>
      </c>
      <c r="R266" s="264" t="s">
        <v>187</v>
      </c>
      <c r="S266" s="97" t="str">
        <f t="array" ref="S266">IF(A266="","", IF( (ROUND(I266,4) &lt; INDEX('Tabela de ingredientes'!$O$1:$V$30, SWITCH(B266, "Gelatos de Leite", 7, "Sorbets", 10, "Gelatos de Leite com Fruta", 13, "Chocolate base água", 16, "Vegano", 19, "Alcoólicos", 22, "Zero", 25, "Gelatos Proteicos", 28, 7), 1)) + (ROUND(I266,4) &gt; INDEX('Tabela de ingredientes'!$O$1:$V$30, SWITCH(B266, "Gelatos de Leite", 8, "Sorbets", 11, "Gelatos de Leite com Fruta", 14, "Chocolate base água", 17, "Vegano", 20, "Alcoólicos", 23, "Zero", 26, "Gelatos Proteicos", 29, 8), 1)) + (ROUND(J266,4) &lt; INDEX('Tabela de ingredientes'!$O$1:$V$30, SWITCH(B266, "Gelatos de Leite", 7, "Sorbets", 10, "Gelatos de Leite com Fruta", 13, "Chocolate base água", 16, "Vegano", 19, "Alcoólicos", 22, "Zero", 25, "Gelatos Proteicos", 28, 7), 2)) + (ROUND(J266,4) &gt; INDEX('Tabela de ingredientes'!$O$1:$V$30, SWITCH(B266, "Gelatos de Leite", 8, "Sorbets", 11, "Gelatos de Leite com Fruta", 14, "Chocolate base água", 17, "Vegano", 20, "Alcoólicos", 23, "Zero", 26, "Gelatos Proteicos", 29, 8), 2)) + (ROUND(K266,4) &lt; INDEX('Tabela de ingredientes'!$O$1:$V$30, SWITCH(B266, "Gelatos de Leite", 7, "Sorbets", 10, "Gelatos de Leite com Fruta", 13, "Chocolate base água", 16, "Vegano", 19, "Alcoólicos", 22, "Zero", 25, "Gelatos Proteicos", 28, 7), 3)) + (ROUND(K266,4) &gt; INDEX('Tabela de ingredientes'!$O$1:$V$30, SWITCH(B266, "Gelatos de Leite", 8, "Sorbets", 11, "Gelatos de Leite com Fruta", 14, "Chocolate base água", 17, "Vegano", 20, "Alcoólicos", 23, "Zero", 26, "Gelatos Proteicos", 29, 8), 3)) + (ROUND(L266,4) &lt; INDEX('Tabela de ingredientes'!$O$1:$V$30, SWITCH(B266, "Gelatos de Leite", 7, "Sorbets", 10, "Gelatos de Leite com Fruta", 13, "Chocolate base água", 16, "Vegano", 19, "Alcoólicos", 22, "Zero", 25, "Gelatos Proteicos", 28, 7), 4)) + (ROUND(L266,4) &gt; INDEX('Tabela de ingredientes'!$O$1:$V$30, SWITCH(B266, "Gelatos de Leite", 8, "Sorbets", 11, "Gelatos de Leite com Fruta", 14, "Chocolate base água", 17, "Vegano", 20, "Alcoólicos", 23, "Zero", 26, "Gelatos Proteicos", 29, 8), 4)) + (ROUND(M266,4) &lt; INDEX('Tabela de ingredientes'!$O$1:$V$30, SWITCH(B266, "Gelatos de Leite", 7, "Sorbets", 10, "Gelatos de Leite com Fruta", 13, "Chocolate base água", 16, "Vegano", 19, "Alcoólicos", 22, "Zero", 25, "Gelatos Proteicos", 28, 7), 5)) + (ROUND(M266,4) &gt; INDEX('Tabela de ingredientes'!$O$1:$V$30, SWITCH(B266, "Gelatos de Leite", 8, "Sorbets", 11, "Gelatos de Leite com Fruta", 14, "Chocolate base água", 17, "Vegano", 20, "Alcoólicos", 23, "Zero", 26, "Gelatos Proteicos", 29, 8), 5)) + (ROUND(N266,4) &lt; INDEX('Tabela de ingredientes'!$O$1:$V$30, SWITCH(B266, "Gelatos de Leite", 7, "Sorbets", 10, "Gelatos de Leite com Fruta", 13, "Chocolate base água", 16, "Vegano", 19, "Alcoólicos", 22, "Zero", 25, "Gelatos Proteicos", 28, 7), 6)) + (ROUND(N266,4) &gt; INDEX('Tabela de ingredientes'!$O$1:$V$30, SWITCH(B266, "Gelatos de Leite", 8, "Sorbets", 11, "Gelatos de Leite com Fruta", 14, "Chocolate base água", 17, "Vegano", 20, "Alcoólicos", 23, "Zero", 26, "Gelatos Proteicos", 29, 8), 6)) + (ROUND(O266,4) &lt; INDEX('Tabela de ingredientes'!$O$1:$V$30, SWITCH(B266, "Gelatos de Leite", 7, "Sorbets", 10, "Gelatos de Leite com Fruta", 13, "Chocolate base água", 16, "Vegano", 19, "Alcoólicos", 22, "Zero", 25, "Gelatos Proteicos", 28, 7), 7)) + (ROUND(O266,4) &gt; INDEX('Tabela de ingredientes'!$O$1:$V$30, SWITCH(B266, "Gelatos de Leite", 8, "Sorbets", 11, "Gelatos de Leite com Fruta", 14, "Chocolate base água", 17, "Vegano", 20, "Alcoólicos", 23, "Zero", 26, "Gelatos Proteicos", 29, 8), 7)) + (ROUND(P266,4) &lt; INDEX('Tabela de ingredientes'!$O$1:$V$30, SWITCH(B266, "Gelatos de Leite", 7, "Sorbets", 10, "Gelatos de Leite com Fruta", 13, "Chocolate base água", 16, "Vegano", 19, "Alcoólicos", 22, "Zero", 25, "Gelatos Proteicos", 28, 7), 8)) + (ROUND(P266,4) &gt; INDEX('Tabela de ingredientes'!$O$1:$V$30, SWITCH(B266, "Gelatos de Leite", 8, "Sorbets", 11, "Gelatos de Leite com Fruta", 14, "Chocolate base água", 17, "Vegano", 20, "Alcoólicos", 23, "Zero", 26, "Gelatos Proteicos", 29, 8), 8)) + IF(B266="Gelatos Proteicos", (ROUND(Q266,4)&lt;'Tabela de ingredientes'!$W$28)+(ROUND(Q266,4)&gt;'Tabela de ingredientes'!$W$29), 0) = 0, "Ok", "Revisar"))</f>
        <v/>
      </c>
    </row>
    <row r="267">
      <c r="A267" s="264"/>
      <c r="B267" s="264" t="s">
        <v>187</v>
      </c>
      <c r="C267" s="264" t="s">
        <v>187</v>
      </c>
      <c r="D267" s="264" t="s">
        <v>187</v>
      </c>
      <c r="E267" s="264" t="s">
        <v>187</v>
      </c>
      <c r="F267" s="264" t="s">
        <v>187</v>
      </c>
      <c r="G267" s="264" t="s">
        <v>187</v>
      </c>
      <c r="H267" s="264" t="s">
        <v>187</v>
      </c>
      <c r="I267" s="264" t="s">
        <v>187</v>
      </c>
      <c r="J267" s="264" t="s">
        <v>187</v>
      </c>
      <c r="K267" s="264" t="s">
        <v>187</v>
      </c>
      <c r="L267" s="264" t="s">
        <v>187</v>
      </c>
      <c r="M267" s="264" t="s">
        <v>187</v>
      </c>
      <c r="N267" s="264" t="s">
        <v>187</v>
      </c>
      <c r="O267" s="264" t="s">
        <v>187</v>
      </c>
      <c r="P267" s="264" t="s">
        <v>187</v>
      </c>
      <c r="Q267" s="264" t="s">
        <v>187</v>
      </c>
      <c r="R267" s="264" t="s">
        <v>187</v>
      </c>
      <c r="S267" s="97" t="str">
        <f t="array" ref="S267">IF(A267="","", IF( (ROUND(I267,4) &lt; INDEX('Tabela de ingredientes'!$O$1:$V$30, SWITCH(B267, "Gelatos de Leite", 7, "Sorbets", 10, "Gelatos de Leite com Fruta", 13, "Chocolate base água", 16, "Vegano", 19, "Alcoólicos", 22, "Zero", 25, "Gelatos Proteicos", 28, 7), 1)) + (ROUND(I267,4) &gt; INDEX('Tabela de ingredientes'!$O$1:$V$30, SWITCH(B267, "Gelatos de Leite", 8, "Sorbets", 11, "Gelatos de Leite com Fruta", 14, "Chocolate base água", 17, "Vegano", 20, "Alcoólicos", 23, "Zero", 26, "Gelatos Proteicos", 29, 8), 1)) + (ROUND(J267,4) &lt; INDEX('Tabela de ingredientes'!$O$1:$V$30, SWITCH(B267, "Gelatos de Leite", 7, "Sorbets", 10, "Gelatos de Leite com Fruta", 13, "Chocolate base água", 16, "Vegano", 19, "Alcoólicos", 22, "Zero", 25, "Gelatos Proteicos", 28, 7), 2)) + (ROUND(J267,4) &gt; INDEX('Tabela de ingredientes'!$O$1:$V$30, SWITCH(B267, "Gelatos de Leite", 8, "Sorbets", 11, "Gelatos de Leite com Fruta", 14, "Chocolate base água", 17, "Vegano", 20, "Alcoólicos", 23, "Zero", 26, "Gelatos Proteicos", 29, 8), 2)) + (ROUND(K267,4) &lt; INDEX('Tabela de ingredientes'!$O$1:$V$30, SWITCH(B267, "Gelatos de Leite", 7, "Sorbets", 10, "Gelatos de Leite com Fruta", 13, "Chocolate base água", 16, "Vegano", 19, "Alcoólicos", 22, "Zero", 25, "Gelatos Proteicos", 28, 7), 3)) + (ROUND(K267,4) &gt; INDEX('Tabela de ingredientes'!$O$1:$V$30, SWITCH(B267, "Gelatos de Leite", 8, "Sorbets", 11, "Gelatos de Leite com Fruta", 14, "Chocolate base água", 17, "Vegano", 20, "Alcoólicos", 23, "Zero", 26, "Gelatos Proteicos", 29, 8), 3)) + (ROUND(L267,4) &lt; INDEX('Tabela de ingredientes'!$O$1:$V$30, SWITCH(B267, "Gelatos de Leite", 7, "Sorbets", 10, "Gelatos de Leite com Fruta", 13, "Chocolate base água", 16, "Vegano", 19, "Alcoólicos", 22, "Zero", 25, "Gelatos Proteicos", 28, 7), 4)) + (ROUND(L267,4) &gt; INDEX('Tabela de ingredientes'!$O$1:$V$30, SWITCH(B267, "Gelatos de Leite", 8, "Sorbets", 11, "Gelatos de Leite com Fruta", 14, "Chocolate base água", 17, "Vegano", 20, "Alcoólicos", 23, "Zero", 26, "Gelatos Proteicos", 29, 8), 4)) + (ROUND(M267,4) &lt; INDEX('Tabela de ingredientes'!$O$1:$V$30, SWITCH(B267, "Gelatos de Leite", 7, "Sorbets", 10, "Gelatos de Leite com Fruta", 13, "Chocolate base água", 16, "Vegano", 19, "Alcoólicos", 22, "Zero", 25, "Gelatos Proteicos", 28, 7), 5)) + (ROUND(M267,4) &gt; INDEX('Tabela de ingredientes'!$O$1:$V$30, SWITCH(B267, "Gelatos de Leite", 8, "Sorbets", 11, "Gelatos de Leite com Fruta", 14, "Chocolate base água", 17, "Vegano", 20, "Alcoólicos", 23, "Zero", 26, "Gelatos Proteicos", 29, 8), 5)) + (ROUND(N267,4) &lt; INDEX('Tabela de ingredientes'!$O$1:$V$30, SWITCH(B267, "Gelatos de Leite", 7, "Sorbets", 10, "Gelatos de Leite com Fruta", 13, "Chocolate base água", 16, "Vegano", 19, "Alcoólicos", 22, "Zero", 25, "Gelatos Proteicos", 28, 7), 6)) + (ROUND(N267,4) &gt; INDEX('Tabela de ingredientes'!$O$1:$V$30, SWITCH(B267, "Gelatos de Leite", 8, "Sorbets", 11, "Gelatos de Leite com Fruta", 14, "Chocolate base água", 17, "Vegano", 20, "Alcoólicos", 23, "Zero", 26, "Gelatos Proteicos", 29, 8), 6)) + (ROUND(O267,4) &lt; INDEX('Tabela de ingredientes'!$O$1:$V$30, SWITCH(B267, "Gelatos de Leite", 7, "Sorbets", 10, "Gelatos de Leite com Fruta", 13, "Chocolate base água", 16, "Vegano", 19, "Alcoólicos", 22, "Zero", 25, "Gelatos Proteicos", 28, 7), 7)) + (ROUND(O267,4) &gt; INDEX('Tabela de ingredientes'!$O$1:$V$30, SWITCH(B267, "Gelatos de Leite", 8, "Sorbets", 11, "Gelatos de Leite com Fruta", 14, "Chocolate base água", 17, "Vegano", 20, "Alcoólicos", 23, "Zero", 26, "Gelatos Proteicos", 29, 8), 7)) + (ROUND(P267,4) &lt; INDEX('Tabela de ingredientes'!$O$1:$V$30, SWITCH(B267, "Gelatos de Leite", 7, "Sorbets", 10, "Gelatos de Leite com Fruta", 13, "Chocolate base água", 16, "Vegano", 19, "Alcoólicos", 22, "Zero", 25, "Gelatos Proteicos", 28, 7), 8)) + (ROUND(P267,4) &gt; INDEX('Tabela de ingredientes'!$O$1:$V$30, SWITCH(B267, "Gelatos de Leite", 8, "Sorbets", 11, "Gelatos de Leite com Fruta", 14, "Chocolate base água", 17, "Vegano", 20, "Alcoólicos", 23, "Zero", 26, "Gelatos Proteicos", 29, 8), 8)) + IF(B267="Gelatos Proteicos", (ROUND(Q267,4)&lt;'Tabela de ingredientes'!$W$28)+(ROUND(Q267,4)&gt;'Tabela de ingredientes'!$W$29), 0) = 0, "Ok", "Revisar"))</f>
        <v/>
      </c>
    </row>
    <row r="268">
      <c r="A268" s="264"/>
      <c r="B268" s="264" t="s">
        <v>187</v>
      </c>
      <c r="C268" s="264" t="s">
        <v>187</v>
      </c>
      <c r="D268" s="264" t="s">
        <v>187</v>
      </c>
      <c r="E268" s="264" t="s">
        <v>187</v>
      </c>
      <c r="F268" s="264" t="s">
        <v>187</v>
      </c>
      <c r="G268" s="264" t="s">
        <v>187</v>
      </c>
      <c r="H268" s="264" t="s">
        <v>187</v>
      </c>
      <c r="I268" s="264" t="s">
        <v>187</v>
      </c>
      <c r="J268" s="264" t="s">
        <v>187</v>
      </c>
      <c r="K268" s="264" t="s">
        <v>187</v>
      </c>
      <c r="L268" s="264" t="s">
        <v>187</v>
      </c>
      <c r="M268" s="264" t="s">
        <v>187</v>
      </c>
      <c r="N268" s="264" t="s">
        <v>187</v>
      </c>
      <c r="O268" s="264" t="s">
        <v>187</v>
      </c>
      <c r="P268" s="264" t="s">
        <v>187</v>
      </c>
      <c r="Q268" s="264" t="s">
        <v>187</v>
      </c>
      <c r="R268" s="264" t="s">
        <v>187</v>
      </c>
      <c r="S268" s="97" t="str">
        <f t="array" ref="S268">IF(A268="","", IF( (ROUND(I268,4) &lt; INDEX('Tabela de ingredientes'!$O$1:$V$30, SWITCH(B268, "Gelatos de Leite", 7, "Sorbets", 10, "Gelatos de Leite com Fruta", 13, "Chocolate base água", 16, "Vegano", 19, "Alcoólicos", 22, "Zero", 25, "Gelatos Proteicos", 28, 7), 1)) + (ROUND(I268,4) &gt; INDEX('Tabela de ingredientes'!$O$1:$V$30, SWITCH(B268, "Gelatos de Leite", 8, "Sorbets", 11, "Gelatos de Leite com Fruta", 14, "Chocolate base água", 17, "Vegano", 20, "Alcoólicos", 23, "Zero", 26, "Gelatos Proteicos", 29, 8), 1)) + (ROUND(J268,4) &lt; INDEX('Tabela de ingredientes'!$O$1:$V$30, SWITCH(B268, "Gelatos de Leite", 7, "Sorbets", 10, "Gelatos de Leite com Fruta", 13, "Chocolate base água", 16, "Vegano", 19, "Alcoólicos", 22, "Zero", 25, "Gelatos Proteicos", 28, 7), 2)) + (ROUND(J268,4) &gt; INDEX('Tabela de ingredientes'!$O$1:$V$30, SWITCH(B268, "Gelatos de Leite", 8, "Sorbets", 11, "Gelatos de Leite com Fruta", 14, "Chocolate base água", 17, "Vegano", 20, "Alcoólicos", 23, "Zero", 26, "Gelatos Proteicos", 29, 8), 2)) + (ROUND(K268,4) &lt; INDEX('Tabela de ingredientes'!$O$1:$V$30, SWITCH(B268, "Gelatos de Leite", 7, "Sorbets", 10, "Gelatos de Leite com Fruta", 13, "Chocolate base água", 16, "Vegano", 19, "Alcoólicos", 22, "Zero", 25, "Gelatos Proteicos", 28, 7), 3)) + (ROUND(K268,4) &gt; INDEX('Tabela de ingredientes'!$O$1:$V$30, SWITCH(B268, "Gelatos de Leite", 8, "Sorbets", 11, "Gelatos de Leite com Fruta", 14, "Chocolate base água", 17, "Vegano", 20, "Alcoólicos", 23, "Zero", 26, "Gelatos Proteicos", 29, 8), 3)) + (ROUND(L268,4) &lt; INDEX('Tabela de ingredientes'!$O$1:$V$30, SWITCH(B268, "Gelatos de Leite", 7, "Sorbets", 10, "Gelatos de Leite com Fruta", 13, "Chocolate base água", 16, "Vegano", 19, "Alcoólicos", 22, "Zero", 25, "Gelatos Proteicos", 28, 7), 4)) + (ROUND(L268,4) &gt; INDEX('Tabela de ingredientes'!$O$1:$V$30, SWITCH(B268, "Gelatos de Leite", 8, "Sorbets", 11, "Gelatos de Leite com Fruta", 14, "Chocolate base água", 17, "Vegano", 20, "Alcoólicos", 23, "Zero", 26, "Gelatos Proteicos", 29, 8), 4)) + (ROUND(M268,4) &lt; INDEX('Tabela de ingredientes'!$O$1:$V$30, SWITCH(B268, "Gelatos de Leite", 7, "Sorbets", 10, "Gelatos de Leite com Fruta", 13, "Chocolate base água", 16, "Vegano", 19, "Alcoólicos", 22, "Zero", 25, "Gelatos Proteicos", 28, 7), 5)) + (ROUND(M268,4) &gt; INDEX('Tabela de ingredientes'!$O$1:$V$30, SWITCH(B268, "Gelatos de Leite", 8, "Sorbets", 11, "Gelatos de Leite com Fruta", 14, "Chocolate base água", 17, "Vegano", 20, "Alcoólicos", 23, "Zero", 26, "Gelatos Proteicos", 29, 8), 5)) + (ROUND(N268,4) &lt; INDEX('Tabela de ingredientes'!$O$1:$V$30, SWITCH(B268, "Gelatos de Leite", 7, "Sorbets", 10, "Gelatos de Leite com Fruta", 13, "Chocolate base água", 16, "Vegano", 19, "Alcoólicos", 22, "Zero", 25, "Gelatos Proteicos", 28, 7), 6)) + (ROUND(N268,4) &gt; INDEX('Tabela de ingredientes'!$O$1:$V$30, SWITCH(B268, "Gelatos de Leite", 8, "Sorbets", 11, "Gelatos de Leite com Fruta", 14, "Chocolate base água", 17, "Vegano", 20, "Alcoólicos", 23, "Zero", 26, "Gelatos Proteicos", 29, 8), 6)) + (ROUND(O268,4) &lt; INDEX('Tabela de ingredientes'!$O$1:$V$30, SWITCH(B268, "Gelatos de Leite", 7, "Sorbets", 10, "Gelatos de Leite com Fruta", 13, "Chocolate base água", 16, "Vegano", 19, "Alcoólicos", 22, "Zero", 25, "Gelatos Proteicos", 28, 7), 7)) + (ROUND(O268,4) &gt; INDEX('Tabela de ingredientes'!$O$1:$V$30, SWITCH(B268, "Gelatos de Leite", 8, "Sorbets", 11, "Gelatos de Leite com Fruta", 14, "Chocolate base água", 17, "Vegano", 20, "Alcoólicos", 23, "Zero", 26, "Gelatos Proteicos", 29, 8), 7)) + (ROUND(P268,4) &lt; INDEX('Tabela de ingredientes'!$O$1:$V$30, SWITCH(B268, "Gelatos de Leite", 7, "Sorbets", 10, "Gelatos de Leite com Fruta", 13, "Chocolate base água", 16, "Vegano", 19, "Alcoólicos", 22, "Zero", 25, "Gelatos Proteicos", 28, 7), 8)) + (ROUND(P268,4) &gt; INDEX('Tabela de ingredientes'!$O$1:$V$30, SWITCH(B268, "Gelatos de Leite", 8, "Sorbets", 11, "Gelatos de Leite com Fruta", 14, "Chocolate base água", 17, "Vegano", 20, "Alcoólicos", 23, "Zero", 26, "Gelatos Proteicos", 29, 8), 8)) + IF(B268="Gelatos Proteicos", (ROUND(Q268,4)&lt;'Tabela de ingredientes'!$W$28)+(ROUND(Q268,4)&gt;'Tabela de ingredientes'!$W$29), 0) = 0, "Ok", "Revisar"))</f>
        <v/>
      </c>
    </row>
    <row r="269">
      <c r="A269" s="264"/>
      <c r="B269" s="264" t="s">
        <v>187</v>
      </c>
      <c r="C269" s="264" t="s">
        <v>187</v>
      </c>
      <c r="D269" s="264" t="s">
        <v>187</v>
      </c>
      <c r="E269" s="264" t="s">
        <v>187</v>
      </c>
      <c r="F269" s="264" t="s">
        <v>187</v>
      </c>
      <c r="G269" s="264" t="s">
        <v>187</v>
      </c>
      <c r="H269" s="264" t="s">
        <v>187</v>
      </c>
      <c r="I269" s="264" t="s">
        <v>187</v>
      </c>
      <c r="J269" s="264" t="s">
        <v>187</v>
      </c>
      <c r="K269" s="264" t="s">
        <v>187</v>
      </c>
      <c r="L269" s="264" t="s">
        <v>187</v>
      </c>
      <c r="M269" s="264" t="s">
        <v>187</v>
      </c>
      <c r="N269" s="264" t="s">
        <v>187</v>
      </c>
      <c r="O269" s="264" t="s">
        <v>187</v>
      </c>
      <c r="P269" s="264" t="s">
        <v>187</v>
      </c>
      <c r="Q269" s="264" t="s">
        <v>187</v>
      </c>
      <c r="R269" s="264" t="s">
        <v>187</v>
      </c>
      <c r="S269" s="97" t="str">
        <f t="array" ref="S269">IF(A269="","", IF( (ROUND(I269,4) &lt; INDEX('Tabela de ingredientes'!$O$1:$V$30, SWITCH(B269, "Gelatos de Leite", 7, "Sorbets", 10, "Gelatos de Leite com Fruta", 13, "Chocolate base água", 16, "Vegano", 19, "Alcoólicos", 22, "Zero", 25, "Gelatos Proteicos", 28, 7), 1)) + (ROUND(I269,4) &gt; INDEX('Tabela de ingredientes'!$O$1:$V$30, SWITCH(B269, "Gelatos de Leite", 8, "Sorbets", 11, "Gelatos de Leite com Fruta", 14, "Chocolate base água", 17, "Vegano", 20, "Alcoólicos", 23, "Zero", 26, "Gelatos Proteicos", 29, 8), 1)) + (ROUND(J269,4) &lt; INDEX('Tabela de ingredientes'!$O$1:$V$30, SWITCH(B269, "Gelatos de Leite", 7, "Sorbets", 10, "Gelatos de Leite com Fruta", 13, "Chocolate base água", 16, "Vegano", 19, "Alcoólicos", 22, "Zero", 25, "Gelatos Proteicos", 28, 7), 2)) + (ROUND(J269,4) &gt; INDEX('Tabela de ingredientes'!$O$1:$V$30, SWITCH(B269, "Gelatos de Leite", 8, "Sorbets", 11, "Gelatos de Leite com Fruta", 14, "Chocolate base água", 17, "Vegano", 20, "Alcoólicos", 23, "Zero", 26, "Gelatos Proteicos", 29, 8), 2)) + (ROUND(K269,4) &lt; INDEX('Tabela de ingredientes'!$O$1:$V$30, SWITCH(B269, "Gelatos de Leite", 7, "Sorbets", 10, "Gelatos de Leite com Fruta", 13, "Chocolate base água", 16, "Vegano", 19, "Alcoólicos", 22, "Zero", 25, "Gelatos Proteicos", 28, 7), 3)) + (ROUND(K269,4) &gt; INDEX('Tabela de ingredientes'!$O$1:$V$30, SWITCH(B269, "Gelatos de Leite", 8, "Sorbets", 11, "Gelatos de Leite com Fruta", 14, "Chocolate base água", 17, "Vegano", 20, "Alcoólicos", 23, "Zero", 26, "Gelatos Proteicos", 29, 8), 3)) + (ROUND(L269,4) &lt; INDEX('Tabela de ingredientes'!$O$1:$V$30, SWITCH(B269, "Gelatos de Leite", 7, "Sorbets", 10, "Gelatos de Leite com Fruta", 13, "Chocolate base água", 16, "Vegano", 19, "Alcoólicos", 22, "Zero", 25, "Gelatos Proteicos", 28, 7), 4)) + (ROUND(L269,4) &gt; INDEX('Tabela de ingredientes'!$O$1:$V$30, SWITCH(B269, "Gelatos de Leite", 8, "Sorbets", 11, "Gelatos de Leite com Fruta", 14, "Chocolate base água", 17, "Vegano", 20, "Alcoólicos", 23, "Zero", 26, "Gelatos Proteicos", 29, 8), 4)) + (ROUND(M269,4) &lt; INDEX('Tabela de ingredientes'!$O$1:$V$30, SWITCH(B269, "Gelatos de Leite", 7, "Sorbets", 10, "Gelatos de Leite com Fruta", 13, "Chocolate base água", 16, "Vegano", 19, "Alcoólicos", 22, "Zero", 25, "Gelatos Proteicos", 28, 7), 5)) + (ROUND(M269,4) &gt; INDEX('Tabela de ingredientes'!$O$1:$V$30, SWITCH(B269, "Gelatos de Leite", 8, "Sorbets", 11, "Gelatos de Leite com Fruta", 14, "Chocolate base água", 17, "Vegano", 20, "Alcoólicos", 23, "Zero", 26, "Gelatos Proteicos", 29, 8), 5)) + (ROUND(N269,4) &lt; INDEX('Tabela de ingredientes'!$O$1:$V$30, SWITCH(B269, "Gelatos de Leite", 7, "Sorbets", 10, "Gelatos de Leite com Fruta", 13, "Chocolate base água", 16, "Vegano", 19, "Alcoólicos", 22, "Zero", 25, "Gelatos Proteicos", 28, 7), 6)) + (ROUND(N269,4) &gt; INDEX('Tabela de ingredientes'!$O$1:$V$30, SWITCH(B269, "Gelatos de Leite", 8, "Sorbets", 11, "Gelatos de Leite com Fruta", 14, "Chocolate base água", 17, "Vegano", 20, "Alcoólicos", 23, "Zero", 26, "Gelatos Proteicos", 29, 8), 6)) + (ROUND(O269,4) &lt; INDEX('Tabela de ingredientes'!$O$1:$V$30, SWITCH(B269, "Gelatos de Leite", 7, "Sorbets", 10, "Gelatos de Leite com Fruta", 13, "Chocolate base água", 16, "Vegano", 19, "Alcoólicos", 22, "Zero", 25, "Gelatos Proteicos", 28, 7), 7)) + (ROUND(O269,4) &gt; INDEX('Tabela de ingredientes'!$O$1:$V$30, SWITCH(B269, "Gelatos de Leite", 8, "Sorbets", 11, "Gelatos de Leite com Fruta", 14, "Chocolate base água", 17, "Vegano", 20, "Alcoólicos", 23, "Zero", 26, "Gelatos Proteicos", 29, 8), 7)) + (ROUND(P269,4) &lt; INDEX('Tabela de ingredientes'!$O$1:$V$30, SWITCH(B269, "Gelatos de Leite", 7, "Sorbets", 10, "Gelatos de Leite com Fruta", 13, "Chocolate base água", 16, "Vegano", 19, "Alcoólicos", 22, "Zero", 25, "Gelatos Proteicos", 28, 7), 8)) + (ROUND(P269,4) &gt; INDEX('Tabela de ingredientes'!$O$1:$V$30, SWITCH(B269, "Gelatos de Leite", 8, "Sorbets", 11, "Gelatos de Leite com Fruta", 14, "Chocolate base água", 17, "Vegano", 20, "Alcoólicos", 23, "Zero", 26, "Gelatos Proteicos", 29, 8), 8)) + IF(B269="Gelatos Proteicos", (ROUND(Q269,4)&lt;'Tabela de ingredientes'!$W$28)+(ROUND(Q269,4)&gt;'Tabela de ingredientes'!$W$29), 0) = 0, "Ok", "Revisar"))</f>
        <v/>
      </c>
    </row>
    <row r="270">
      <c r="A270" s="264"/>
      <c r="B270" s="264" t="s">
        <v>187</v>
      </c>
      <c r="C270" s="264" t="s">
        <v>187</v>
      </c>
      <c r="D270" s="264" t="s">
        <v>187</v>
      </c>
      <c r="E270" s="264" t="s">
        <v>187</v>
      </c>
      <c r="F270" s="264" t="s">
        <v>187</v>
      </c>
      <c r="G270" s="264" t="s">
        <v>187</v>
      </c>
      <c r="H270" s="264" t="s">
        <v>187</v>
      </c>
      <c r="I270" s="264" t="s">
        <v>187</v>
      </c>
      <c r="J270" s="264" t="s">
        <v>187</v>
      </c>
      <c r="K270" s="264" t="s">
        <v>187</v>
      </c>
      <c r="L270" s="264" t="s">
        <v>187</v>
      </c>
      <c r="M270" s="264" t="s">
        <v>187</v>
      </c>
      <c r="N270" s="264" t="s">
        <v>187</v>
      </c>
      <c r="O270" s="264" t="s">
        <v>187</v>
      </c>
      <c r="P270" s="264" t="s">
        <v>187</v>
      </c>
      <c r="Q270" s="264" t="s">
        <v>187</v>
      </c>
      <c r="R270" s="264" t="s">
        <v>187</v>
      </c>
      <c r="S270" s="97" t="str">
        <f t="array" ref="S270">IF(A270="","", IF( (ROUND(I270,4) &lt; INDEX('Tabela de ingredientes'!$O$1:$V$30, SWITCH(B270, "Gelatos de Leite", 7, "Sorbets", 10, "Gelatos de Leite com Fruta", 13, "Chocolate base água", 16, "Vegano", 19, "Alcoólicos", 22, "Zero", 25, "Gelatos Proteicos", 28, 7), 1)) + (ROUND(I270,4) &gt; INDEX('Tabela de ingredientes'!$O$1:$V$30, SWITCH(B270, "Gelatos de Leite", 8, "Sorbets", 11, "Gelatos de Leite com Fruta", 14, "Chocolate base água", 17, "Vegano", 20, "Alcoólicos", 23, "Zero", 26, "Gelatos Proteicos", 29, 8), 1)) + (ROUND(J270,4) &lt; INDEX('Tabela de ingredientes'!$O$1:$V$30, SWITCH(B270, "Gelatos de Leite", 7, "Sorbets", 10, "Gelatos de Leite com Fruta", 13, "Chocolate base água", 16, "Vegano", 19, "Alcoólicos", 22, "Zero", 25, "Gelatos Proteicos", 28, 7), 2)) + (ROUND(J270,4) &gt; INDEX('Tabela de ingredientes'!$O$1:$V$30, SWITCH(B270, "Gelatos de Leite", 8, "Sorbets", 11, "Gelatos de Leite com Fruta", 14, "Chocolate base água", 17, "Vegano", 20, "Alcoólicos", 23, "Zero", 26, "Gelatos Proteicos", 29, 8), 2)) + (ROUND(K270,4) &lt; INDEX('Tabela de ingredientes'!$O$1:$V$30, SWITCH(B270, "Gelatos de Leite", 7, "Sorbets", 10, "Gelatos de Leite com Fruta", 13, "Chocolate base água", 16, "Vegano", 19, "Alcoólicos", 22, "Zero", 25, "Gelatos Proteicos", 28, 7), 3)) + (ROUND(K270,4) &gt; INDEX('Tabela de ingredientes'!$O$1:$V$30, SWITCH(B270, "Gelatos de Leite", 8, "Sorbets", 11, "Gelatos de Leite com Fruta", 14, "Chocolate base água", 17, "Vegano", 20, "Alcoólicos", 23, "Zero", 26, "Gelatos Proteicos", 29, 8), 3)) + (ROUND(L270,4) &lt; INDEX('Tabela de ingredientes'!$O$1:$V$30, SWITCH(B270, "Gelatos de Leite", 7, "Sorbets", 10, "Gelatos de Leite com Fruta", 13, "Chocolate base água", 16, "Vegano", 19, "Alcoólicos", 22, "Zero", 25, "Gelatos Proteicos", 28, 7), 4)) + (ROUND(L270,4) &gt; INDEX('Tabela de ingredientes'!$O$1:$V$30, SWITCH(B270, "Gelatos de Leite", 8, "Sorbets", 11, "Gelatos de Leite com Fruta", 14, "Chocolate base água", 17, "Vegano", 20, "Alcoólicos", 23, "Zero", 26, "Gelatos Proteicos", 29, 8), 4)) + (ROUND(M270,4) &lt; INDEX('Tabela de ingredientes'!$O$1:$V$30, SWITCH(B270, "Gelatos de Leite", 7, "Sorbets", 10, "Gelatos de Leite com Fruta", 13, "Chocolate base água", 16, "Vegano", 19, "Alcoólicos", 22, "Zero", 25, "Gelatos Proteicos", 28, 7), 5)) + (ROUND(M270,4) &gt; INDEX('Tabela de ingredientes'!$O$1:$V$30, SWITCH(B270, "Gelatos de Leite", 8, "Sorbets", 11, "Gelatos de Leite com Fruta", 14, "Chocolate base água", 17, "Vegano", 20, "Alcoólicos", 23, "Zero", 26, "Gelatos Proteicos", 29, 8), 5)) + (ROUND(N270,4) &lt; INDEX('Tabela de ingredientes'!$O$1:$V$30, SWITCH(B270, "Gelatos de Leite", 7, "Sorbets", 10, "Gelatos de Leite com Fruta", 13, "Chocolate base água", 16, "Vegano", 19, "Alcoólicos", 22, "Zero", 25, "Gelatos Proteicos", 28, 7), 6)) + (ROUND(N270,4) &gt; INDEX('Tabela de ingredientes'!$O$1:$V$30, SWITCH(B270, "Gelatos de Leite", 8, "Sorbets", 11, "Gelatos de Leite com Fruta", 14, "Chocolate base água", 17, "Vegano", 20, "Alcoólicos", 23, "Zero", 26, "Gelatos Proteicos", 29, 8), 6)) + (ROUND(O270,4) &lt; INDEX('Tabela de ingredientes'!$O$1:$V$30, SWITCH(B270, "Gelatos de Leite", 7, "Sorbets", 10, "Gelatos de Leite com Fruta", 13, "Chocolate base água", 16, "Vegano", 19, "Alcoólicos", 22, "Zero", 25, "Gelatos Proteicos", 28, 7), 7)) + (ROUND(O270,4) &gt; INDEX('Tabela de ingredientes'!$O$1:$V$30, SWITCH(B270, "Gelatos de Leite", 8, "Sorbets", 11, "Gelatos de Leite com Fruta", 14, "Chocolate base água", 17, "Vegano", 20, "Alcoólicos", 23, "Zero", 26, "Gelatos Proteicos", 29, 8), 7)) + (ROUND(P270,4) &lt; INDEX('Tabela de ingredientes'!$O$1:$V$30, SWITCH(B270, "Gelatos de Leite", 7, "Sorbets", 10, "Gelatos de Leite com Fruta", 13, "Chocolate base água", 16, "Vegano", 19, "Alcoólicos", 22, "Zero", 25, "Gelatos Proteicos", 28, 7), 8)) + (ROUND(P270,4) &gt; INDEX('Tabela de ingredientes'!$O$1:$V$30, SWITCH(B270, "Gelatos de Leite", 8, "Sorbets", 11, "Gelatos de Leite com Fruta", 14, "Chocolate base água", 17, "Vegano", 20, "Alcoólicos", 23, "Zero", 26, "Gelatos Proteicos", 29, 8), 8)) + IF(B270="Gelatos Proteicos", (ROUND(Q270,4)&lt;'Tabela de ingredientes'!$W$28)+(ROUND(Q270,4)&gt;'Tabela de ingredientes'!$W$29), 0) = 0, "Ok", "Revisar"))</f>
        <v/>
      </c>
    </row>
    <row r="271">
      <c r="A271" s="264"/>
      <c r="B271" s="264" t="s">
        <v>187</v>
      </c>
      <c r="C271" s="264" t="s">
        <v>187</v>
      </c>
      <c r="D271" s="264" t="s">
        <v>187</v>
      </c>
      <c r="E271" s="264" t="s">
        <v>187</v>
      </c>
      <c r="F271" s="264" t="s">
        <v>187</v>
      </c>
      <c r="G271" s="264" t="s">
        <v>187</v>
      </c>
      <c r="H271" s="264" t="s">
        <v>187</v>
      </c>
      <c r="I271" s="264" t="s">
        <v>187</v>
      </c>
      <c r="J271" s="264" t="s">
        <v>187</v>
      </c>
      <c r="K271" s="264" t="s">
        <v>187</v>
      </c>
      <c r="L271" s="264" t="s">
        <v>187</v>
      </c>
      <c r="M271" s="264" t="s">
        <v>187</v>
      </c>
      <c r="N271" s="264" t="s">
        <v>187</v>
      </c>
      <c r="O271" s="264" t="s">
        <v>187</v>
      </c>
      <c r="P271" s="264" t="s">
        <v>187</v>
      </c>
      <c r="Q271" s="264" t="s">
        <v>187</v>
      </c>
      <c r="R271" s="264" t="s">
        <v>187</v>
      </c>
      <c r="S271" s="97" t="str">
        <f t="array" ref="S271">IF(A271="","", IF( (ROUND(I271,4) &lt; INDEX('Tabela de ingredientes'!$O$1:$V$30, SWITCH(B271, "Gelatos de Leite", 7, "Sorbets", 10, "Gelatos de Leite com Fruta", 13, "Chocolate base água", 16, "Vegano", 19, "Alcoólicos", 22, "Zero", 25, "Gelatos Proteicos", 28, 7), 1)) + (ROUND(I271,4) &gt; INDEX('Tabela de ingredientes'!$O$1:$V$30, SWITCH(B271, "Gelatos de Leite", 8, "Sorbets", 11, "Gelatos de Leite com Fruta", 14, "Chocolate base água", 17, "Vegano", 20, "Alcoólicos", 23, "Zero", 26, "Gelatos Proteicos", 29, 8), 1)) + (ROUND(J271,4) &lt; INDEX('Tabela de ingredientes'!$O$1:$V$30, SWITCH(B271, "Gelatos de Leite", 7, "Sorbets", 10, "Gelatos de Leite com Fruta", 13, "Chocolate base água", 16, "Vegano", 19, "Alcoólicos", 22, "Zero", 25, "Gelatos Proteicos", 28, 7), 2)) + (ROUND(J271,4) &gt; INDEX('Tabela de ingredientes'!$O$1:$V$30, SWITCH(B271, "Gelatos de Leite", 8, "Sorbets", 11, "Gelatos de Leite com Fruta", 14, "Chocolate base água", 17, "Vegano", 20, "Alcoólicos", 23, "Zero", 26, "Gelatos Proteicos", 29, 8), 2)) + (ROUND(K271,4) &lt; INDEX('Tabela de ingredientes'!$O$1:$V$30, SWITCH(B271, "Gelatos de Leite", 7, "Sorbets", 10, "Gelatos de Leite com Fruta", 13, "Chocolate base água", 16, "Vegano", 19, "Alcoólicos", 22, "Zero", 25, "Gelatos Proteicos", 28, 7), 3)) + (ROUND(K271,4) &gt; INDEX('Tabela de ingredientes'!$O$1:$V$30, SWITCH(B271, "Gelatos de Leite", 8, "Sorbets", 11, "Gelatos de Leite com Fruta", 14, "Chocolate base água", 17, "Vegano", 20, "Alcoólicos", 23, "Zero", 26, "Gelatos Proteicos", 29, 8), 3)) + (ROUND(L271,4) &lt; INDEX('Tabela de ingredientes'!$O$1:$V$30, SWITCH(B271, "Gelatos de Leite", 7, "Sorbets", 10, "Gelatos de Leite com Fruta", 13, "Chocolate base água", 16, "Vegano", 19, "Alcoólicos", 22, "Zero", 25, "Gelatos Proteicos", 28, 7), 4)) + (ROUND(L271,4) &gt; INDEX('Tabela de ingredientes'!$O$1:$V$30, SWITCH(B271, "Gelatos de Leite", 8, "Sorbets", 11, "Gelatos de Leite com Fruta", 14, "Chocolate base água", 17, "Vegano", 20, "Alcoólicos", 23, "Zero", 26, "Gelatos Proteicos", 29, 8), 4)) + (ROUND(M271,4) &lt; INDEX('Tabela de ingredientes'!$O$1:$V$30, SWITCH(B271, "Gelatos de Leite", 7, "Sorbets", 10, "Gelatos de Leite com Fruta", 13, "Chocolate base água", 16, "Vegano", 19, "Alcoólicos", 22, "Zero", 25, "Gelatos Proteicos", 28, 7), 5)) + (ROUND(M271,4) &gt; INDEX('Tabela de ingredientes'!$O$1:$V$30, SWITCH(B271, "Gelatos de Leite", 8, "Sorbets", 11, "Gelatos de Leite com Fruta", 14, "Chocolate base água", 17, "Vegano", 20, "Alcoólicos", 23, "Zero", 26, "Gelatos Proteicos", 29, 8), 5)) + (ROUND(N271,4) &lt; INDEX('Tabela de ingredientes'!$O$1:$V$30, SWITCH(B271, "Gelatos de Leite", 7, "Sorbets", 10, "Gelatos de Leite com Fruta", 13, "Chocolate base água", 16, "Vegano", 19, "Alcoólicos", 22, "Zero", 25, "Gelatos Proteicos", 28, 7), 6)) + (ROUND(N271,4) &gt; INDEX('Tabela de ingredientes'!$O$1:$V$30, SWITCH(B271, "Gelatos de Leite", 8, "Sorbets", 11, "Gelatos de Leite com Fruta", 14, "Chocolate base água", 17, "Vegano", 20, "Alcoólicos", 23, "Zero", 26, "Gelatos Proteicos", 29, 8), 6)) + (ROUND(O271,4) &lt; INDEX('Tabela de ingredientes'!$O$1:$V$30, SWITCH(B271, "Gelatos de Leite", 7, "Sorbets", 10, "Gelatos de Leite com Fruta", 13, "Chocolate base água", 16, "Vegano", 19, "Alcoólicos", 22, "Zero", 25, "Gelatos Proteicos", 28, 7), 7)) + (ROUND(O271,4) &gt; INDEX('Tabela de ingredientes'!$O$1:$V$30, SWITCH(B271, "Gelatos de Leite", 8, "Sorbets", 11, "Gelatos de Leite com Fruta", 14, "Chocolate base água", 17, "Vegano", 20, "Alcoólicos", 23, "Zero", 26, "Gelatos Proteicos", 29, 8), 7)) + (ROUND(P271,4) &lt; INDEX('Tabela de ingredientes'!$O$1:$V$30, SWITCH(B271, "Gelatos de Leite", 7, "Sorbets", 10, "Gelatos de Leite com Fruta", 13, "Chocolate base água", 16, "Vegano", 19, "Alcoólicos", 22, "Zero", 25, "Gelatos Proteicos", 28, 7), 8)) + (ROUND(P271,4) &gt; INDEX('Tabela de ingredientes'!$O$1:$V$30, SWITCH(B271, "Gelatos de Leite", 8, "Sorbets", 11, "Gelatos de Leite com Fruta", 14, "Chocolate base água", 17, "Vegano", 20, "Alcoólicos", 23, "Zero", 26, "Gelatos Proteicos", 29, 8), 8)) + IF(B271="Gelatos Proteicos", (ROUND(Q271,4)&lt;'Tabela de ingredientes'!$W$28)+(ROUND(Q271,4)&gt;'Tabela de ingredientes'!$W$29), 0) = 0, "Ok", "Revisar"))</f>
        <v/>
      </c>
    </row>
    <row r="272">
      <c r="A272" s="264"/>
      <c r="B272" s="264" t="s">
        <v>187</v>
      </c>
      <c r="C272" s="264" t="s">
        <v>187</v>
      </c>
      <c r="D272" s="264" t="s">
        <v>187</v>
      </c>
      <c r="E272" s="264" t="s">
        <v>187</v>
      </c>
      <c r="F272" s="264" t="s">
        <v>187</v>
      </c>
      <c r="G272" s="264" t="s">
        <v>187</v>
      </c>
      <c r="H272" s="264" t="s">
        <v>187</v>
      </c>
      <c r="I272" s="264" t="s">
        <v>187</v>
      </c>
      <c r="J272" s="264" t="s">
        <v>187</v>
      </c>
      <c r="K272" s="264" t="s">
        <v>187</v>
      </c>
      <c r="L272" s="264" t="s">
        <v>187</v>
      </c>
      <c r="M272" s="264" t="s">
        <v>187</v>
      </c>
      <c r="N272" s="264" t="s">
        <v>187</v>
      </c>
      <c r="O272" s="264" t="s">
        <v>187</v>
      </c>
      <c r="P272" s="264" t="s">
        <v>187</v>
      </c>
      <c r="Q272" s="264" t="s">
        <v>187</v>
      </c>
      <c r="R272" s="264" t="s">
        <v>187</v>
      </c>
      <c r="S272" s="97" t="str">
        <f t="array" ref="S272">IF(A272="","", IF( (ROUND(I272,4) &lt; INDEX('Tabela de ingredientes'!$O$1:$V$30, SWITCH(B272, "Gelatos de Leite", 7, "Sorbets", 10, "Gelatos de Leite com Fruta", 13, "Chocolate base água", 16, "Vegano", 19, "Alcoólicos", 22, "Zero", 25, "Gelatos Proteicos", 28, 7), 1)) + (ROUND(I272,4) &gt; INDEX('Tabela de ingredientes'!$O$1:$V$30, SWITCH(B272, "Gelatos de Leite", 8, "Sorbets", 11, "Gelatos de Leite com Fruta", 14, "Chocolate base água", 17, "Vegano", 20, "Alcoólicos", 23, "Zero", 26, "Gelatos Proteicos", 29, 8), 1)) + (ROUND(J272,4) &lt; INDEX('Tabela de ingredientes'!$O$1:$V$30, SWITCH(B272, "Gelatos de Leite", 7, "Sorbets", 10, "Gelatos de Leite com Fruta", 13, "Chocolate base água", 16, "Vegano", 19, "Alcoólicos", 22, "Zero", 25, "Gelatos Proteicos", 28, 7), 2)) + (ROUND(J272,4) &gt; INDEX('Tabela de ingredientes'!$O$1:$V$30, SWITCH(B272, "Gelatos de Leite", 8, "Sorbets", 11, "Gelatos de Leite com Fruta", 14, "Chocolate base água", 17, "Vegano", 20, "Alcoólicos", 23, "Zero", 26, "Gelatos Proteicos", 29, 8), 2)) + (ROUND(K272,4) &lt; INDEX('Tabela de ingredientes'!$O$1:$V$30, SWITCH(B272, "Gelatos de Leite", 7, "Sorbets", 10, "Gelatos de Leite com Fruta", 13, "Chocolate base água", 16, "Vegano", 19, "Alcoólicos", 22, "Zero", 25, "Gelatos Proteicos", 28, 7), 3)) + (ROUND(K272,4) &gt; INDEX('Tabela de ingredientes'!$O$1:$V$30, SWITCH(B272, "Gelatos de Leite", 8, "Sorbets", 11, "Gelatos de Leite com Fruta", 14, "Chocolate base água", 17, "Vegano", 20, "Alcoólicos", 23, "Zero", 26, "Gelatos Proteicos", 29, 8), 3)) + (ROUND(L272,4) &lt; INDEX('Tabela de ingredientes'!$O$1:$V$30, SWITCH(B272, "Gelatos de Leite", 7, "Sorbets", 10, "Gelatos de Leite com Fruta", 13, "Chocolate base água", 16, "Vegano", 19, "Alcoólicos", 22, "Zero", 25, "Gelatos Proteicos", 28, 7), 4)) + (ROUND(L272,4) &gt; INDEX('Tabela de ingredientes'!$O$1:$V$30, SWITCH(B272, "Gelatos de Leite", 8, "Sorbets", 11, "Gelatos de Leite com Fruta", 14, "Chocolate base água", 17, "Vegano", 20, "Alcoólicos", 23, "Zero", 26, "Gelatos Proteicos", 29, 8), 4)) + (ROUND(M272,4) &lt; INDEX('Tabela de ingredientes'!$O$1:$V$30, SWITCH(B272, "Gelatos de Leite", 7, "Sorbets", 10, "Gelatos de Leite com Fruta", 13, "Chocolate base água", 16, "Vegano", 19, "Alcoólicos", 22, "Zero", 25, "Gelatos Proteicos", 28, 7), 5)) + (ROUND(M272,4) &gt; INDEX('Tabela de ingredientes'!$O$1:$V$30, SWITCH(B272, "Gelatos de Leite", 8, "Sorbets", 11, "Gelatos de Leite com Fruta", 14, "Chocolate base água", 17, "Vegano", 20, "Alcoólicos", 23, "Zero", 26, "Gelatos Proteicos", 29, 8), 5)) + (ROUND(N272,4) &lt; INDEX('Tabela de ingredientes'!$O$1:$V$30, SWITCH(B272, "Gelatos de Leite", 7, "Sorbets", 10, "Gelatos de Leite com Fruta", 13, "Chocolate base água", 16, "Vegano", 19, "Alcoólicos", 22, "Zero", 25, "Gelatos Proteicos", 28, 7), 6)) + (ROUND(N272,4) &gt; INDEX('Tabela de ingredientes'!$O$1:$V$30, SWITCH(B272, "Gelatos de Leite", 8, "Sorbets", 11, "Gelatos de Leite com Fruta", 14, "Chocolate base água", 17, "Vegano", 20, "Alcoólicos", 23, "Zero", 26, "Gelatos Proteicos", 29, 8), 6)) + (ROUND(O272,4) &lt; INDEX('Tabela de ingredientes'!$O$1:$V$30, SWITCH(B272, "Gelatos de Leite", 7, "Sorbets", 10, "Gelatos de Leite com Fruta", 13, "Chocolate base água", 16, "Vegano", 19, "Alcoólicos", 22, "Zero", 25, "Gelatos Proteicos", 28, 7), 7)) + (ROUND(O272,4) &gt; INDEX('Tabela de ingredientes'!$O$1:$V$30, SWITCH(B272, "Gelatos de Leite", 8, "Sorbets", 11, "Gelatos de Leite com Fruta", 14, "Chocolate base água", 17, "Vegano", 20, "Alcoólicos", 23, "Zero", 26, "Gelatos Proteicos", 29, 8), 7)) + (ROUND(P272,4) &lt; INDEX('Tabela de ingredientes'!$O$1:$V$30, SWITCH(B272, "Gelatos de Leite", 7, "Sorbets", 10, "Gelatos de Leite com Fruta", 13, "Chocolate base água", 16, "Vegano", 19, "Alcoólicos", 22, "Zero", 25, "Gelatos Proteicos", 28, 7), 8)) + (ROUND(P272,4) &gt; INDEX('Tabela de ingredientes'!$O$1:$V$30, SWITCH(B272, "Gelatos de Leite", 8, "Sorbets", 11, "Gelatos de Leite com Fruta", 14, "Chocolate base água", 17, "Vegano", 20, "Alcoólicos", 23, "Zero", 26, "Gelatos Proteicos", 29, 8), 8)) + IF(B272="Gelatos Proteicos", (ROUND(Q272,4)&lt;'Tabela de ingredientes'!$W$28)+(ROUND(Q272,4)&gt;'Tabela de ingredientes'!$W$29), 0) = 0, "Ok", "Revisar"))</f>
        <v/>
      </c>
    </row>
    <row r="273">
      <c r="A273" s="264"/>
      <c r="B273" s="264" t="s">
        <v>187</v>
      </c>
      <c r="C273" s="264" t="s">
        <v>187</v>
      </c>
      <c r="D273" s="264" t="s">
        <v>187</v>
      </c>
      <c r="E273" s="264" t="s">
        <v>187</v>
      </c>
      <c r="F273" s="264" t="s">
        <v>187</v>
      </c>
      <c r="G273" s="264" t="s">
        <v>187</v>
      </c>
      <c r="H273" s="264" t="s">
        <v>187</v>
      </c>
      <c r="I273" s="264" t="s">
        <v>187</v>
      </c>
      <c r="J273" s="264" t="s">
        <v>187</v>
      </c>
      <c r="K273" s="264" t="s">
        <v>187</v>
      </c>
      <c r="L273" s="264" t="s">
        <v>187</v>
      </c>
      <c r="M273" s="264" t="s">
        <v>187</v>
      </c>
      <c r="N273" s="264" t="s">
        <v>187</v>
      </c>
      <c r="O273" s="264" t="s">
        <v>187</v>
      </c>
      <c r="P273" s="264" t="s">
        <v>187</v>
      </c>
      <c r="Q273" s="264" t="s">
        <v>187</v>
      </c>
      <c r="R273" s="264" t="s">
        <v>187</v>
      </c>
      <c r="S273" s="97" t="str">
        <f t="array" ref="S273">IF(A273="","", IF( (ROUND(I273,4) &lt; INDEX('Tabela de ingredientes'!$O$1:$V$30, SWITCH(B273, "Gelatos de Leite", 7, "Sorbets", 10, "Gelatos de Leite com Fruta", 13, "Chocolate base água", 16, "Vegano", 19, "Alcoólicos", 22, "Zero", 25, "Gelatos Proteicos", 28, 7), 1)) + (ROUND(I273,4) &gt; INDEX('Tabela de ingredientes'!$O$1:$V$30, SWITCH(B273, "Gelatos de Leite", 8, "Sorbets", 11, "Gelatos de Leite com Fruta", 14, "Chocolate base água", 17, "Vegano", 20, "Alcoólicos", 23, "Zero", 26, "Gelatos Proteicos", 29, 8), 1)) + (ROUND(J273,4) &lt; INDEX('Tabela de ingredientes'!$O$1:$V$30, SWITCH(B273, "Gelatos de Leite", 7, "Sorbets", 10, "Gelatos de Leite com Fruta", 13, "Chocolate base água", 16, "Vegano", 19, "Alcoólicos", 22, "Zero", 25, "Gelatos Proteicos", 28, 7), 2)) + (ROUND(J273,4) &gt; INDEX('Tabela de ingredientes'!$O$1:$V$30, SWITCH(B273, "Gelatos de Leite", 8, "Sorbets", 11, "Gelatos de Leite com Fruta", 14, "Chocolate base água", 17, "Vegano", 20, "Alcoólicos", 23, "Zero", 26, "Gelatos Proteicos", 29, 8), 2)) + (ROUND(K273,4) &lt; INDEX('Tabela de ingredientes'!$O$1:$V$30, SWITCH(B273, "Gelatos de Leite", 7, "Sorbets", 10, "Gelatos de Leite com Fruta", 13, "Chocolate base água", 16, "Vegano", 19, "Alcoólicos", 22, "Zero", 25, "Gelatos Proteicos", 28, 7), 3)) + (ROUND(K273,4) &gt; INDEX('Tabela de ingredientes'!$O$1:$V$30, SWITCH(B273, "Gelatos de Leite", 8, "Sorbets", 11, "Gelatos de Leite com Fruta", 14, "Chocolate base água", 17, "Vegano", 20, "Alcoólicos", 23, "Zero", 26, "Gelatos Proteicos", 29, 8), 3)) + (ROUND(L273,4) &lt; INDEX('Tabela de ingredientes'!$O$1:$V$30, SWITCH(B273, "Gelatos de Leite", 7, "Sorbets", 10, "Gelatos de Leite com Fruta", 13, "Chocolate base água", 16, "Vegano", 19, "Alcoólicos", 22, "Zero", 25, "Gelatos Proteicos", 28, 7), 4)) + (ROUND(L273,4) &gt; INDEX('Tabela de ingredientes'!$O$1:$V$30, SWITCH(B273, "Gelatos de Leite", 8, "Sorbets", 11, "Gelatos de Leite com Fruta", 14, "Chocolate base água", 17, "Vegano", 20, "Alcoólicos", 23, "Zero", 26, "Gelatos Proteicos", 29, 8), 4)) + (ROUND(M273,4) &lt; INDEX('Tabela de ingredientes'!$O$1:$V$30, SWITCH(B273, "Gelatos de Leite", 7, "Sorbets", 10, "Gelatos de Leite com Fruta", 13, "Chocolate base água", 16, "Vegano", 19, "Alcoólicos", 22, "Zero", 25, "Gelatos Proteicos", 28, 7), 5)) + (ROUND(M273,4) &gt; INDEX('Tabela de ingredientes'!$O$1:$V$30, SWITCH(B273, "Gelatos de Leite", 8, "Sorbets", 11, "Gelatos de Leite com Fruta", 14, "Chocolate base água", 17, "Vegano", 20, "Alcoólicos", 23, "Zero", 26, "Gelatos Proteicos", 29, 8), 5)) + (ROUND(N273,4) &lt; INDEX('Tabela de ingredientes'!$O$1:$V$30, SWITCH(B273, "Gelatos de Leite", 7, "Sorbets", 10, "Gelatos de Leite com Fruta", 13, "Chocolate base água", 16, "Vegano", 19, "Alcoólicos", 22, "Zero", 25, "Gelatos Proteicos", 28, 7), 6)) + (ROUND(N273,4) &gt; INDEX('Tabela de ingredientes'!$O$1:$V$30, SWITCH(B273, "Gelatos de Leite", 8, "Sorbets", 11, "Gelatos de Leite com Fruta", 14, "Chocolate base água", 17, "Vegano", 20, "Alcoólicos", 23, "Zero", 26, "Gelatos Proteicos", 29, 8), 6)) + (ROUND(O273,4) &lt; INDEX('Tabela de ingredientes'!$O$1:$V$30, SWITCH(B273, "Gelatos de Leite", 7, "Sorbets", 10, "Gelatos de Leite com Fruta", 13, "Chocolate base água", 16, "Vegano", 19, "Alcoólicos", 22, "Zero", 25, "Gelatos Proteicos", 28, 7), 7)) + (ROUND(O273,4) &gt; INDEX('Tabela de ingredientes'!$O$1:$V$30, SWITCH(B273, "Gelatos de Leite", 8, "Sorbets", 11, "Gelatos de Leite com Fruta", 14, "Chocolate base água", 17, "Vegano", 20, "Alcoólicos", 23, "Zero", 26, "Gelatos Proteicos", 29, 8), 7)) + (ROUND(P273,4) &lt; INDEX('Tabela de ingredientes'!$O$1:$V$30, SWITCH(B273, "Gelatos de Leite", 7, "Sorbets", 10, "Gelatos de Leite com Fruta", 13, "Chocolate base água", 16, "Vegano", 19, "Alcoólicos", 22, "Zero", 25, "Gelatos Proteicos", 28, 7), 8)) + (ROUND(P273,4) &gt; INDEX('Tabela de ingredientes'!$O$1:$V$30, SWITCH(B273, "Gelatos de Leite", 8, "Sorbets", 11, "Gelatos de Leite com Fruta", 14, "Chocolate base água", 17, "Vegano", 20, "Alcoólicos", 23, "Zero", 26, "Gelatos Proteicos", 29, 8), 8)) + IF(B273="Gelatos Proteicos", (ROUND(Q273,4)&lt;'Tabela de ingredientes'!$W$28)+(ROUND(Q273,4)&gt;'Tabela de ingredientes'!$W$29), 0) = 0, "Ok", "Revisar"))</f>
        <v/>
      </c>
    </row>
    <row r="274">
      <c r="A274" s="264"/>
      <c r="B274" s="264" t="s">
        <v>187</v>
      </c>
      <c r="C274" s="264" t="s">
        <v>187</v>
      </c>
      <c r="D274" s="264" t="s">
        <v>187</v>
      </c>
      <c r="E274" s="264" t="s">
        <v>187</v>
      </c>
      <c r="F274" s="264" t="s">
        <v>187</v>
      </c>
      <c r="G274" s="264" t="s">
        <v>187</v>
      </c>
      <c r="H274" s="264" t="s">
        <v>187</v>
      </c>
      <c r="I274" s="264" t="s">
        <v>187</v>
      </c>
      <c r="J274" s="264" t="s">
        <v>187</v>
      </c>
      <c r="K274" s="264" t="s">
        <v>187</v>
      </c>
      <c r="L274" s="264" t="s">
        <v>187</v>
      </c>
      <c r="M274" s="264" t="s">
        <v>187</v>
      </c>
      <c r="N274" s="264" t="s">
        <v>187</v>
      </c>
      <c r="O274" s="264" t="s">
        <v>187</v>
      </c>
      <c r="P274" s="264" t="s">
        <v>187</v>
      </c>
      <c r="Q274" s="264" t="s">
        <v>187</v>
      </c>
      <c r="R274" s="264" t="s">
        <v>187</v>
      </c>
      <c r="S274" s="97" t="str">
        <f t="array" ref="S274">IF(A274="","", IF( (ROUND(I274,4) &lt; INDEX('Tabela de ingredientes'!$O$1:$V$30, SWITCH(B274, "Gelatos de Leite", 7, "Sorbets", 10, "Gelatos de Leite com Fruta", 13, "Chocolate base água", 16, "Vegano", 19, "Alcoólicos", 22, "Zero", 25, "Gelatos Proteicos", 28, 7), 1)) + (ROUND(I274,4) &gt; INDEX('Tabela de ingredientes'!$O$1:$V$30, SWITCH(B274, "Gelatos de Leite", 8, "Sorbets", 11, "Gelatos de Leite com Fruta", 14, "Chocolate base água", 17, "Vegano", 20, "Alcoólicos", 23, "Zero", 26, "Gelatos Proteicos", 29, 8), 1)) + (ROUND(J274,4) &lt; INDEX('Tabela de ingredientes'!$O$1:$V$30, SWITCH(B274, "Gelatos de Leite", 7, "Sorbets", 10, "Gelatos de Leite com Fruta", 13, "Chocolate base água", 16, "Vegano", 19, "Alcoólicos", 22, "Zero", 25, "Gelatos Proteicos", 28, 7), 2)) + (ROUND(J274,4) &gt; INDEX('Tabela de ingredientes'!$O$1:$V$30, SWITCH(B274, "Gelatos de Leite", 8, "Sorbets", 11, "Gelatos de Leite com Fruta", 14, "Chocolate base água", 17, "Vegano", 20, "Alcoólicos", 23, "Zero", 26, "Gelatos Proteicos", 29, 8), 2)) + (ROUND(K274,4) &lt; INDEX('Tabela de ingredientes'!$O$1:$V$30, SWITCH(B274, "Gelatos de Leite", 7, "Sorbets", 10, "Gelatos de Leite com Fruta", 13, "Chocolate base água", 16, "Vegano", 19, "Alcoólicos", 22, "Zero", 25, "Gelatos Proteicos", 28, 7), 3)) + (ROUND(K274,4) &gt; INDEX('Tabela de ingredientes'!$O$1:$V$30, SWITCH(B274, "Gelatos de Leite", 8, "Sorbets", 11, "Gelatos de Leite com Fruta", 14, "Chocolate base água", 17, "Vegano", 20, "Alcoólicos", 23, "Zero", 26, "Gelatos Proteicos", 29, 8), 3)) + (ROUND(L274,4) &lt; INDEX('Tabela de ingredientes'!$O$1:$V$30, SWITCH(B274, "Gelatos de Leite", 7, "Sorbets", 10, "Gelatos de Leite com Fruta", 13, "Chocolate base água", 16, "Vegano", 19, "Alcoólicos", 22, "Zero", 25, "Gelatos Proteicos", 28, 7), 4)) + (ROUND(L274,4) &gt; INDEX('Tabela de ingredientes'!$O$1:$V$30, SWITCH(B274, "Gelatos de Leite", 8, "Sorbets", 11, "Gelatos de Leite com Fruta", 14, "Chocolate base água", 17, "Vegano", 20, "Alcoólicos", 23, "Zero", 26, "Gelatos Proteicos", 29, 8), 4)) + (ROUND(M274,4) &lt; INDEX('Tabela de ingredientes'!$O$1:$V$30, SWITCH(B274, "Gelatos de Leite", 7, "Sorbets", 10, "Gelatos de Leite com Fruta", 13, "Chocolate base água", 16, "Vegano", 19, "Alcoólicos", 22, "Zero", 25, "Gelatos Proteicos", 28, 7), 5)) + (ROUND(M274,4) &gt; INDEX('Tabela de ingredientes'!$O$1:$V$30, SWITCH(B274, "Gelatos de Leite", 8, "Sorbets", 11, "Gelatos de Leite com Fruta", 14, "Chocolate base água", 17, "Vegano", 20, "Alcoólicos", 23, "Zero", 26, "Gelatos Proteicos", 29, 8), 5)) + (ROUND(N274,4) &lt; INDEX('Tabela de ingredientes'!$O$1:$V$30, SWITCH(B274, "Gelatos de Leite", 7, "Sorbets", 10, "Gelatos de Leite com Fruta", 13, "Chocolate base água", 16, "Vegano", 19, "Alcoólicos", 22, "Zero", 25, "Gelatos Proteicos", 28, 7), 6)) + (ROUND(N274,4) &gt; INDEX('Tabela de ingredientes'!$O$1:$V$30, SWITCH(B274, "Gelatos de Leite", 8, "Sorbets", 11, "Gelatos de Leite com Fruta", 14, "Chocolate base água", 17, "Vegano", 20, "Alcoólicos", 23, "Zero", 26, "Gelatos Proteicos", 29, 8), 6)) + (ROUND(O274,4) &lt; INDEX('Tabela de ingredientes'!$O$1:$V$30, SWITCH(B274, "Gelatos de Leite", 7, "Sorbets", 10, "Gelatos de Leite com Fruta", 13, "Chocolate base água", 16, "Vegano", 19, "Alcoólicos", 22, "Zero", 25, "Gelatos Proteicos", 28, 7), 7)) + (ROUND(O274,4) &gt; INDEX('Tabela de ingredientes'!$O$1:$V$30, SWITCH(B274, "Gelatos de Leite", 8, "Sorbets", 11, "Gelatos de Leite com Fruta", 14, "Chocolate base água", 17, "Vegano", 20, "Alcoólicos", 23, "Zero", 26, "Gelatos Proteicos", 29, 8), 7)) + (ROUND(P274,4) &lt; INDEX('Tabela de ingredientes'!$O$1:$V$30, SWITCH(B274, "Gelatos de Leite", 7, "Sorbets", 10, "Gelatos de Leite com Fruta", 13, "Chocolate base água", 16, "Vegano", 19, "Alcoólicos", 22, "Zero", 25, "Gelatos Proteicos", 28, 7), 8)) + (ROUND(P274,4) &gt; INDEX('Tabela de ingredientes'!$O$1:$V$30, SWITCH(B274, "Gelatos de Leite", 8, "Sorbets", 11, "Gelatos de Leite com Fruta", 14, "Chocolate base água", 17, "Vegano", 20, "Alcoólicos", 23, "Zero", 26, "Gelatos Proteicos", 29, 8), 8)) + IF(B274="Gelatos Proteicos", (ROUND(Q274,4)&lt;'Tabela de ingredientes'!$W$28)+(ROUND(Q274,4)&gt;'Tabela de ingredientes'!$W$29), 0) = 0, "Ok", "Revisar"))</f>
        <v/>
      </c>
    </row>
    <row r="275">
      <c r="A275" s="264"/>
      <c r="B275" s="264" t="s">
        <v>187</v>
      </c>
      <c r="C275" s="264" t="s">
        <v>187</v>
      </c>
      <c r="D275" s="264" t="s">
        <v>187</v>
      </c>
      <c r="E275" s="264" t="s">
        <v>187</v>
      </c>
      <c r="F275" s="264" t="s">
        <v>187</v>
      </c>
      <c r="G275" s="264" t="s">
        <v>187</v>
      </c>
      <c r="H275" s="264" t="s">
        <v>187</v>
      </c>
      <c r="I275" s="264" t="s">
        <v>187</v>
      </c>
      <c r="J275" s="264" t="s">
        <v>187</v>
      </c>
      <c r="K275" s="264" t="s">
        <v>187</v>
      </c>
      <c r="L275" s="264" t="s">
        <v>187</v>
      </c>
      <c r="M275" s="264" t="s">
        <v>187</v>
      </c>
      <c r="N275" s="264" t="s">
        <v>187</v>
      </c>
      <c r="O275" s="264" t="s">
        <v>187</v>
      </c>
      <c r="P275" s="264" t="s">
        <v>187</v>
      </c>
      <c r="Q275" s="264" t="s">
        <v>187</v>
      </c>
      <c r="R275" s="264" t="s">
        <v>187</v>
      </c>
      <c r="S275" s="97" t="str">
        <f t="array" ref="S275">IF(A275="","", IF( (ROUND(I275,4) &lt; INDEX('Tabela de ingredientes'!$O$1:$V$30, SWITCH(B275, "Gelatos de Leite", 7, "Sorbets", 10, "Gelatos de Leite com Fruta", 13, "Chocolate base água", 16, "Vegano", 19, "Alcoólicos", 22, "Zero", 25, "Gelatos Proteicos", 28, 7), 1)) + (ROUND(I275,4) &gt; INDEX('Tabela de ingredientes'!$O$1:$V$30, SWITCH(B275, "Gelatos de Leite", 8, "Sorbets", 11, "Gelatos de Leite com Fruta", 14, "Chocolate base água", 17, "Vegano", 20, "Alcoólicos", 23, "Zero", 26, "Gelatos Proteicos", 29, 8), 1)) + (ROUND(J275,4) &lt; INDEX('Tabela de ingredientes'!$O$1:$V$30, SWITCH(B275, "Gelatos de Leite", 7, "Sorbets", 10, "Gelatos de Leite com Fruta", 13, "Chocolate base água", 16, "Vegano", 19, "Alcoólicos", 22, "Zero", 25, "Gelatos Proteicos", 28, 7), 2)) + (ROUND(J275,4) &gt; INDEX('Tabela de ingredientes'!$O$1:$V$30, SWITCH(B275, "Gelatos de Leite", 8, "Sorbets", 11, "Gelatos de Leite com Fruta", 14, "Chocolate base água", 17, "Vegano", 20, "Alcoólicos", 23, "Zero", 26, "Gelatos Proteicos", 29, 8), 2)) + (ROUND(K275,4) &lt; INDEX('Tabela de ingredientes'!$O$1:$V$30, SWITCH(B275, "Gelatos de Leite", 7, "Sorbets", 10, "Gelatos de Leite com Fruta", 13, "Chocolate base água", 16, "Vegano", 19, "Alcoólicos", 22, "Zero", 25, "Gelatos Proteicos", 28, 7), 3)) + (ROUND(K275,4) &gt; INDEX('Tabela de ingredientes'!$O$1:$V$30, SWITCH(B275, "Gelatos de Leite", 8, "Sorbets", 11, "Gelatos de Leite com Fruta", 14, "Chocolate base água", 17, "Vegano", 20, "Alcoólicos", 23, "Zero", 26, "Gelatos Proteicos", 29, 8), 3)) + (ROUND(L275,4) &lt; INDEX('Tabela de ingredientes'!$O$1:$V$30, SWITCH(B275, "Gelatos de Leite", 7, "Sorbets", 10, "Gelatos de Leite com Fruta", 13, "Chocolate base água", 16, "Vegano", 19, "Alcoólicos", 22, "Zero", 25, "Gelatos Proteicos", 28, 7), 4)) + (ROUND(L275,4) &gt; INDEX('Tabela de ingredientes'!$O$1:$V$30, SWITCH(B275, "Gelatos de Leite", 8, "Sorbets", 11, "Gelatos de Leite com Fruta", 14, "Chocolate base água", 17, "Vegano", 20, "Alcoólicos", 23, "Zero", 26, "Gelatos Proteicos", 29, 8), 4)) + (ROUND(M275,4) &lt; INDEX('Tabela de ingredientes'!$O$1:$V$30, SWITCH(B275, "Gelatos de Leite", 7, "Sorbets", 10, "Gelatos de Leite com Fruta", 13, "Chocolate base água", 16, "Vegano", 19, "Alcoólicos", 22, "Zero", 25, "Gelatos Proteicos", 28, 7), 5)) + (ROUND(M275,4) &gt; INDEX('Tabela de ingredientes'!$O$1:$V$30, SWITCH(B275, "Gelatos de Leite", 8, "Sorbets", 11, "Gelatos de Leite com Fruta", 14, "Chocolate base água", 17, "Vegano", 20, "Alcoólicos", 23, "Zero", 26, "Gelatos Proteicos", 29, 8), 5)) + (ROUND(N275,4) &lt; INDEX('Tabela de ingredientes'!$O$1:$V$30, SWITCH(B275, "Gelatos de Leite", 7, "Sorbets", 10, "Gelatos de Leite com Fruta", 13, "Chocolate base água", 16, "Vegano", 19, "Alcoólicos", 22, "Zero", 25, "Gelatos Proteicos", 28, 7), 6)) + (ROUND(N275,4) &gt; INDEX('Tabela de ingredientes'!$O$1:$V$30, SWITCH(B275, "Gelatos de Leite", 8, "Sorbets", 11, "Gelatos de Leite com Fruta", 14, "Chocolate base água", 17, "Vegano", 20, "Alcoólicos", 23, "Zero", 26, "Gelatos Proteicos", 29, 8), 6)) + (ROUND(O275,4) &lt; INDEX('Tabela de ingredientes'!$O$1:$V$30, SWITCH(B275, "Gelatos de Leite", 7, "Sorbets", 10, "Gelatos de Leite com Fruta", 13, "Chocolate base água", 16, "Vegano", 19, "Alcoólicos", 22, "Zero", 25, "Gelatos Proteicos", 28, 7), 7)) + (ROUND(O275,4) &gt; INDEX('Tabela de ingredientes'!$O$1:$V$30, SWITCH(B275, "Gelatos de Leite", 8, "Sorbets", 11, "Gelatos de Leite com Fruta", 14, "Chocolate base água", 17, "Vegano", 20, "Alcoólicos", 23, "Zero", 26, "Gelatos Proteicos", 29, 8), 7)) + (ROUND(P275,4) &lt; INDEX('Tabela de ingredientes'!$O$1:$V$30, SWITCH(B275, "Gelatos de Leite", 7, "Sorbets", 10, "Gelatos de Leite com Fruta", 13, "Chocolate base água", 16, "Vegano", 19, "Alcoólicos", 22, "Zero", 25, "Gelatos Proteicos", 28, 7), 8)) + (ROUND(P275,4) &gt; INDEX('Tabela de ingredientes'!$O$1:$V$30, SWITCH(B275, "Gelatos de Leite", 8, "Sorbets", 11, "Gelatos de Leite com Fruta", 14, "Chocolate base água", 17, "Vegano", 20, "Alcoólicos", 23, "Zero", 26, "Gelatos Proteicos", 29, 8), 8)) + IF(B275="Gelatos Proteicos", (ROUND(Q275,4)&lt;'Tabela de ingredientes'!$W$28)+(ROUND(Q275,4)&gt;'Tabela de ingredientes'!$W$29), 0) = 0, "Ok", "Revisar"))</f>
        <v/>
      </c>
    </row>
    <row r="276">
      <c r="A276" s="264"/>
      <c r="B276" s="264" t="s">
        <v>187</v>
      </c>
      <c r="C276" s="264" t="s">
        <v>187</v>
      </c>
      <c r="D276" s="264" t="s">
        <v>187</v>
      </c>
      <c r="E276" s="264" t="s">
        <v>187</v>
      </c>
      <c r="F276" s="264" t="s">
        <v>187</v>
      </c>
      <c r="G276" s="264" t="s">
        <v>187</v>
      </c>
      <c r="H276" s="264" t="s">
        <v>187</v>
      </c>
      <c r="I276" s="264" t="s">
        <v>187</v>
      </c>
      <c r="J276" s="264" t="s">
        <v>187</v>
      </c>
      <c r="K276" s="264" t="s">
        <v>187</v>
      </c>
      <c r="L276" s="264" t="s">
        <v>187</v>
      </c>
      <c r="M276" s="264" t="s">
        <v>187</v>
      </c>
      <c r="N276" s="264" t="s">
        <v>187</v>
      </c>
      <c r="O276" s="264" t="s">
        <v>187</v>
      </c>
      <c r="P276" s="264" t="s">
        <v>187</v>
      </c>
      <c r="Q276" s="264" t="s">
        <v>187</v>
      </c>
      <c r="R276" s="264" t="s">
        <v>187</v>
      </c>
      <c r="S276" s="97" t="str">
        <f t="array" ref="S276">IF(A276="","", IF( (ROUND(I276,4) &lt; INDEX('Tabela de ingredientes'!$O$1:$V$30, SWITCH(B276, "Gelatos de Leite", 7, "Sorbets", 10, "Gelatos de Leite com Fruta", 13, "Chocolate base água", 16, "Vegano", 19, "Alcoólicos", 22, "Zero", 25, "Gelatos Proteicos", 28, 7), 1)) + (ROUND(I276,4) &gt; INDEX('Tabela de ingredientes'!$O$1:$V$30, SWITCH(B276, "Gelatos de Leite", 8, "Sorbets", 11, "Gelatos de Leite com Fruta", 14, "Chocolate base água", 17, "Vegano", 20, "Alcoólicos", 23, "Zero", 26, "Gelatos Proteicos", 29, 8), 1)) + (ROUND(J276,4) &lt; INDEX('Tabela de ingredientes'!$O$1:$V$30, SWITCH(B276, "Gelatos de Leite", 7, "Sorbets", 10, "Gelatos de Leite com Fruta", 13, "Chocolate base água", 16, "Vegano", 19, "Alcoólicos", 22, "Zero", 25, "Gelatos Proteicos", 28, 7), 2)) + (ROUND(J276,4) &gt; INDEX('Tabela de ingredientes'!$O$1:$V$30, SWITCH(B276, "Gelatos de Leite", 8, "Sorbets", 11, "Gelatos de Leite com Fruta", 14, "Chocolate base água", 17, "Vegano", 20, "Alcoólicos", 23, "Zero", 26, "Gelatos Proteicos", 29, 8), 2)) + (ROUND(K276,4) &lt; INDEX('Tabela de ingredientes'!$O$1:$V$30, SWITCH(B276, "Gelatos de Leite", 7, "Sorbets", 10, "Gelatos de Leite com Fruta", 13, "Chocolate base água", 16, "Vegano", 19, "Alcoólicos", 22, "Zero", 25, "Gelatos Proteicos", 28, 7), 3)) + (ROUND(K276,4) &gt; INDEX('Tabela de ingredientes'!$O$1:$V$30, SWITCH(B276, "Gelatos de Leite", 8, "Sorbets", 11, "Gelatos de Leite com Fruta", 14, "Chocolate base água", 17, "Vegano", 20, "Alcoólicos", 23, "Zero", 26, "Gelatos Proteicos", 29, 8), 3)) + (ROUND(L276,4) &lt; INDEX('Tabela de ingredientes'!$O$1:$V$30, SWITCH(B276, "Gelatos de Leite", 7, "Sorbets", 10, "Gelatos de Leite com Fruta", 13, "Chocolate base água", 16, "Vegano", 19, "Alcoólicos", 22, "Zero", 25, "Gelatos Proteicos", 28, 7), 4)) + (ROUND(L276,4) &gt; INDEX('Tabela de ingredientes'!$O$1:$V$30, SWITCH(B276, "Gelatos de Leite", 8, "Sorbets", 11, "Gelatos de Leite com Fruta", 14, "Chocolate base água", 17, "Vegano", 20, "Alcoólicos", 23, "Zero", 26, "Gelatos Proteicos", 29, 8), 4)) + (ROUND(M276,4) &lt; INDEX('Tabela de ingredientes'!$O$1:$V$30, SWITCH(B276, "Gelatos de Leite", 7, "Sorbets", 10, "Gelatos de Leite com Fruta", 13, "Chocolate base água", 16, "Vegano", 19, "Alcoólicos", 22, "Zero", 25, "Gelatos Proteicos", 28, 7), 5)) + (ROUND(M276,4) &gt; INDEX('Tabela de ingredientes'!$O$1:$V$30, SWITCH(B276, "Gelatos de Leite", 8, "Sorbets", 11, "Gelatos de Leite com Fruta", 14, "Chocolate base água", 17, "Vegano", 20, "Alcoólicos", 23, "Zero", 26, "Gelatos Proteicos", 29, 8), 5)) + (ROUND(N276,4) &lt; INDEX('Tabela de ingredientes'!$O$1:$V$30, SWITCH(B276, "Gelatos de Leite", 7, "Sorbets", 10, "Gelatos de Leite com Fruta", 13, "Chocolate base água", 16, "Vegano", 19, "Alcoólicos", 22, "Zero", 25, "Gelatos Proteicos", 28, 7), 6)) + (ROUND(N276,4) &gt; INDEX('Tabela de ingredientes'!$O$1:$V$30, SWITCH(B276, "Gelatos de Leite", 8, "Sorbets", 11, "Gelatos de Leite com Fruta", 14, "Chocolate base água", 17, "Vegano", 20, "Alcoólicos", 23, "Zero", 26, "Gelatos Proteicos", 29, 8), 6)) + (ROUND(O276,4) &lt; INDEX('Tabela de ingredientes'!$O$1:$V$30, SWITCH(B276, "Gelatos de Leite", 7, "Sorbets", 10, "Gelatos de Leite com Fruta", 13, "Chocolate base água", 16, "Vegano", 19, "Alcoólicos", 22, "Zero", 25, "Gelatos Proteicos", 28, 7), 7)) + (ROUND(O276,4) &gt; INDEX('Tabela de ingredientes'!$O$1:$V$30, SWITCH(B276, "Gelatos de Leite", 8, "Sorbets", 11, "Gelatos de Leite com Fruta", 14, "Chocolate base água", 17, "Vegano", 20, "Alcoólicos", 23, "Zero", 26, "Gelatos Proteicos", 29, 8), 7)) + (ROUND(P276,4) &lt; INDEX('Tabela de ingredientes'!$O$1:$V$30, SWITCH(B276, "Gelatos de Leite", 7, "Sorbets", 10, "Gelatos de Leite com Fruta", 13, "Chocolate base água", 16, "Vegano", 19, "Alcoólicos", 22, "Zero", 25, "Gelatos Proteicos", 28, 7), 8)) + (ROUND(P276,4) &gt; INDEX('Tabela de ingredientes'!$O$1:$V$30, SWITCH(B276, "Gelatos de Leite", 8, "Sorbets", 11, "Gelatos de Leite com Fruta", 14, "Chocolate base água", 17, "Vegano", 20, "Alcoólicos", 23, "Zero", 26, "Gelatos Proteicos", 29, 8), 8)) + IF(B276="Gelatos Proteicos", (ROUND(Q276,4)&lt;'Tabela de ingredientes'!$W$28)+(ROUND(Q276,4)&gt;'Tabela de ingredientes'!$W$29), 0) = 0, "Ok", "Revisar"))</f>
        <v/>
      </c>
    </row>
    <row r="277">
      <c r="A277" s="264"/>
      <c r="B277" s="264" t="s">
        <v>187</v>
      </c>
      <c r="C277" s="264" t="s">
        <v>187</v>
      </c>
      <c r="D277" s="264" t="s">
        <v>187</v>
      </c>
      <c r="E277" s="264" t="s">
        <v>187</v>
      </c>
      <c r="F277" s="264" t="s">
        <v>187</v>
      </c>
      <c r="G277" s="264" t="s">
        <v>187</v>
      </c>
      <c r="H277" s="264" t="s">
        <v>187</v>
      </c>
      <c r="I277" s="264" t="s">
        <v>187</v>
      </c>
      <c r="J277" s="264" t="s">
        <v>187</v>
      </c>
      <c r="K277" s="264" t="s">
        <v>187</v>
      </c>
      <c r="L277" s="264" t="s">
        <v>187</v>
      </c>
      <c r="M277" s="264" t="s">
        <v>187</v>
      </c>
      <c r="N277" s="264" t="s">
        <v>187</v>
      </c>
      <c r="O277" s="264" t="s">
        <v>187</v>
      </c>
      <c r="P277" s="264" t="s">
        <v>187</v>
      </c>
      <c r="Q277" s="264" t="s">
        <v>187</v>
      </c>
      <c r="R277" s="264" t="s">
        <v>187</v>
      </c>
      <c r="S277" s="97" t="str">
        <f t="array" ref="S277">IF(A277="","", IF( (ROUND(I277,4) &lt; INDEX('Tabela de ingredientes'!$O$1:$V$30, SWITCH(B277, "Gelatos de Leite", 7, "Sorbets", 10, "Gelatos de Leite com Fruta", 13, "Chocolate base água", 16, "Vegano", 19, "Alcoólicos", 22, "Zero", 25, "Gelatos Proteicos", 28, 7), 1)) + (ROUND(I277,4) &gt; INDEX('Tabela de ingredientes'!$O$1:$V$30, SWITCH(B277, "Gelatos de Leite", 8, "Sorbets", 11, "Gelatos de Leite com Fruta", 14, "Chocolate base água", 17, "Vegano", 20, "Alcoólicos", 23, "Zero", 26, "Gelatos Proteicos", 29, 8), 1)) + (ROUND(J277,4) &lt; INDEX('Tabela de ingredientes'!$O$1:$V$30, SWITCH(B277, "Gelatos de Leite", 7, "Sorbets", 10, "Gelatos de Leite com Fruta", 13, "Chocolate base água", 16, "Vegano", 19, "Alcoólicos", 22, "Zero", 25, "Gelatos Proteicos", 28, 7), 2)) + (ROUND(J277,4) &gt; INDEX('Tabela de ingredientes'!$O$1:$V$30, SWITCH(B277, "Gelatos de Leite", 8, "Sorbets", 11, "Gelatos de Leite com Fruta", 14, "Chocolate base água", 17, "Vegano", 20, "Alcoólicos", 23, "Zero", 26, "Gelatos Proteicos", 29, 8), 2)) + (ROUND(K277,4) &lt; INDEX('Tabela de ingredientes'!$O$1:$V$30, SWITCH(B277, "Gelatos de Leite", 7, "Sorbets", 10, "Gelatos de Leite com Fruta", 13, "Chocolate base água", 16, "Vegano", 19, "Alcoólicos", 22, "Zero", 25, "Gelatos Proteicos", 28, 7), 3)) + (ROUND(K277,4) &gt; INDEX('Tabela de ingredientes'!$O$1:$V$30, SWITCH(B277, "Gelatos de Leite", 8, "Sorbets", 11, "Gelatos de Leite com Fruta", 14, "Chocolate base água", 17, "Vegano", 20, "Alcoólicos", 23, "Zero", 26, "Gelatos Proteicos", 29, 8), 3)) + (ROUND(L277,4) &lt; INDEX('Tabela de ingredientes'!$O$1:$V$30, SWITCH(B277, "Gelatos de Leite", 7, "Sorbets", 10, "Gelatos de Leite com Fruta", 13, "Chocolate base água", 16, "Vegano", 19, "Alcoólicos", 22, "Zero", 25, "Gelatos Proteicos", 28, 7), 4)) + (ROUND(L277,4) &gt; INDEX('Tabela de ingredientes'!$O$1:$V$30, SWITCH(B277, "Gelatos de Leite", 8, "Sorbets", 11, "Gelatos de Leite com Fruta", 14, "Chocolate base água", 17, "Vegano", 20, "Alcoólicos", 23, "Zero", 26, "Gelatos Proteicos", 29, 8), 4)) + (ROUND(M277,4) &lt; INDEX('Tabela de ingredientes'!$O$1:$V$30, SWITCH(B277, "Gelatos de Leite", 7, "Sorbets", 10, "Gelatos de Leite com Fruta", 13, "Chocolate base água", 16, "Vegano", 19, "Alcoólicos", 22, "Zero", 25, "Gelatos Proteicos", 28, 7), 5)) + (ROUND(M277,4) &gt; INDEX('Tabela de ingredientes'!$O$1:$V$30, SWITCH(B277, "Gelatos de Leite", 8, "Sorbets", 11, "Gelatos de Leite com Fruta", 14, "Chocolate base água", 17, "Vegano", 20, "Alcoólicos", 23, "Zero", 26, "Gelatos Proteicos", 29, 8), 5)) + (ROUND(N277,4) &lt; INDEX('Tabela de ingredientes'!$O$1:$V$30, SWITCH(B277, "Gelatos de Leite", 7, "Sorbets", 10, "Gelatos de Leite com Fruta", 13, "Chocolate base água", 16, "Vegano", 19, "Alcoólicos", 22, "Zero", 25, "Gelatos Proteicos", 28, 7), 6)) + (ROUND(N277,4) &gt; INDEX('Tabela de ingredientes'!$O$1:$V$30, SWITCH(B277, "Gelatos de Leite", 8, "Sorbets", 11, "Gelatos de Leite com Fruta", 14, "Chocolate base água", 17, "Vegano", 20, "Alcoólicos", 23, "Zero", 26, "Gelatos Proteicos", 29, 8), 6)) + (ROUND(O277,4) &lt; INDEX('Tabela de ingredientes'!$O$1:$V$30, SWITCH(B277, "Gelatos de Leite", 7, "Sorbets", 10, "Gelatos de Leite com Fruta", 13, "Chocolate base água", 16, "Vegano", 19, "Alcoólicos", 22, "Zero", 25, "Gelatos Proteicos", 28, 7), 7)) + (ROUND(O277,4) &gt; INDEX('Tabela de ingredientes'!$O$1:$V$30, SWITCH(B277, "Gelatos de Leite", 8, "Sorbets", 11, "Gelatos de Leite com Fruta", 14, "Chocolate base água", 17, "Vegano", 20, "Alcoólicos", 23, "Zero", 26, "Gelatos Proteicos", 29, 8), 7)) + (ROUND(P277,4) &lt; INDEX('Tabela de ingredientes'!$O$1:$V$30, SWITCH(B277, "Gelatos de Leite", 7, "Sorbets", 10, "Gelatos de Leite com Fruta", 13, "Chocolate base água", 16, "Vegano", 19, "Alcoólicos", 22, "Zero", 25, "Gelatos Proteicos", 28, 7), 8)) + (ROUND(P277,4) &gt; INDEX('Tabela de ingredientes'!$O$1:$V$30, SWITCH(B277, "Gelatos de Leite", 8, "Sorbets", 11, "Gelatos de Leite com Fruta", 14, "Chocolate base água", 17, "Vegano", 20, "Alcoólicos", 23, "Zero", 26, "Gelatos Proteicos", 29, 8), 8)) + IF(B277="Gelatos Proteicos", (ROUND(Q277,4)&lt;'Tabela de ingredientes'!$W$28)+(ROUND(Q277,4)&gt;'Tabela de ingredientes'!$W$29), 0) = 0, "Ok", "Revisar"))</f>
        <v/>
      </c>
    </row>
    <row r="278">
      <c r="A278" s="264"/>
      <c r="B278" s="264" t="s">
        <v>187</v>
      </c>
      <c r="C278" s="264" t="s">
        <v>187</v>
      </c>
      <c r="D278" s="264" t="s">
        <v>187</v>
      </c>
      <c r="E278" s="264" t="s">
        <v>187</v>
      </c>
      <c r="F278" s="264" t="s">
        <v>187</v>
      </c>
      <c r="G278" s="264" t="s">
        <v>187</v>
      </c>
      <c r="H278" s="264" t="s">
        <v>187</v>
      </c>
      <c r="I278" s="264" t="s">
        <v>187</v>
      </c>
      <c r="J278" s="264" t="s">
        <v>187</v>
      </c>
      <c r="K278" s="264" t="s">
        <v>187</v>
      </c>
      <c r="L278" s="264" t="s">
        <v>187</v>
      </c>
      <c r="M278" s="264" t="s">
        <v>187</v>
      </c>
      <c r="N278" s="264" t="s">
        <v>187</v>
      </c>
      <c r="O278" s="264" t="s">
        <v>187</v>
      </c>
      <c r="P278" s="264" t="s">
        <v>187</v>
      </c>
      <c r="Q278" s="264" t="s">
        <v>187</v>
      </c>
      <c r="R278" s="264" t="s">
        <v>187</v>
      </c>
      <c r="S278" s="97" t="str">
        <f t="array" ref="S278">IF(A278="","", IF( (ROUND(I278,4) &lt; INDEX('Tabela de ingredientes'!$O$1:$V$30, SWITCH(B278, "Gelatos de Leite", 7, "Sorbets", 10, "Gelatos de Leite com Fruta", 13, "Chocolate base água", 16, "Vegano", 19, "Alcoólicos", 22, "Zero", 25, "Gelatos Proteicos", 28, 7), 1)) + (ROUND(I278,4) &gt; INDEX('Tabela de ingredientes'!$O$1:$V$30, SWITCH(B278, "Gelatos de Leite", 8, "Sorbets", 11, "Gelatos de Leite com Fruta", 14, "Chocolate base água", 17, "Vegano", 20, "Alcoólicos", 23, "Zero", 26, "Gelatos Proteicos", 29, 8), 1)) + (ROUND(J278,4) &lt; INDEX('Tabela de ingredientes'!$O$1:$V$30, SWITCH(B278, "Gelatos de Leite", 7, "Sorbets", 10, "Gelatos de Leite com Fruta", 13, "Chocolate base água", 16, "Vegano", 19, "Alcoólicos", 22, "Zero", 25, "Gelatos Proteicos", 28, 7), 2)) + (ROUND(J278,4) &gt; INDEX('Tabela de ingredientes'!$O$1:$V$30, SWITCH(B278, "Gelatos de Leite", 8, "Sorbets", 11, "Gelatos de Leite com Fruta", 14, "Chocolate base água", 17, "Vegano", 20, "Alcoólicos", 23, "Zero", 26, "Gelatos Proteicos", 29, 8), 2)) + (ROUND(K278,4) &lt; INDEX('Tabela de ingredientes'!$O$1:$V$30, SWITCH(B278, "Gelatos de Leite", 7, "Sorbets", 10, "Gelatos de Leite com Fruta", 13, "Chocolate base água", 16, "Vegano", 19, "Alcoólicos", 22, "Zero", 25, "Gelatos Proteicos", 28, 7), 3)) + (ROUND(K278,4) &gt; INDEX('Tabela de ingredientes'!$O$1:$V$30, SWITCH(B278, "Gelatos de Leite", 8, "Sorbets", 11, "Gelatos de Leite com Fruta", 14, "Chocolate base água", 17, "Vegano", 20, "Alcoólicos", 23, "Zero", 26, "Gelatos Proteicos", 29, 8), 3)) + (ROUND(L278,4) &lt; INDEX('Tabela de ingredientes'!$O$1:$V$30, SWITCH(B278, "Gelatos de Leite", 7, "Sorbets", 10, "Gelatos de Leite com Fruta", 13, "Chocolate base água", 16, "Vegano", 19, "Alcoólicos", 22, "Zero", 25, "Gelatos Proteicos", 28, 7), 4)) + (ROUND(L278,4) &gt; INDEX('Tabela de ingredientes'!$O$1:$V$30, SWITCH(B278, "Gelatos de Leite", 8, "Sorbets", 11, "Gelatos de Leite com Fruta", 14, "Chocolate base água", 17, "Vegano", 20, "Alcoólicos", 23, "Zero", 26, "Gelatos Proteicos", 29, 8), 4)) + (ROUND(M278,4) &lt; INDEX('Tabela de ingredientes'!$O$1:$V$30, SWITCH(B278, "Gelatos de Leite", 7, "Sorbets", 10, "Gelatos de Leite com Fruta", 13, "Chocolate base água", 16, "Vegano", 19, "Alcoólicos", 22, "Zero", 25, "Gelatos Proteicos", 28, 7), 5)) + (ROUND(M278,4) &gt; INDEX('Tabela de ingredientes'!$O$1:$V$30, SWITCH(B278, "Gelatos de Leite", 8, "Sorbets", 11, "Gelatos de Leite com Fruta", 14, "Chocolate base água", 17, "Vegano", 20, "Alcoólicos", 23, "Zero", 26, "Gelatos Proteicos", 29, 8), 5)) + (ROUND(N278,4) &lt; INDEX('Tabela de ingredientes'!$O$1:$V$30, SWITCH(B278, "Gelatos de Leite", 7, "Sorbets", 10, "Gelatos de Leite com Fruta", 13, "Chocolate base água", 16, "Vegano", 19, "Alcoólicos", 22, "Zero", 25, "Gelatos Proteicos", 28, 7), 6)) + (ROUND(N278,4) &gt; INDEX('Tabela de ingredientes'!$O$1:$V$30, SWITCH(B278, "Gelatos de Leite", 8, "Sorbets", 11, "Gelatos de Leite com Fruta", 14, "Chocolate base água", 17, "Vegano", 20, "Alcoólicos", 23, "Zero", 26, "Gelatos Proteicos", 29, 8), 6)) + (ROUND(O278,4) &lt; INDEX('Tabela de ingredientes'!$O$1:$V$30, SWITCH(B278, "Gelatos de Leite", 7, "Sorbets", 10, "Gelatos de Leite com Fruta", 13, "Chocolate base água", 16, "Vegano", 19, "Alcoólicos", 22, "Zero", 25, "Gelatos Proteicos", 28, 7), 7)) + (ROUND(O278,4) &gt; INDEX('Tabela de ingredientes'!$O$1:$V$30, SWITCH(B278, "Gelatos de Leite", 8, "Sorbets", 11, "Gelatos de Leite com Fruta", 14, "Chocolate base água", 17, "Vegano", 20, "Alcoólicos", 23, "Zero", 26, "Gelatos Proteicos", 29, 8), 7)) + (ROUND(P278,4) &lt; INDEX('Tabela de ingredientes'!$O$1:$V$30, SWITCH(B278, "Gelatos de Leite", 7, "Sorbets", 10, "Gelatos de Leite com Fruta", 13, "Chocolate base água", 16, "Vegano", 19, "Alcoólicos", 22, "Zero", 25, "Gelatos Proteicos", 28, 7), 8)) + (ROUND(P278,4) &gt; INDEX('Tabela de ingredientes'!$O$1:$V$30, SWITCH(B278, "Gelatos de Leite", 8, "Sorbets", 11, "Gelatos de Leite com Fruta", 14, "Chocolate base água", 17, "Vegano", 20, "Alcoólicos", 23, "Zero", 26, "Gelatos Proteicos", 29, 8), 8)) + IF(B278="Gelatos Proteicos", (ROUND(Q278,4)&lt;'Tabela de ingredientes'!$W$28)+(ROUND(Q278,4)&gt;'Tabela de ingredientes'!$W$29), 0) = 0, "Ok", "Revisar"))</f>
        <v/>
      </c>
    </row>
    <row r="279">
      <c r="A279" s="264"/>
      <c r="B279" s="264" t="s">
        <v>187</v>
      </c>
      <c r="C279" s="264" t="s">
        <v>187</v>
      </c>
      <c r="D279" s="264" t="s">
        <v>187</v>
      </c>
      <c r="E279" s="264" t="s">
        <v>187</v>
      </c>
      <c r="F279" s="264" t="s">
        <v>187</v>
      </c>
      <c r="G279" s="264" t="s">
        <v>187</v>
      </c>
      <c r="H279" s="264" t="s">
        <v>187</v>
      </c>
      <c r="I279" s="264" t="s">
        <v>187</v>
      </c>
      <c r="J279" s="264" t="s">
        <v>187</v>
      </c>
      <c r="K279" s="264" t="s">
        <v>187</v>
      </c>
      <c r="L279" s="264" t="s">
        <v>187</v>
      </c>
      <c r="M279" s="264" t="s">
        <v>187</v>
      </c>
      <c r="N279" s="264" t="s">
        <v>187</v>
      </c>
      <c r="O279" s="264" t="s">
        <v>187</v>
      </c>
      <c r="P279" s="264" t="s">
        <v>187</v>
      </c>
      <c r="Q279" s="264" t="s">
        <v>187</v>
      </c>
      <c r="R279" s="264" t="s">
        <v>187</v>
      </c>
      <c r="S279" s="97" t="str">
        <f t="array" ref="S279">IF(A279="","", IF( (ROUND(I279,4) &lt; INDEX('Tabela de ingredientes'!$O$1:$V$30, SWITCH(B279, "Gelatos de Leite", 7, "Sorbets", 10, "Gelatos de Leite com Fruta", 13, "Chocolate base água", 16, "Vegano", 19, "Alcoólicos", 22, "Zero", 25, "Gelatos Proteicos", 28, 7), 1)) + (ROUND(I279,4) &gt; INDEX('Tabela de ingredientes'!$O$1:$V$30, SWITCH(B279, "Gelatos de Leite", 8, "Sorbets", 11, "Gelatos de Leite com Fruta", 14, "Chocolate base água", 17, "Vegano", 20, "Alcoólicos", 23, "Zero", 26, "Gelatos Proteicos", 29, 8), 1)) + (ROUND(J279,4) &lt; INDEX('Tabela de ingredientes'!$O$1:$V$30, SWITCH(B279, "Gelatos de Leite", 7, "Sorbets", 10, "Gelatos de Leite com Fruta", 13, "Chocolate base água", 16, "Vegano", 19, "Alcoólicos", 22, "Zero", 25, "Gelatos Proteicos", 28, 7), 2)) + (ROUND(J279,4) &gt; INDEX('Tabela de ingredientes'!$O$1:$V$30, SWITCH(B279, "Gelatos de Leite", 8, "Sorbets", 11, "Gelatos de Leite com Fruta", 14, "Chocolate base água", 17, "Vegano", 20, "Alcoólicos", 23, "Zero", 26, "Gelatos Proteicos", 29, 8), 2)) + (ROUND(K279,4) &lt; INDEX('Tabela de ingredientes'!$O$1:$V$30, SWITCH(B279, "Gelatos de Leite", 7, "Sorbets", 10, "Gelatos de Leite com Fruta", 13, "Chocolate base água", 16, "Vegano", 19, "Alcoólicos", 22, "Zero", 25, "Gelatos Proteicos", 28, 7), 3)) + (ROUND(K279,4) &gt; INDEX('Tabela de ingredientes'!$O$1:$V$30, SWITCH(B279, "Gelatos de Leite", 8, "Sorbets", 11, "Gelatos de Leite com Fruta", 14, "Chocolate base água", 17, "Vegano", 20, "Alcoólicos", 23, "Zero", 26, "Gelatos Proteicos", 29, 8), 3)) + (ROUND(L279,4) &lt; INDEX('Tabela de ingredientes'!$O$1:$V$30, SWITCH(B279, "Gelatos de Leite", 7, "Sorbets", 10, "Gelatos de Leite com Fruta", 13, "Chocolate base água", 16, "Vegano", 19, "Alcoólicos", 22, "Zero", 25, "Gelatos Proteicos", 28, 7), 4)) + (ROUND(L279,4) &gt; INDEX('Tabela de ingredientes'!$O$1:$V$30, SWITCH(B279, "Gelatos de Leite", 8, "Sorbets", 11, "Gelatos de Leite com Fruta", 14, "Chocolate base água", 17, "Vegano", 20, "Alcoólicos", 23, "Zero", 26, "Gelatos Proteicos", 29, 8), 4)) + (ROUND(M279,4) &lt; INDEX('Tabela de ingredientes'!$O$1:$V$30, SWITCH(B279, "Gelatos de Leite", 7, "Sorbets", 10, "Gelatos de Leite com Fruta", 13, "Chocolate base água", 16, "Vegano", 19, "Alcoólicos", 22, "Zero", 25, "Gelatos Proteicos", 28, 7), 5)) + (ROUND(M279,4) &gt; INDEX('Tabela de ingredientes'!$O$1:$V$30, SWITCH(B279, "Gelatos de Leite", 8, "Sorbets", 11, "Gelatos de Leite com Fruta", 14, "Chocolate base água", 17, "Vegano", 20, "Alcoólicos", 23, "Zero", 26, "Gelatos Proteicos", 29, 8), 5)) + (ROUND(N279,4) &lt; INDEX('Tabela de ingredientes'!$O$1:$V$30, SWITCH(B279, "Gelatos de Leite", 7, "Sorbets", 10, "Gelatos de Leite com Fruta", 13, "Chocolate base água", 16, "Vegano", 19, "Alcoólicos", 22, "Zero", 25, "Gelatos Proteicos", 28, 7), 6)) + (ROUND(N279,4) &gt; INDEX('Tabela de ingredientes'!$O$1:$V$30, SWITCH(B279, "Gelatos de Leite", 8, "Sorbets", 11, "Gelatos de Leite com Fruta", 14, "Chocolate base água", 17, "Vegano", 20, "Alcoólicos", 23, "Zero", 26, "Gelatos Proteicos", 29, 8), 6)) + (ROUND(O279,4) &lt; INDEX('Tabela de ingredientes'!$O$1:$V$30, SWITCH(B279, "Gelatos de Leite", 7, "Sorbets", 10, "Gelatos de Leite com Fruta", 13, "Chocolate base água", 16, "Vegano", 19, "Alcoólicos", 22, "Zero", 25, "Gelatos Proteicos", 28, 7), 7)) + (ROUND(O279,4) &gt; INDEX('Tabela de ingredientes'!$O$1:$V$30, SWITCH(B279, "Gelatos de Leite", 8, "Sorbets", 11, "Gelatos de Leite com Fruta", 14, "Chocolate base água", 17, "Vegano", 20, "Alcoólicos", 23, "Zero", 26, "Gelatos Proteicos", 29, 8), 7)) + (ROUND(P279,4) &lt; INDEX('Tabela de ingredientes'!$O$1:$V$30, SWITCH(B279, "Gelatos de Leite", 7, "Sorbets", 10, "Gelatos de Leite com Fruta", 13, "Chocolate base água", 16, "Vegano", 19, "Alcoólicos", 22, "Zero", 25, "Gelatos Proteicos", 28, 7), 8)) + (ROUND(P279,4) &gt; INDEX('Tabela de ingredientes'!$O$1:$V$30, SWITCH(B279, "Gelatos de Leite", 8, "Sorbets", 11, "Gelatos de Leite com Fruta", 14, "Chocolate base água", 17, "Vegano", 20, "Alcoólicos", 23, "Zero", 26, "Gelatos Proteicos", 29, 8), 8)) + IF(B279="Gelatos Proteicos", (ROUND(Q279,4)&lt;'Tabela de ingredientes'!$W$28)+(ROUND(Q279,4)&gt;'Tabela de ingredientes'!$W$29), 0) = 0, "Ok", "Revisar"))</f>
        <v/>
      </c>
    </row>
    <row r="280">
      <c r="A280" s="264"/>
      <c r="B280" s="264" t="s">
        <v>187</v>
      </c>
      <c r="C280" s="264" t="s">
        <v>187</v>
      </c>
      <c r="D280" s="264" t="s">
        <v>187</v>
      </c>
      <c r="E280" s="264" t="s">
        <v>187</v>
      </c>
      <c r="F280" s="264" t="s">
        <v>187</v>
      </c>
      <c r="G280" s="264" t="s">
        <v>187</v>
      </c>
      <c r="H280" s="264" t="s">
        <v>187</v>
      </c>
      <c r="I280" s="264" t="s">
        <v>187</v>
      </c>
      <c r="J280" s="264" t="s">
        <v>187</v>
      </c>
      <c r="K280" s="264" t="s">
        <v>187</v>
      </c>
      <c r="L280" s="264" t="s">
        <v>187</v>
      </c>
      <c r="M280" s="264" t="s">
        <v>187</v>
      </c>
      <c r="N280" s="264" t="s">
        <v>187</v>
      </c>
      <c r="O280" s="264" t="s">
        <v>187</v>
      </c>
      <c r="P280" s="264" t="s">
        <v>187</v>
      </c>
      <c r="Q280" s="264" t="s">
        <v>187</v>
      </c>
      <c r="R280" s="264" t="s">
        <v>187</v>
      </c>
      <c r="S280" s="97" t="str">
        <f t="array" ref="S280">IF(A280="","", IF( (ROUND(I280,4) &lt; INDEX('Tabela de ingredientes'!$O$1:$V$30, SWITCH(B280, "Gelatos de Leite", 7, "Sorbets", 10, "Gelatos de Leite com Fruta", 13, "Chocolate base água", 16, "Vegano", 19, "Alcoólicos", 22, "Zero", 25, "Gelatos Proteicos", 28, 7), 1)) + (ROUND(I280,4) &gt; INDEX('Tabela de ingredientes'!$O$1:$V$30, SWITCH(B280, "Gelatos de Leite", 8, "Sorbets", 11, "Gelatos de Leite com Fruta", 14, "Chocolate base água", 17, "Vegano", 20, "Alcoólicos", 23, "Zero", 26, "Gelatos Proteicos", 29, 8), 1)) + (ROUND(J280,4) &lt; INDEX('Tabela de ingredientes'!$O$1:$V$30, SWITCH(B280, "Gelatos de Leite", 7, "Sorbets", 10, "Gelatos de Leite com Fruta", 13, "Chocolate base água", 16, "Vegano", 19, "Alcoólicos", 22, "Zero", 25, "Gelatos Proteicos", 28, 7), 2)) + (ROUND(J280,4) &gt; INDEX('Tabela de ingredientes'!$O$1:$V$30, SWITCH(B280, "Gelatos de Leite", 8, "Sorbets", 11, "Gelatos de Leite com Fruta", 14, "Chocolate base água", 17, "Vegano", 20, "Alcoólicos", 23, "Zero", 26, "Gelatos Proteicos", 29, 8), 2)) + (ROUND(K280,4) &lt; INDEX('Tabela de ingredientes'!$O$1:$V$30, SWITCH(B280, "Gelatos de Leite", 7, "Sorbets", 10, "Gelatos de Leite com Fruta", 13, "Chocolate base água", 16, "Vegano", 19, "Alcoólicos", 22, "Zero", 25, "Gelatos Proteicos", 28, 7), 3)) + (ROUND(K280,4) &gt; INDEX('Tabela de ingredientes'!$O$1:$V$30, SWITCH(B280, "Gelatos de Leite", 8, "Sorbets", 11, "Gelatos de Leite com Fruta", 14, "Chocolate base água", 17, "Vegano", 20, "Alcoólicos", 23, "Zero", 26, "Gelatos Proteicos", 29, 8), 3)) + (ROUND(L280,4) &lt; INDEX('Tabela de ingredientes'!$O$1:$V$30, SWITCH(B280, "Gelatos de Leite", 7, "Sorbets", 10, "Gelatos de Leite com Fruta", 13, "Chocolate base água", 16, "Vegano", 19, "Alcoólicos", 22, "Zero", 25, "Gelatos Proteicos", 28, 7), 4)) + (ROUND(L280,4) &gt; INDEX('Tabela de ingredientes'!$O$1:$V$30, SWITCH(B280, "Gelatos de Leite", 8, "Sorbets", 11, "Gelatos de Leite com Fruta", 14, "Chocolate base água", 17, "Vegano", 20, "Alcoólicos", 23, "Zero", 26, "Gelatos Proteicos", 29, 8), 4)) + (ROUND(M280,4) &lt; INDEX('Tabela de ingredientes'!$O$1:$V$30, SWITCH(B280, "Gelatos de Leite", 7, "Sorbets", 10, "Gelatos de Leite com Fruta", 13, "Chocolate base água", 16, "Vegano", 19, "Alcoólicos", 22, "Zero", 25, "Gelatos Proteicos", 28, 7), 5)) + (ROUND(M280,4) &gt; INDEX('Tabela de ingredientes'!$O$1:$V$30, SWITCH(B280, "Gelatos de Leite", 8, "Sorbets", 11, "Gelatos de Leite com Fruta", 14, "Chocolate base água", 17, "Vegano", 20, "Alcoólicos", 23, "Zero", 26, "Gelatos Proteicos", 29, 8), 5)) + (ROUND(N280,4) &lt; INDEX('Tabela de ingredientes'!$O$1:$V$30, SWITCH(B280, "Gelatos de Leite", 7, "Sorbets", 10, "Gelatos de Leite com Fruta", 13, "Chocolate base água", 16, "Vegano", 19, "Alcoólicos", 22, "Zero", 25, "Gelatos Proteicos", 28, 7), 6)) + (ROUND(N280,4) &gt; INDEX('Tabela de ingredientes'!$O$1:$V$30, SWITCH(B280, "Gelatos de Leite", 8, "Sorbets", 11, "Gelatos de Leite com Fruta", 14, "Chocolate base água", 17, "Vegano", 20, "Alcoólicos", 23, "Zero", 26, "Gelatos Proteicos", 29, 8), 6)) + (ROUND(O280,4) &lt; INDEX('Tabela de ingredientes'!$O$1:$V$30, SWITCH(B280, "Gelatos de Leite", 7, "Sorbets", 10, "Gelatos de Leite com Fruta", 13, "Chocolate base água", 16, "Vegano", 19, "Alcoólicos", 22, "Zero", 25, "Gelatos Proteicos", 28, 7), 7)) + (ROUND(O280,4) &gt; INDEX('Tabela de ingredientes'!$O$1:$V$30, SWITCH(B280, "Gelatos de Leite", 8, "Sorbets", 11, "Gelatos de Leite com Fruta", 14, "Chocolate base água", 17, "Vegano", 20, "Alcoólicos", 23, "Zero", 26, "Gelatos Proteicos", 29, 8), 7)) + (ROUND(P280,4) &lt; INDEX('Tabela de ingredientes'!$O$1:$V$30, SWITCH(B280, "Gelatos de Leite", 7, "Sorbets", 10, "Gelatos de Leite com Fruta", 13, "Chocolate base água", 16, "Vegano", 19, "Alcoólicos", 22, "Zero", 25, "Gelatos Proteicos", 28, 7), 8)) + (ROUND(P280,4) &gt; INDEX('Tabela de ingredientes'!$O$1:$V$30, SWITCH(B280, "Gelatos de Leite", 8, "Sorbets", 11, "Gelatos de Leite com Fruta", 14, "Chocolate base água", 17, "Vegano", 20, "Alcoólicos", 23, "Zero", 26, "Gelatos Proteicos", 29, 8), 8)) + IF(B280="Gelatos Proteicos", (ROUND(Q280,4)&lt;'Tabela de ingredientes'!$W$28)+(ROUND(Q280,4)&gt;'Tabela de ingredientes'!$W$29), 0) = 0, "Ok", "Revisar"))</f>
        <v/>
      </c>
    </row>
    <row r="281">
      <c r="A281" s="264"/>
      <c r="B281" s="264" t="s">
        <v>187</v>
      </c>
      <c r="C281" s="264" t="s">
        <v>187</v>
      </c>
      <c r="D281" s="264" t="s">
        <v>187</v>
      </c>
      <c r="E281" s="264" t="s">
        <v>187</v>
      </c>
      <c r="F281" s="264" t="s">
        <v>187</v>
      </c>
      <c r="G281" s="264" t="s">
        <v>187</v>
      </c>
      <c r="H281" s="264" t="s">
        <v>187</v>
      </c>
      <c r="I281" s="264" t="s">
        <v>187</v>
      </c>
      <c r="J281" s="264" t="s">
        <v>187</v>
      </c>
      <c r="K281" s="264" t="s">
        <v>187</v>
      </c>
      <c r="L281" s="264" t="s">
        <v>187</v>
      </c>
      <c r="M281" s="264" t="s">
        <v>187</v>
      </c>
      <c r="N281" s="264" t="s">
        <v>187</v>
      </c>
      <c r="O281" s="264" t="s">
        <v>187</v>
      </c>
      <c r="P281" s="264" t="s">
        <v>187</v>
      </c>
      <c r="Q281" s="264" t="s">
        <v>187</v>
      </c>
      <c r="R281" s="264" t="s">
        <v>187</v>
      </c>
      <c r="S281" s="97" t="str">
        <f t="array" ref="S281">IF(A281="","", IF( (ROUND(I281,4) &lt; INDEX('Tabela de ingredientes'!$O$1:$V$30, SWITCH(B281, "Gelatos de Leite", 7, "Sorbets", 10, "Gelatos de Leite com Fruta", 13, "Chocolate base água", 16, "Vegano", 19, "Alcoólicos", 22, "Zero", 25, "Gelatos Proteicos", 28, 7), 1)) + (ROUND(I281,4) &gt; INDEX('Tabela de ingredientes'!$O$1:$V$30, SWITCH(B281, "Gelatos de Leite", 8, "Sorbets", 11, "Gelatos de Leite com Fruta", 14, "Chocolate base água", 17, "Vegano", 20, "Alcoólicos", 23, "Zero", 26, "Gelatos Proteicos", 29, 8), 1)) + (ROUND(J281,4) &lt; INDEX('Tabela de ingredientes'!$O$1:$V$30, SWITCH(B281, "Gelatos de Leite", 7, "Sorbets", 10, "Gelatos de Leite com Fruta", 13, "Chocolate base água", 16, "Vegano", 19, "Alcoólicos", 22, "Zero", 25, "Gelatos Proteicos", 28, 7), 2)) + (ROUND(J281,4) &gt; INDEX('Tabela de ingredientes'!$O$1:$V$30, SWITCH(B281, "Gelatos de Leite", 8, "Sorbets", 11, "Gelatos de Leite com Fruta", 14, "Chocolate base água", 17, "Vegano", 20, "Alcoólicos", 23, "Zero", 26, "Gelatos Proteicos", 29, 8), 2)) + (ROUND(K281,4) &lt; INDEX('Tabela de ingredientes'!$O$1:$V$30, SWITCH(B281, "Gelatos de Leite", 7, "Sorbets", 10, "Gelatos de Leite com Fruta", 13, "Chocolate base água", 16, "Vegano", 19, "Alcoólicos", 22, "Zero", 25, "Gelatos Proteicos", 28, 7), 3)) + (ROUND(K281,4) &gt; INDEX('Tabela de ingredientes'!$O$1:$V$30, SWITCH(B281, "Gelatos de Leite", 8, "Sorbets", 11, "Gelatos de Leite com Fruta", 14, "Chocolate base água", 17, "Vegano", 20, "Alcoólicos", 23, "Zero", 26, "Gelatos Proteicos", 29, 8), 3)) + (ROUND(L281,4) &lt; INDEX('Tabela de ingredientes'!$O$1:$V$30, SWITCH(B281, "Gelatos de Leite", 7, "Sorbets", 10, "Gelatos de Leite com Fruta", 13, "Chocolate base água", 16, "Vegano", 19, "Alcoólicos", 22, "Zero", 25, "Gelatos Proteicos", 28, 7), 4)) + (ROUND(L281,4) &gt; INDEX('Tabela de ingredientes'!$O$1:$V$30, SWITCH(B281, "Gelatos de Leite", 8, "Sorbets", 11, "Gelatos de Leite com Fruta", 14, "Chocolate base água", 17, "Vegano", 20, "Alcoólicos", 23, "Zero", 26, "Gelatos Proteicos", 29, 8), 4)) + (ROUND(M281,4) &lt; INDEX('Tabela de ingredientes'!$O$1:$V$30, SWITCH(B281, "Gelatos de Leite", 7, "Sorbets", 10, "Gelatos de Leite com Fruta", 13, "Chocolate base água", 16, "Vegano", 19, "Alcoólicos", 22, "Zero", 25, "Gelatos Proteicos", 28, 7), 5)) + (ROUND(M281,4) &gt; INDEX('Tabela de ingredientes'!$O$1:$V$30, SWITCH(B281, "Gelatos de Leite", 8, "Sorbets", 11, "Gelatos de Leite com Fruta", 14, "Chocolate base água", 17, "Vegano", 20, "Alcoólicos", 23, "Zero", 26, "Gelatos Proteicos", 29, 8), 5)) + (ROUND(N281,4) &lt; INDEX('Tabela de ingredientes'!$O$1:$V$30, SWITCH(B281, "Gelatos de Leite", 7, "Sorbets", 10, "Gelatos de Leite com Fruta", 13, "Chocolate base água", 16, "Vegano", 19, "Alcoólicos", 22, "Zero", 25, "Gelatos Proteicos", 28, 7), 6)) + (ROUND(N281,4) &gt; INDEX('Tabela de ingredientes'!$O$1:$V$30, SWITCH(B281, "Gelatos de Leite", 8, "Sorbets", 11, "Gelatos de Leite com Fruta", 14, "Chocolate base água", 17, "Vegano", 20, "Alcoólicos", 23, "Zero", 26, "Gelatos Proteicos", 29, 8), 6)) + (ROUND(O281,4) &lt; INDEX('Tabela de ingredientes'!$O$1:$V$30, SWITCH(B281, "Gelatos de Leite", 7, "Sorbets", 10, "Gelatos de Leite com Fruta", 13, "Chocolate base água", 16, "Vegano", 19, "Alcoólicos", 22, "Zero", 25, "Gelatos Proteicos", 28, 7), 7)) + (ROUND(O281,4) &gt; INDEX('Tabela de ingredientes'!$O$1:$V$30, SWITCH(B281, "Gelatos de Leite", 8, "Sorbets", 11, "Gelatos de Leite com Fruta", 14, "Chocolate base água", 17, "Vegano", 20, "Alcoólicos", 23, "Zero", 26, "Gelatos Proteicos", 29, 8), 7)) + (ROUND(P281,4) &lt; INDEX('Tabela de ingredientes'!$O$1:$V$30, SWITCH(B281, "Gelatos de Leite", 7, "Sorbets", 10, "Gelatos de Leite com Fruta", 13, "Chocolate base água", 16, "Vegano", 19, "Alcoólicos", 22, "Zero", 25, "Gelatos Proteicos", 28, 7), 8)) + (ROUND(P281,4) &gt; INDEX('Tabela de ingredientes'!$O$1:$V$30, SWITCH(B281, "Gelatos de Leite", 8, "Sorbets", 11, "Gelatos de Leite com Fruta", 14, "Chocolate base água", 17, "Vegano", 20, "Alcoólicos", 23, "Zero", 26, "Gelatos Proteicos", 29, 8), 8)) + IF(B281="Gelatos Proteicos", (ROUND(Q281,4)&lt;'Tabela de ingredientes'!$W$28)+(ROUND(Q281,4)&gt;'Tabela de ingredientes'!$W$29), 0) = 0, "Ok", "Revisar"))</f>
        <v/>
      </c>
    </row>
    <row r="282">
      <c r="A282" s="264"/>
      <c r="B282" s="264" t="s">
        <v>187</v>
      </c>
      <c r="C282" s="264" t="s">
        <v>187</v>
      </c>
      <c r="D282" s="264" t="s">
        <v>187</v>
      </c>
      <c r="E282" s="264" t="s">
        <v>187</v>
      </c>
      <c r="F282" s="264" t="s">
        <v>187</v>
      </c>
      <c r="G282" s="264" t="s">
        <v>187</v>
      </c>
      <c r="H282" s="264" t="s">
        <v>187</v>
      </c>
      <c r="I282" s="264" t="s">
        <v>187</v>
      </c>
      <c r="J282" s="264" t="s">
        <v>187</v>
      </c>
      <c r="K282" s="264" t="s">
        <v>187</v>
      </c>
      <c r="L282" s="264" t="s">
        <v>187</v>
      </c>
      <c r="M282" s="264" t="s">
        <v>187</v>
      </c>
      <c r="N282" s="264" t="s">
        <v>187</v>
      </c>
      <c r="O282" s="264" t="s">
        <v>187</v>
      </c>
      <c r="P282" s="264" t="s">
        <v>187</v>
      </c>
      <c r="Q282" s="264" t="s">
        <v>187</v>
      </c>
      <c r="R282" s="264" t="s">
        <v>187</v>
      </c>
      <c r="S282" s="97" t="str">
        <f t="array" ref="S282">IF(A282="","", IF( (ROUND(I282,4) &lt; INDEX('Tabela de ingredientes'!$O$1:$V$30, SWITCH(B282, "Gelatos de Leite", 7, "Sorbets", 10, "Gelatos de Leite com Fruta", 13, "Chocolate base água", 16, "Vegano", 19, "Alcoólicos", 22, "Zero", 25, "Gelatos Proteicos", 28, 7), 1)) + (ROUND(I282,4) &gt; INDEX('Tabela de ingredientes'!$O$1:$V$30, SWITCH(B282, "Gelatos de Leite", 8, "Sorbets", 11, "Gelatos de Leite com Fruta", 14, "Chocolate base água", 17, "Vegano", 20, "Alcoólicos", 23, "Zero", 26, "Gelatos Proteicos", 29, 8), 1)) + (ROUND(J282,4) &lt; INDEX('Tabela de ingredientes'!$O$1:$V$30, SWITCH(B282, "Gelatos de Leite", 7, "Sorbets", 10, "Gelatos de Leite com Fruta", 13, "Chocolate base água", 16, "Vegano", 19, "Alcoólicos", 22, "Zero", 25, "Gelatos Proteicos", 28, 7), 2)) + (ROUND(J282,4) &gt; INDEX('Tabela de ingredientes'!$O$1:$V$30, SWITCH(B282, "Gelatos de Leite", 8, "Sorbets", 11, "Gelatos de Leite com Fruta", 14, "Chocolate base água", 17, "Vegano", 20, "Alcoólicos", 23, "Zero", 26, "Gelatos Proteicos", 29, 8), 2)) + (ROUND(K282,4) &lt; INDEX('Tabela de ingredientes'!$O$1:$V$30, SWITCH(B282, "Gelatos de Leite", 7, "Sorbets", 10, "Gelatos de Leite com Fruta", 13, "Chocolate base água", 16, "Vegano", 19, "Alcoólicos", 22, "Zero", 25, "Gelatos Proteicos", 28, 7), 3)) + (ROUND(K282,4) &gt; INDEX('Tabela de ingredientes'!$O$1:$V$30, SWITCH(B282, "Gelatos de Leite", 8, "Sorbets", 11, "Gelatos de Leite com Fruta", 14, "Chocolate base água", 17, "Vegano", 20, "Alcoólicos", 23, "Zero", 26, "Gelatos Proteicos", 29, 8), 3)) + (ROUND(L282,4) &lt; INDEX('Tabela de ingredientes'!$O$1:$V$30, SWITCH(B282, "Gelatos de Leite", 7, "Sorbets", 10, "Gelatos de Leite com Fruta", 13, "Chocolate base água", 16, "Vegano", 19, "Alcoólicos", 22, "Zero", 25, "Gelatos Proteicos", 28, 7), 4)) + (ROUND(L282,4) &gt; INDEX('Tabela de ingredientes'!$O$1:$V$30, SWITCH(B282, "Gelatos de Leite", 8, "Sorbets", 11, "Gelatos de Leite com Fruta", 14, "Chocolate base água", 17, "Vegano", 20, "Alcoólicos", 23, "Zero", 26, "Gelatos Proteicos", 29, 8), 4)) + (ROUND(M282,4) &lt; INDEX('Tabela de ingredientes'!$O$1:$V$30, SWITCH(B282, "Gelatos de Leite", 7, "Sorbets", 10, "Gelatos de Leite com Fruta", 13, "Chocolate base água", 16, "Vegano", 19, "Alcoólicos", 22, "Zero", 25, "Gelatos Proteicos", 28, 7), 5)) + (ROUND(M282,4) &gt; INDEX('Tabela de ingredientes'!$O$1:$V$30, SWITCH(B282, "Gelatos de Leite", 8, "Sorbets", 11, "Gelatos de Leite com Fruta", 14, "Chocolate base água", 17, "Vegano", 20, "Alcoólicos", 23, "Zero", 26, "Gelatos Proteicos", 29, 8), 5)) + (ROUND(N282,4) &lt; INDEX('Tabela de ingredientes'!$O$1:$V$30, SWITCH(B282, "Gelatos de Leite", 7, "Sorbets", 10, "Gelatos de Leite com Fruta", 13, "Chocolate base água", 16, "Vegano", 19, "Alcoólicos", 22, "Zero", 25, "Gelatos Proteicos", 28, 7), 6)) + (ROUND(N282,4) &gt; INDEX('Tabela de ingredientes'!$O$1:$V$30, SWITCH(B282, "Gelatos de Leite", 8, "Sorbets", 11, "Gelatos de Leite com Fruta", 14, "Chocolate base água", 17, "Vegano", 20, "Alcoólicos", 23, "Zero", 26, "Gelatos Proteicos", 29, 8), 6)) + (ROUND(O282,4) &lt; INDEX('Tabela de ingredientes'!$O$1:$V$30, SWITCH(B282, "Gelatos de Leite", 7, "Sorbets", 10, "Gelatos de Leite com Fruta", 13, "Chocolate base água", 16, "Vegano", 19, "Alcoólicos", 22, "Zero", 25, "Gelatos Proteicos", 28, 7), 7)) + (ROUND(O282,4) &gt; INDEX('Tabela de ingredientes'!$O$1:$V$30, SWITCH(B282, "Gelatos de Leite", 8, "Sorbets", 11, "Gelatos de Leite com Fruta", 14, "Chocolate base água", 17, "Vegano", 20, "Alcoólicos", 23, "Zero", 26, "Gelatos Proteicos", 29, 8), 7)) + (ROUND(P282,4) &lt; INDEX('Tabela de ingredientes'!$O$1:$V$30, SWITCH(B282, "Gelatos de Leite", 7, "Sorbets", 10, "Gelatos de Leite com Fruta", 13, "Chocolate base água", 16, "Vegano", 19, "Alcoólicos", 22, "Zero", 25, "Gelatos Proteicos", 28, 7), 8)) + (ROUND(P282,4) &gt; INDEX('Tabela de ingredientes'!$O$1:$V$30, SWITCH(B282, "Gelatos de Leite", 8, "Sorbets", 11, "Gelatos de Leite com Fruta", 14, "Chocolate base água", 17, "Vegano", 20, "Alcoólicos", 23, "Zero", 26, "Gelatos Proteicos", 29, 8), 8)) + IF(B282="Gelatos Proteicos", (ROUND(Q282,4)&lt;'Tabela de ingredientes'!$W$28)+(ROUND(Q282,4)&gt;'Tabela de ingredientes'!$W$29), 0) = 0, "Ok", "Revisar"))</f>
        <v/>
      </c>
    </row>
    <row r="283">
      <c r="A283" s="264"/>
      <c r="B283" s="264" t="s">
        <v>187</v>
      </c>
      <c r="C283" s="264" t="s">
        <v>187</v>
      </c>
      <c r="D283" s="264" t="s">
        <v>187</v>
      </c>
      <c r="E283" s="264" t="s">
        <v>187</v>
      </c>
      <c r="F283" s="264" t="s">
        <v>187</v>
      </c>
      <c r="G283" s="264" t="s">
        <v>187</v>
      </c>
      <c r="H283" s="264" t="s">
        <v>187</v>
      </c>
      <c r="I283" s="264" t="s">
        <v>187</v>
      </c>
      <c r="J283" s="264" t="s">
        <v>187</v>
      </c>
      <c r="K283" s="264" t="s">
        <v>187</v>
      </c>
      <c r="L283" s="264" t="s">
        <v>187</v>
      </c>
      <c r="M283" s="264" t="s">
        <v>187</v>
      </c>
      <c r="N283" s="264" t="s">
        <v>187</v>
      </c>
      <c r="O283" s="264" t="s">
        <v>187</v>
      </c>
      <c r="P283" s="264" t="s">
        <v>187</v>
      </c>
      <c r="Q283" s="264" t="s">
        <v>187</v>
      </c>
      <c r="R283" s="264" t="s">
        <v>187</v>
      </c>
      <c r="S283" s="97" t="str">
        <f t="array" ref="S283">IF(A283="","", IF( (ROUND(I283,4) &lt; INDEX('Tabela de ingredientes'!$O$1:$V$30, SWITCH(B283, "Gelatos de Leite", 7, "Sorbets", 10, "Gelatos de Leite com Fruta", 13, "Chocolate base água", 16, "Vegano", 19, "Alcoólicos", 22, "Zero", 25, "Gelatos Proteicos", 28, 7), 1)) + (ROUND(I283,4) &gt; INDEX('Tabela de ingredientes'!$O$1:$V$30, SWITCH(B283, "Gelatos de Leite", 8, "Sorbets", 11, "Gelatos de Leite com Fruta", 14, "Chocolate base água", 17, "Vegano", 20, "Alcoólicos", 23, "Zero", 26, "Gelatos Proteicos", 29, 8), 1)) + (ROUND(J283,4) &lt; INDEX('Tabela de ingredientes'!$O$1:$V$30, SWITCH(B283, "Gelatos de Leite", 7, "Sorbets", 10, "Gelatos de Leite com Fruta", 13, "Chocolate base água", 16, "Vegano", 19, "Alcoólicos", 22, "Zero", 25, "Gelatos Proteicos", 28, 7), 2)) + (ROUND(J283,4) &gt; INDEX('Tabela de ingredientes'!$O$1:$V$30, SWITCH(B283, "Gelatos de Leite", 8, "Sorbets", 11, "Gelatos de Leite com Fruta", 14, "Chocolate base água", 17, "Vegano", 20, "Alcoólicos", 23, "Zero", 26, "Gelatos Proteicos", 29, 8), 2)) + (ROUND(K283,4) &lt; INDEX('Tabela de ingredientes'!$O$1:$V$30, SWITCH(B283, "Gelatos de Leite", 7, "Sorbets", 10, "Gelatos de Leite com Fruta", 13, "Chocolate base água", 16, "Vegano", 19, "Alcoólicos", 22, "Zero", 25, "Gelatos Proteicos", 28, 7), 3)) + (ROUND(K283,4) &gt; INDEX('Tabela de ingredientes'!$O$1:$V$30, SWITCH(B283, "Gelatos de Leite", 8, "Sorbets", 11, "Gelatos de Leite com Fruta", 14, "Chocolate base água", 17, "Vegano", 20, "Alcoólicos", 23, "Zero", 26, "Gelatos Proteicos", 29, 8), 3)) + (ROUND(L283,4) &lt; INDEX('Tabela de ingredientes'!$O$1:$V$30, SWITCH(B283, "Gelatos de Leite", 7, "Sorbets", 10, "Gelatos de Leite com Fruta", 13, "Chocolate base água", 16, "Vegano", 19, "Alcoólicos", 22, "Zero", 25, "Gelatos Proteicos", 28, 7), 4)) + (ROUND(L283,4) &gt; INDEX('Tabela de ingredientes'!$O$1:$V$30, SWITCH(B283, "Gelatos de Leite", 8, "Sorbets", 11, "Gelatos de Leite com Fruta", 14, "Chocolate base água", 17, "Vegano", 20, "Alcoólicos", 23, "Zero", 26, "Gelatos Proteicos", 29, 8), 4)) + (ROUND(M283,4) &lt; INDEX('Tabela de ingredientes'!$O$1:$V$30, SWITCH(B283, "Gelatos de Leite", 7, "Sorbets", 10, "Gelatos de Leite com Fruta", 13, "Chocolate base água", 16, "Vegano", 19, "Alcoólicos", 22, "Zero", 25, "Gelatos Proteicos", 28, 7), 5)) + (ROUND(M283,4) &gt; INDEX('Tabela de ingredientes'!$O$1:$V$30, SWITCH(B283, "Gelatos de Leite", 8, "Sorbets", 11, "Gelatos de Leite com Fruta", 14, "Chocolate base água", 17, "Vegano", 20, "Alcoólicos", 23, "Zero", 26, "Gelatos Proteicos", 29, 8), 5)) + (ROUND(N283,4) &lt; INDEX('Tabela de ingredientes'!$O$1:$V$30, SWITCH(B283, "Gelatos de Leite", 7, "Sorbets", 10, "Gelatos de Leite com Fruta", 13, "Chocolate base água", 16, "Vegano", 19, "Alcoólicos", 22, "Zero", 25, "Gelatos Proteicos", 28, 7), 6)) + (ROUND(N283,4) &gt; INDEX('Tabela de ingredientes'!$O$1:$V$30, SWITCH(B283, "Gelatos de Leite", 8, "Sorbets", 11, "Gelatos de Leite com Fruta", 14, "Chocolate base água", 17, "Vegano", 20, "Alcoólicos", 23, "Zero", 26, "Gelatos Proteicos", 29, 8), 6)) + (ROUND(O283,4) &lt; INDEX('Tabela de ingredientes'!$O$1:$V$30, SWITCH(B283, "Gelatos de Leite", 7, "Sorbets", 10, "Gelatos de Leite com Fruta", 13, "Chocolate base água", 16, "Vegano", 19, "Alcoólicos", 22, "Zero", 25, "Gelatos Proteicos", 28, 7), 7)) + (ROUND(O283,4) &gt; INDEX('Tabela de ingredientes'!$O$1:$V$30, SWITCH(B283, "Gelatos de Leite", 8, "Sorbets", 11, "Gelatos de Leite com Fruta", 14, "Chocolate base água", 17, "Vegano", 20, "Alcoólicos", 23, "Zero", 26, "Gelatos Proteicos", 29, 8), 7)) + (ROUND(P283,4) &lt; INDEX('Tabela de ingredientes'!$O$1:$V$30, SWITCH(B283, "Gelatos de Leite", 7, "Sorbets", 10, "Gelatos de Leite com Fruta", 13, "Chocolate base água", 16, "Vegano", 19, "Alcoólicos", 22, "Zero", 25, "Gelatos Proteicos", 28, 7), 8)) + (ROUND(P283,4) &gt; INDEX('Tabela de ingredientes'!$O$1:$V$30, SWITCH(B283, "Gelatos de Leite", 8, "Sorbets", 11, "Gelatos de Leite com Fruta", 14, "Chocolate base água", 17, "Vegano", 20, "Alcoólicos", 23, "Zero", 26, "Gelatos Proteicos", 29, 8), 8)) + IF(B283="Gelatos Proteicos", (ROUND(Q283,4)&lt;'Tabela de ingredientes'!$W$28)+(ROUND(Q283,4)&gt;'Tabela de ingredientes'!$W$29), 0) = 0, "Ok", "Revisar"))</f>
        <v/>
      </c>
    </row>
    <row r="284">
      <c r="A284" s="264"/>
      <c r="B284" s="264" t="s">
        <v>187</v>
      </c>
      <c r="C284" s="264" t="s">
        <v>187</v>
      </c>
      <c r="D284" s="264" t="s">
        <v>187</v>
      </c>
      <c r="E284" s="264" t="s">
        <v>187</v>
      </c>
      <c r="F284" s="264" t="s">
        <v>187</v>
      </c>
      <c r="G284" s="264" t="s">
        <v>187</v>
      </c>
      <c r="H284" s="264" t="s">
        <v>187</v>
      </c>
      <c r="I284" s="264" t="s">
        <v>187</v>
      </c>
      <c r="J284" s="264" t="s">
        <v>187</v>
      </c>
      <c r="K284" s="264" t="s">
        <v>187</v>
      </c>
      <c r="L284" s="264" t="s">
        <v>187</v>
      </c>
      <c r="M284" s="264" t="s">
        <v>187</v>
      </c>
      <c r="N284" s="264" t="s">
        <v>187</v>
      </c>
      <c r="O284" s="264" t="s">
        <v>187</v>
      </c>
      <c r="P284" s="264" t="s">
        <v>187</v>
      </c>
      <c r="Q284" s="264" t="s">
        <v>187</v>
      </c>
      <c r="R284" s="264" t="s">
        <v>187</v>
      </c>
      <c r="S284" s="97" t="str">
        <f t="array" ref="S284">IF(A284="","", IF( (ROUND(I284,4) &lt; INDEX('Tabela de ingredientes'!$O$1:$V$30, SWITCH(B284, "Gelatos de Leite", 7, "Sorbets", 10, "Gelatos de Leite com Fruta", 13, "Chocolate base água", 16, "Vegano", 19, "Alcoólicos", 22, "Zero", 25, "Gelatos Proteicos", 28, 7), 1)) + (ROUND(I284,4) &gt; INDEX('Tabela de ingredientes'!$O$1:$V$30, SWITCH(B284, "Gelatos de Leite", 8, "Sorbets", 11, "Gelatos de Leite com Fruta", 14, "Chocolate base água", 17, "Vegano", 20, "Alcoólicos", 23, "Zero", 26, "Gelatos Proteicos", 29, 8), 1)) + (ROUND(J284,4) &lt; INDEX('Tabela de ingredientes'!$O$1:$V$30, SWITCH(B284, "Gelatos de Leite", 7, "Sorbets", 10, "Gelatos de Leite com Fruta", 13, "Chocolate base água", 16, "Vegano", 19, "Alcoólicos", 22, "Zero", 25, "Gelatos Proteicos", 28, 7), 2)) + (ROUND(J284,4) &gt; INDEX('Tabela de ingredientes'!$O$1:$V$30, SWITCH(B284, "Gelatos de Leite", 8, "Sorbets", 11, "Gelatos de Leite com Fruta", 14, "Chocolate base água", 17, "Vegano", 20, "Alcoólicos", 23, "Zero", 26, "Gelatos Proteicos", 29, 8), 2)) + (ROUND(K284,4) &lt; INDEX('Tabela de ingredientes'!$O$1:$V$30, SWITCH(B284, "Gelatos de Leite", 7, "Sorbets", 10, "Gelatos de Leite com Fruta", 13, "Chocolate base água", 16, "Vegano", 19, "Alcoólicos", 22, "Zero", 25, "Gelatos Proteicos", 28, 7), 3)) + (ROUND(K284,4) &gt; INDEX('Tabela de ingredientes'!$O$1:$V$30, SWITCH(B284, "Gelatos de Leite", 8, "Sorbets", 11, "Gelatos de Leite com Fruta", 14, "Chocolate base água", 17, "Vegano", 20, "Alcoólicos", 23, "Zero", 26, "Gelatos Proteicos", 29, 8), 3)) + (ROUND(L284,4) &lt; INDEX('Tabela de ingredientes'!$O$1:$V$30, SWITCH(B284, "Gelatos de Leite", 7, "Sorbets", 10, "Gelatos de Leite com Fruta", 13, "Chocolate base água", 16, "Vegano", 19, "Alcoólicos", 22, "Zero", 25, "Gelatos Proteicos", 28, 7), 4)) + (ROUND(L284,4) &gt; INDEX('Tabela de ingredientes'!$O$1:$V$30, SWITCH(B284, "Gelatos de Leite", 8, "Sorbets", 11, "Gelatos de Leite com Fruta", 14, "Chocolate base água", 17, "Vegano", 20, "Alcoólicos", 23, "Zero", 26, "Gelatos Proteicos", 29, 8), 4)) + (ROUND(M284,4) &lt; INDEX('Tabela de ingredientes'!$O$1:$V$30, SWITCH(B284, "Gelatos de Leite", 7, "Sorbets", 10, "Gelatos de Leite com Fruta", 13, "Chocolate base água", 16, "Vegano", 19, "Alcoólicos", 22, "Zero", 25, "Gelatos Proteicos", 28, 7), 5)) + (ROUND(M284,4) &gt; INDEX('Tabela de ingredientes'!$O$1:$V$30, SWITCH(B284, "Gelatos de Leite", 8, "Sorbets", 11, "Gelatos de Leite com Fruta", 14, "Chocolate base água", 17, "Vegano", 20, "Alcoólicos", 23, "Zero", 26, "Gelatos Proteicos", 29, 8), 5)) + (ROUND(N284,4) &lt; INDEX('Tabela de ingredientes'!$O$1:$V$30, SWITCH(B284, "Gelatos de Leite", 7, "Sorbets", 10, "Gelatos de Leite com Fruta", 13, "Chocolate base água", 16, "Vegano", 19, "Alcoólicos", 22, "Zero", 25, "Gelatos Proteicos", 28, 7), 6)) + (ROUND(N284,4) &gt; INDEX('Tabela de ingredientes'!$O$1:$V$30, SWITCH(B284, "Gelatos de Leite", 8, "Sorbets", 11, "Gelatos de Leite com Fruta", 14, "Chocolate base água", 17, "Vegano", 20, "Alcoólicos", 23, "Zero", 26, "Gelatos Proteicos", 29, 8), 6)) + (ROUND(O284,4) &lt; INDEX('Tabela de ingredientes'!$O$1:$V$30, SWITCH(B284, "Gelatos de Leite", 7, "Sorbets", 10, "Gelatos de Leite com Fruta", 13, "Chocolate base água", 16, "Vegano", 19, "Alcoólicos", 22, "Zero", 25, "Gelatos Proteicos", 28, 7), 7)) + (ROUND(O284,4) &gt; INDEX('Tabela de ingredientes'!$O$1:$V$30, SWITCH(B284, "Gelatos de Leite", 8, "Sorbets", 11, "Gelatos de Leite com Fruta", 14, "Chocolate base água", 17, "Vegano", 20, "Alcoólicos", 23, "Zero", 26, "Gelatos Proteicos", 29, 8), 7)) + (ROUND(P284,4) &lt; INDEX('Tabela de ingredientes'!$O$1:$V$30, SWITCH(B284, "Gelatos de Leite", 7, "Sorbets", 10, "Gelatos de Leite com Fruta", 13, "Chocolate base água", 16, "Vegano", 19, "Alcoólicos", 22, "Zero", 25, "Gelatos Proteicos", 28, 7), 8)) + (ROUND(P284,4) &gt; INDEX('Tabela de ingredientes'!$O$1:$V$30, SWITCH(B284, "Gelatos de Leite", 8, "Sorbets", 11, "Gelatos de Leite com Fruta", 14, "Chocolate base água", 17, "Vegano", 20, "Alcoólicos", 23, "Zero", 26, "Gelatos Proteicos", 29, 8), 8)) + IF(B284="Gelatos Proteicos", (ROUND(Q284,4)&lt;'Tabela de ingredientes'!$W$28)+(ROUND(Q284,4)&gt;'Tabela de ingredientes'!$W$29), 0) = 0, "Ok", "Revisar"))</f>
        <v/>
      </c>
    </row>
    <row r="285">
      <c r="A285" s="264"/>
      <c r="B285" s="264" t="s">
        <v>187</v>
      </c>
      <c r="C285" s="264" t="s">
        <v>187</v>
      </c>
      <c r="D285" s="264" t="s">
        <v>187</v>
      </c>
      <c r="E285" s="264" t="s">
        <v>187</v>
      </c>
      <c r="F285" s="264" t="s">
        <v>187</v>
      </c>
      <c r="G285" s="264" t="s">
        <v>187</v>
      </c>
      <c r="H285" s="264" t="s">
        <v>187</v>
      </c>
      <c r="I285" s="264" t="s">
        <v>187</v>
      </c>
      <c r="J285" s="264" t="s">
        <v>187</v>
      </c>
      <c r="K285" s="264" t="s">
        <v>187</v>
      </c>
      <c r="L285" s="264" t="s">
        <v>187</v>
      </c>
      <c r="M285" s="264" t="s">
        <v>187</v>
      </c>
      <c r="N285" s="264" t="s">
        <v>187</v>
      </c>
      <c r="O285" s="264" t="s">
        <v>187</v>
      </c>
      <c r="P285" s="264" t="s">
        <v>187</v>
      </c>
      <c r="Q285" s="264" t="s">
        <v>187</v>
      </c>
      <c r="R285" s="264" t="s">
        <v>187</v>
      </c>
      <c r="S285" s="97" t="str">
        <f t="array" ref="S285">IF(A285="","", IF( (ROUND(I285,4) &lt; INDEX('Tabela de ingredientes'!$O$1:$V$30, SWITCH(B285, "Gelatos de Leite", 7, "Sorbets", 10, "Gelatos de Leite com Fruta", 13, "Chocolate base água", 16, "Vegano", 19, "Alcoólicos", 22, "Zero", 25, "Gelatos Proteicos", 28, 7), 1)) + (ROUND(I285,4) &gt; INDEX('Tabela de ingredientes'!$O$1:$V$30, SWITCH(B285, "Gelatos de Leite", 8, "Sorbets", 11, "Gelatos de Leite com Fruta", 14, "Chocolate base água", 17, "Vegano", 20, "Alcoólicos", 23, "Zero", 26, "Gelatos Proteicos", 29, 8), 1)) + (ROUND(J285,4) &lt; INDEX('Tabela de ingredientes'!$O$1:$V$30, SWITCH(B285, "Gelatos de Leite", 7, "Sorbets", 10, "Gelatos de Leite com Fruta", 13, "Chocolate base água", 16, "Vegano", 19, "Alcoólicos", 22, "Zero", 25, "Gelatos Proteicos", 28, 7), 2)) + (ROUND(J285,4) &gt; INDEX('Tabela de ingredientes'!$O$1:$V$30, SWITCH(B285, "Gelatos de Leite", 8, "Sorbets", 11, "Gelatos de Leite com Fruta", 14, "Chocolate base água", 17, "Vegano", 20, "Alcoólicos", 23, "Zero", 26, "Gelatos Proteicos", 29, 8), 2)) + (ROUND(K285,4) &lt; INDEX('Tabela de ingredientes'!$O$1:$V$30, SWITCH(B285, "Gelatos de Leite", 7, "Sorbets", 10, "Gelatos de Leite com Fruta", 13, "Chocolate base água", 16, "Vegano", 19, "Alcoólicos", 22, "Zero", 25, "Gelatos Proteicos", 28, 7), 3)) + (ROUND(K285,4) &gt; INDEX('Tabela de ingredientes'!$O$1:$V$30, SWITCH(B285, "Gelatos de Leite", 8, "Sorbets", 11, "Gelatos de Leite com Fruta", 14, "Chocolate base água", 17, "Vegano", 20, "Alcoólicos", 23, "Zero", 26, "Gelatos Proteicos", 29, 8), 3)) + (ROUND(L285,4) &lt; INDEX('Tabela de ingredientes'!$O$1:$V$30, SWITCH(B285, "Gelatos de Leite", 7, "Sorbets", 10, "Gelatos de Leite com Fruta", 13, "Chocolate base água", 16, "Vegano", 19, "Alcoólicos", 22, "Zero", 25, "Gelatos Proteicos", 28, 7), 4)) + (ROUND(L285,4) &gt; INDEX('Tabela de ingredientes'!$O$1:$V$30, SWITCH(B285, "Gelatos de Leite", 8, "Sorbets", 11, "Gelatos de Leite com Fruta", 14, "Chocolate base água", 17, "Vegano", 20, "Alcoólicos", 23, "Zero", 26, "Gelatos Proteicos", 29, 8), 4)) + (ROUND(M285,4) &lt; INDEX('Tabela de ingredientes'!$O$1:$V$30, SWITCH(B285, "Gelatos de Leite", 7, "Sorbets", 10, "Gelatos de Leite com Fruta", 13, "Chocolate base água", 16, "Vegano", 19, "Alcoólicos", 22, "Zero", 25, "Gelatos Proteicos", 28, 7), 5)) + (ROUND(M285,4) &gt; INDEX('Tabela de ingredientes'!$O$1:$V$30, SWITCH(B285, "Gelatos de Leite", 8, "Sorbets", 11, "Gelatos de Leite com Fruta", 14, "Chocolate base água", 17, "Vegano", 20, "Alcoólicos", 23, "Zero", 26, "Gelatos Proteicos", 29, 8), 5)) + (ROUND(N285,4) &lt; INDEX('Tabela de ingredientes'!$O$1:$V$30, SWITCH(B285, "Gelatos de Leite", 7, "Sorbets", 10, "Gelatos de Leite com Fruta", 13, "Chocolate base água", 16, "Vegano", 19, "Alcoólicos", 22, "Zero", 25, "Gelatos Proteicos", 28, 7), 6)) + (ROUND(N285,4) &gt; INDEX('Tabela de ingredientes'!$O$1:$V$30, SWITCH(B285, "Gelatos de Leite", 8, "Sorbets", 11, "Gelatos de Leite com Fruta", 14, "Chocolate base água", 17, "Vegano", 20, "Alcoólicos", 23, "Zero", 26, "Gelatos Proteicos", 29, 8), 6)) + (ROUND(O285,4) &lt; INDEX('Tabela de ingredientes'!$O$1:$V$30, SWITCH(B285, "Gelatos de Leite", 7, "Sorbets", 10, "Gelatos de Leite com Fruta", 13, "Chocolate base água", 16, "Vegano", 19, "Alcoólicos", 22, "Zero", 25, "Gelatos Proteicos", 28, 7), 7)) + (ROUND(O285,4) &gt; INDEX('Tabela de ingredientes'!$O$1:$V$30, SWITCH(B285, "Gelatos de Leite", 8, "Sorbets", 11, "Gelatos de Leite com Fruta", 14, "Chocolate base água", 17, "Vegano", 20, "Alcoólicos", 23, "Zero", 26, "Gelatos Proteicos", 29, 8), 7)) + (ROUND(P285,4) &lt; INDEX('Tabela de ingredientes'!$O$1:$V$30, SWITCH(B285, "Gelatos de Leite", 7, "Sorbets", 10, "Gelatos de Leite com Fruta", 13, "Chocolate base água", 16, "Vegano", 19, "Alcoólicos", 22, "Zero", 25, "Gelatos Proteicos", 28, 7), 8)) + (ROUND(P285,4) &gt; INDEX('Tabela de ingredientes'!$O$1:$V$30, SWITCH(B285, "Gelatos de Leite", 8, "Sorbets", 11, "Gelatos de Leite com Fruta", 14, "Chocolate base água", 17, "Vegano", 20, "Alcoólicos", 23, "Zero", 26, "Gelatos Proteicos", 29, 8), 8)) + IF(B285="Gelatos Proteicos", (ROUND(Q285,4)&lt;'Tabela de ingredientes'!$W$28)+(ROUND(Q285,4)&gt;'Tabela de ingredientes'!$W$29), 0) = 0, "Ok", "Revisar"))</f>
        <v/>
      </c>
    </row>
    <row r="286">
      <c r="A286" s="264"/>
      <c r="B286" s="264" t="s">
        <v>187</v>
      </c>
      <c r="C286" s="264" t="s">
        <v>187</v>
      </c>
      <c r="D286" s="264" t="s">
        <v>187</v>
      </c>
      <c r="E286" s="264" t="s">
        <v>187</v>
      </c>
      <c r="F286" s="264" t="s">
        <v>187</v>
      </c>
      <c r="G286" s="264" t="s">
        <v>187</v>
      </c>
      <c r="H286" s="264" t="s">
        <v>187</v>
      </c>
      <c r="I286" s="264" t="s">
        <v>187</v>
      </c>
      <c r="J286" s="264" t="s">
        <v>187</v>
      </c>
      <c r="K286" s="264" t="s">
        <v>187</v>
      </c>
      <c r="L286" s="264" t="s">
        <v>187</v>
      </c>
      <c r="M286" s="264" t="s">
        <v>187</v>
      </c>
      <c r="N286" s="264" t="s">
        <v>187</v>
      </c>
      <c r="O286" s="264" t="s">
        <v>187</v>
      </c>
      <c r="P286" s="264" t="s">
        <v>187</v>
      </c>
      <c r="Q286" s="264" t="s">
        <v>187</v>
      </c>
      <c r="R286" s="264" t="s">
        <v>187</v>
      </c>
      <c r="S286" s="97" t="str">
        <f t="array" ref="S286">IF(A286="","", IF( (ROUND(I286,4) &lt; INDEX('Tabela de ingredientes'!$O$1:$V$30, SWITCH(B286, "Gelatos de Leite", 7, "Sorbets", 10, "Gelatos de Leite com Fruta", 13, "Chocolate base água", 16, "Vegano", 19, "Alcoólicos", 22, "Zero", 25, "Gelatos Proteicos", 28, 7), 1)) + (ROUND(I286,4) &gt; INDEX('Tabela de ingredientes'!$O$1:$V$30, SWITCH(B286, "Gelatos de Leite", 8, "Sorbets", 11, "Gelatos de Leite com Fruta", 14, "Chocolate base água", 17, "Vegano", 20, "Alcoólicos", 23, "Zero", 26, "Gelatos Proteicos", 29, 8), 1)) + (ROUND(J286,4) &lt; INDEX('Tabela de ingredientes'!$O$1:$V$30, SWITCH(B286, "Gelatos de Leite", 7, "Sorbets", 10, "Gelatos de Leite com Fruta", 13, "Chocolate base água", 16, "Vegano", 19, "Alcoólicos", 22, "Zero", 25, "Gelatos Proteicos", 28, 7), 2)) + (ROUND(J286,4) &gt; INDEX('Tabela de ingredientes'!$O$1:$V$30, SWITCH(B286, "Gelatos de Leite", 8, "Sorbets", 11, "Gelatos de Leite com Fruta", 14, "Chocolate base água", 17, "Vegano", 20, "Alcoólicos", 23, "Zero", 26, "Gelatos Proteicos", 29, 8), 2)) + (ROUND(K286,4) &lt; INDEX('Tabela de ingredientes'!$O$1:$V$30, SWITCH(B286, "Gelatos de Leite", 7, "Sorbets", 10, "Gelatos de Leite com Fruta", 13, "Chocolate base água", 16, "Vegano", 19, "Alcoólicos", 22, "Zero", 25, "Gelatos Proteicos", 28, 7), 3)) + (ROUND(K286,4) &gt; INDEX('Tabela de ingredientes'!$O$1:$V$30, SWITCH(B286, "Gelatos de Leite", 8, "Sorbets", 11, "Gelatos de Leite com Fruta", 14, "Chocolate base água", 17, "Vegano", 20, "Alcoólicos", 23, "Zero", 26, "Gelatos Proteicos", 29, 8), 3)) + (ROUND(L286,4) &lt; INDEX('Tabela de ingredientes'!$O$1:$V$30, SWITCH(B286, "Gelatos de Leite", 7, "Sorbets", 10, "Gelatos de Leite com Fruta", 13, "Chocolate base água", 16, "Vegano", 19, "Alcoólicos", 22, "Zero", 25, "Gelatos Proteicos", 28, 7), 4)) + (ROUND(L286,4) &gt; INDEX('Tabela de ingredientes'!$O$1:$V$30, SWITCH(B286, "Gelatos de Leite", 8, "Sorbets", 11, "Gelatos de Leite com Fruta", 14, "Chocolate base água", 17, "Vegano", 20, "Alcoólicos", 23, "Zero", 26, "Gelatos Proteicos", 29, 8), 4)) + (ROUND(M286,4) &lt; INDEX('Tabela de ingredientes'!$O$1:$V$30, SWITCH(B286, "Gelatos de Leite", 7, "Sorbets", 10, "Gelatos de Leite com Fruta", 13, "Chocolate base água", 16, "Vegano", 19, "Alcoólicos", 22, "Zero", 25, "Gelatos Proteicos", 28, 7), 5)) + (ROUND(M286,4) &gt; INDEX('Tabela de ingredientes'!$O$1:$V$30, SWITCH(B286, "Gelatos de Leite", 8, "Sorbets", 11, "Gelatos de Leite com Fruta", 14, "Chocolate base água", 17, "Vegano", 20, "Alcoólicos", 23, "Zero", 26, "Gelatos Proteicos", 29, 8), 5)) + (ROUND(N286,4) &lt; INDEX('Tabela de ingredientes'!$O$1:$V$30, SWITCH(B286, "Gelatos de Leite", 7, "Sorbets", 10, "Gelatos de Leite com Fruta", 13, "Chocolate base água", 16, "Vegano", 19, "Alcoólicos", 22, "Zero", 25, "Gelatos Proteicos", 28, 7), 6)) + (ROUND(N286,4) &gt; INDEX('Tabela de ingredientes'!$O$1:$V$30, SWITCH(B286, "Gelatos de Leite", 8, "Sorbets", 11, "Gelatos de Leite com Fruta", 14, "Chocolate base água", 17, "Vegano", 20, "Alcoólicos", 23, "Zero", 26, "Gelatos Proteicos", 29, 8), 6)) + (ROUND(O286,4) &lt; INDEX('Tabela de ingredientes'!$O$1:$V$30, SWITCH(B286, "Gelatos de Leite", 7, "Sorbets", 10, "Gelatos de Leite com Fruta", 13, "Chocolate base água", 16, "Vegano", 19, "Alcoólicos", 22, "Zero", 25, "Gelatos Proteicos", 28, 7), 7)) + (ROUND(O286,4) &gt; INDEX('Tabela de ingredientes'!$O$1:$V$30, SWITCH(B286, "Gelatos de Leite", 8, "Sorbets", 11, "Gelatos de Leite com Fruta", 14, "Chocolate base água", 17, "Vegano", 20, "Alcoólicos", 23, "Zero", 26, "Gelatos Proteicos", 29, 8), 7)) + (ROUND(P286,4) &lt; INDEX('Tabela de ingredientes'!$O$1:$V$30, SWITCH(B286, "Gelatos de Leite", 7, "Sorbets", 10, "Gelatos de Leite com Fruta", 13, "Chocolate base água", 16, "Vegano", 19, "Alcoólicos", 22, "Zero", 25, "Gelatos Proteicos", 28, 7), 8)) + (ROUND(P286,4) &gt; INDEX('Tabela de ingredientes'!$O$1:$V$30, SWITCH(B286, "Gelatos de Leite", 8, "Sorbets", 11, "Gelatos de Leite com Fruta", 14, "Chocolate base água", 17, "Vegano", 20, "Alcoólicos", 23, "Zero", 26, "Gelatos Proteicos", 29, 8), 8)) + IF(B286="Gelatos Proteicos", (ROUND(Q286,4)&lt;'Tabela de ingredientes'!$W$28)+(ROUND(Q286,4)&gt;'Tabela de ingredientes'!$W$29), 0) = 0, "Ok", "Revisar"))</f>
        <v/>
      </c>
    </row>
    <row r="287">
      <c r="A287" s="264"/>
      <c r="B287" s="264" t="s">
        <v>187</v>
      </c>
      <c r="C287" s="264" t="s">
        <v>187</v>
      </c>
      <c r="D287" s="264" t="s">
        <v>187</v>
      </c>
      <c r="E287" s="264" t="s">
        <v>187</v>
      </c>
      <c r="F287" s="264" t="s">
        <v>187</v>
      </c>
      <c r="G287" s="264" t="s">
        <v>187</v>
      </c>
      <c r="H287" s="264" t="s">
        <v>187</v>
      </c>
      <c r="I287" s="264" t="s">
        <v>187</v>
      </c>
      <c r="J287" s="264" t="s">
        <v>187</v>
      </c>
      <c r="K287" s="264" t="s">
        <v>187</v>
      </c>
      <c r="L287" s="264" t="s">
        <v>187</v>
      </c>
      <c r="M287" s="264" t="s">
        <v>187</v>
      </c>
      <c r="N287" s="264" t="s">
        <v>187</v>
      </c>
      <c r="O287" s="264" t="s">
        <v>187</v>
      </c>
      <c r="P287" s="264" t="s">
        <v>187</v>
      </c>
      <c r="Q287" s="264" t="s">
        <v>187</v>
      </c>
      <c r="R287" s="264" t="s">
        <v>187</v>
      </c>
      <c r="S287" s="97" t="str">
        <f t="array" ref="S287">IF(A287="","", IF( (ROUND(I287,4) &lt; INDEX('Tabela de ingredientes'!$O$1:$V$30, SWITCH(B287, "Gelatos de Leite", 7, "Sorbets", 10, "Gelatos de Leite com Fruta", 13, "Chocolate base água", 16, "Vegano", 19, "Alcoólicos", 22, "Zero", 25, "Gelatos Proteicos", 28, 7), 1)) + (ROUND(I287,4) &gt; INDEX('Tabela de ingredientes'!$O$1:$V$30, SWITCH(B287, "Gelatos de Leite", 8, "Sorbets", 11, "Gelatos de Leite com Fruta", 14, "Chocolate base água", 17, "Vegano", 20, "Alcoólicos", 23, "Zero", 26, "Gelatos Proteicos", 29, 8), 1)) + (ROUND(J287,4) &lt; INDEX('Tabela de ingredientes'!$O$1:$V$30, SWITCH(B287, "Gelatos de Leite", 7, "Sorbets", 10, "Gelatos de Leite com Fruta", 13, "Chocolate base água", 16, "Vegano", 19, "Alcoólicos", 22, "Zero", 25, "Gelatos Proteicos", 28, 7), 2)) + (ROUND(J287,4) &gt; INDEX('Tabela de ingredientes'!$O$1:$V$30, SWITCH(B287, "Gelatos de Leite", 8, "Sorbets", 11, "Gelatos de Leite com Fruta", 14, "Chocolate base água", 17, "Vegano", 20, "Alcoólicos", 23, "Zero", 26, "Gelatos Proteicos", 29, 8), 2)) + (ROUND(K287,4) &lt; INDEX('Tabela de ingredientes'!$O$1:$V$30, SWITCH(B287, "Gelatos de Leite", 7, "Sorbets", 10, "Gelatos de Leite com Fruta", 13, "Chocolate base água", 16, "Vegano", 19, "Alcoólicos", 22, "Zero", 25, "Gelatos Proteicos", 28, 7), 3)) + (ROUND(K287,4) &gt; INDEX('Tabela de ingredientes'!$O$1:$V$30, SWITCH(B287, "Gelatos de Leite", 8, "Sorbets", 11, "Gelatos de Leite com Fruta", 14, "Chocolate base água", 17, "Vegano", 20, "Alcoólicos", 23, "Zero", 26, "Gelatos Proteicos", 29, 8), 3)) + (ROUND(L287,4) &lt; INDEX('Tabela de ingredientes'!$O$1:$V$30, SWITCH(B287, "Gelatos de Leite", 7, "Sorbets", 10, "Gelatos de Leite com Fruta", 13, "Chocolate base água", 16, "Vegano", 19, "Alcoólicos", 22, "Zero", 25, "Gelatos Proteicos", 28, 7), 4)) + (ROUND(L287,4) &gt; INDEX('Tabela de ingredientes'!$O$1:$V$30, SWITCH(B287, "Gelatos de Leite", 8, "Sorbets", 11, "Gelatos de Leite com Fruta", 14, "Chocolate base água", 17, "Vegano", 20, "Alcoólicos", 23, "Zero", 26, "Gelatos Proteicos", 29, 8), 4)) + (ROUND(M287,4) &lt; INDEX('Tabela de ingredientes'!$O$1:$V$30, SWITCH(B287, "Gelatos de Leite", 7, "Sorbets", 10, "Gelatos de Leite com Fruta", 13, "Chocolate base água", 16, "Vegano", 19, "Alcoólicos", 22, "Zero", 25, "Gelatos Proteicos", 28, 7), 5)) + (ROUND(M287,4) &gt; INDEX('Tabela de ingredientes'!$O$1:$V$30, SWITCH(B287, "Gelatos de Leite", 8, "Sorbets", 11, "Gelatos de Leite com Fruta", 14, "Chocolate base água", 17, "Vegano", 20, "Alcoólicos", 23, "Zero", 26, "Gelatos Proteicos", 29, 8), 5)) + (ROUND(N287,4) &lt; INDEX('Tabela de ingredientes'!$O$1:$V$30, SWITCH(B287, "Gelatos de Leite", 7, "Sorbets", 10, "Gelatos de Leite com Fruta", 13, "Chocolate base água", 16, "Vegano", 19, "Alcoólicos", 22, "Zero", 25, "Gelatos Proteicos", 28, 7), 6)) + (ROUND(N287,4) &gt; INDEX('Tabela de ingredientes'!$O$1:$V$30, SWITCH(B287, "Gelatos de Leite", 8, "Sorbets", 11, "Gelatos de Leite com Fruta", 14, "Chocolate base água", 17, "Vegano", 20, "Alcoólicos", 23, "Zero", 26, "Gelatos Proteicos", 29, 8), 6)) + (ROUND(O287,4) &lt; INDEX('Tabela de ingredientes'!$O$1:$V$30, SWITCH(B287, "Gelatos de Leite", 7, "Sorbets", 10, "Gelatos de Leite com Fruta", 13, "Chocolate base água", 16, "Vegano", 19, "Alcoólicos", 22, "Zero", 25, "Gelatos Proteicos", 28, 7), 7)) + (ROUND(O287,4) &gt; INDEX('Tabela de ingredientes'!$O$1:$V$30, SWITCH(B287, "Gelatos de Leite", 8, "Sorbets", 11, "Gelatos de Leite com Fruta", 14, "Chocolate base água", 17, "Vegano", 20, "Alcoólicos", 23, "Zero", 26, "Gelatos Proteicos", 29, 8), 7)) + (ROUND(P287,4) &lt; INDEX('Tabela de ingredientes'!$O$1:$V$30, SWITCH(B287, "Gelatos de Leite", 7, "Sorbets", 10, "Gelatos de Leite com Fruta", 13, "Chocolate base água", 16, "Vegano", 19, "Alcoólicos", 22, "Zero", 25, "Gelatos Proteicos", 28, 7), 8)) + (ROUND(P287,4) &gt; INDEX('Tabela de ingredientes'!$O$1:$V$30, SWITCH(B287, "Gelatos de Leite", 8, "Sorbets", 11, "Gelatos de Leite com Fruta", 14, "Chocolate base água", 17, "Vegano", 20, "Alcoólicos", 23, "Zero", 26, "Gelatos Proteicos", 29, 8), 8)) + IF(B287="Gelatos Proteicos", (ROUND(Q287,4)&lt;'Tabela de ingredientes'!$W$28)+(ROUND(Q287,4)&gt;'Tabela de ingredientes'!$W$29), 0) = 0, "Ok", "Revisar"))</f>
        <v/>
      </c>
    </row>
    <row r="288">
      <c r="A288" s="264"/>
      <c r="B288" s="264" t="s">
        <v>187</v>
      </c>
      <c r="C288" s="264" t="s">
        <v>187</v>
      </c>
      <c r="D288" s="264" t="s">
        <v>187</v>
      </c>
      <c r="E288" s="264" t="s">
        <v>187</v>
      </c>
      <c r="F288" s="264" t="s">
        <v>187</v>
      </c>
      <c r="G288" s="264" t="s">
        <v>187</v>
      </c>
      <c r="H288" s="264" t="s">
        <v>187</v>
      </c>
      <c r="I288" s="264" t="s">
        <v>187</v>
      </c>
      <c r="J288" s="264" t="s">
        <v>187</v>
      </c>
      <c r="K288" s="264" t="s">
        <v>187</v>
      </c>
      <c r="L288" s="264" t="s">
        <v>187</v>
      </c>
      <c r="M288" s="264" t="s">
        <v>187</v>
      </c>
      <c r="N288" s="264" t="s">
        <v>187</v>
      </c>
      <c r="O288" s="264" t="s">
        <v>187</v>
      </c>
      <c r="P288" s="264" t="s">
        <v>187</v>
      </c>
      <c r="Q288" s="264" t="s">
        <v>187</v>
      </c>
      <c r="R288" s="264" t="s">
        <v>187</v>
      </c>
      <c r="S288" s="97" t="str">
        <f t="array" ref="S288">IF(A288="","", IF( (ROUND(I288,4) &lt; INDEX('Tabela de ingredientes'!$O$1:$V$30, SWITCH(B288, "Gelatos de Leite", 7, "Sorbets", 10, "Gelatos de Leite com Fruta", 13, "Chocolate base água", 16, "Vegano", 19, "Alcoólicos", 22, "Zero", 25, "Gelatos Proteicos", 28, 7), 1)) + (ROUND(I288,4) &gt; INDEX('Tabela de ingredientes'!$O$1:$V$30, SWITCH(B288, "Gelatos de Leite", 8, "Sorbets", 11, "Gelatos de Leite com Fruta", 14, "Chocolate base água", 17, "Vegano", 20, "Alcoólicos", 23, "Zero", 26, "Gelatos Proteicos", 29, 8), 1)) + (ROUND(J288,4) &lt; INDEX('Tabela de ingredientes'!$O$1:$V$30, SWITCH(B288, "Gelatos de Leite", 7, "Sorbets", 10, "Gelatos de Leite com Fruta", 13, "Chocolate base água", 16, "Vegano", 19, "Alcoólicos", 22, "Zero", 25, "Gelatos Proteicos", 28, 7), 2)) + (ROUND(J288,4) &gt; INDEX('Tabela de ingredientes'!$O$1:$V$30, SWITCH(B288, "Gelatos de Leite", 8, "Sorbets", 11, "Gelatos de Leite com Fruta", 14, "Chocolate base água", 17, "Vegano", 20, "Alcoólicos", 23, "Zero", 26, "Gelatos Proteicos", 29, 8), 2)) + (ROUND(K288,4) &lt; INDEX('Tabela de ingredientes'!$O$1:$V$30, SWITCH(B288, "Gelatos de Leite", 7, "Sorbets", 10, "Gelatos de Leite com Fruta", 13, "Chocolate base água", 16, "Vegano", 19, "Alcoólicos", 22, "Zero", 25, "Gelatos Proteicos", 28, 7), 3)) + (ROUND(K288,4) &gt; INDEX('Tabela de ingredientes'!$O$1:$V$30, SWITCH(B288, "Gelatos de Leite", 8, "Sorbets", 11, "Gelatos de Leite com Fruta", 14, "Chocolate base água", 17, "Vegano", 20, "Alcoólicos", 23, "Zero", 26, "Gelatos Proteicos", 29, 8), 3)) + (ROUND(L288,4) &lt; INDEX('Tabela de ingredientes'!$O$1:$V$30, SWITCH(B288, "Gelatos de Leite", 7, "Sorbets", 10, "Gelatos de Leite com Fruta", 13, "Chocolate base água", 16, "Vegano", 19, "Alcoólicos", 22, "Zero", 25, "Gelatos Proteicos", 28, 7), 4)) + (ROUND(L288,4) &gt; INDEX('Tabela de ingredientes'!$O$1:$V$30, SWITCH(B288, "Gelatos de Leite", 8, "Sorbets", 11, "Gelatos de Leite com Fruta", 14, "Chocolate base água", 17, "Vegano", 20, "Alcoólicos", 23, "Zero", 26, "Gelatos Proteicos", 29, 8), 4)) + (ROUND(M288,4) &lt; INDEX('Tabela de ingredientes'!$O$1:$V$30, SWITCH(B288, "Gelatos de Leite", 7, "Sorbets", 10, "Gelatos de Leite com Fruta", 13, "Chocolate base água", 16, "Vegano", 19, "Alcoólicos", 22, "Zero", 25, "Gelatos Proteicos", 28, 7), 5)) + (ROUND(M288,4) &gt; INDEX('Tabela de ingredientes'!$O$1:$V$30, SWITCH(B288, "Gelatos de Leite", 8, "Sorbets", 11, "Gelatos de Leite com Fruta", 14, "Chocolate base água", 17, "Vegano", 20, "Alcoólicos", 23, "Zero", 26, "Gelatos Proteicos", 29, 8), 5)) + (ROUND(N288,4) &lt; INDEX('Tabela de ingredientes'!$O$1:$V$30, SWITCH(B288, "Gelatos de Leite", 7, "Sorbets", 10, "Gelatos de Leite com Fruta", 13, "Chocolate base água", 16, "Vegano", 19, "Alcoólicos", 22, "Zero", 25, "Gelatos Proteicos", 28, 7), 6)) + (ROUND(N288,4) &gt; INDEX('Tabela de ingredientes'!$O$1:$V$30, SWITCH(B288, "Gelatos de Leite", 8, "Sorbets", 11, "Gelatos de Leite com Fruta", 14, "Chocolate base água", 17, "Vegano", 20, "Alcoólicos", 23, "Zero", 26, "Gelatos Proteicos", 29, 8), 6)) + (ROUND(O288,4) &lt; INDEX('Tabela de ingredientes'!$O$1:$V$30, SWITCH(B288, "Gelatos de Leite", 7, "Sorbets", 10, "Gelatos de Leite com Fruta", 13, "Chocolate base água", 16, "Vegano", 19, "Alcoólicos", 22, "Zero", 25, "Gelatos Proteicos", 28, 7), 7)) + (ROUND(O288,4) &gt; INDEX('Tabela de ingredientes'!$O$1:$V$30, SWITCH(B288, "Gelatos de Leite", 8, "Sorbets", 11, "Gelatos de Leite com Fruta", 14, "Chocolate base água", 17, "Vegano", 20, "Alcoólicos", 23, "Zero", 26, "Gelatos Proteicos", 29, 8), 7)) + (ROUND(P288,4) &lt; INDEX('Tabela de ingredientes'!$O$1:$V$30, SWITCH(B288, "Gelatos de Leite", 7, "Sorbets", 10, "Gelatos de Leite com Fruta", 13, "Chocolate base água", 16, "Vegano", 19, "Alcoólicos", 22, "Zero", 25, "Gelatos Proteicos", 28, 7), 8)) + (ROUND(P288,4) &gt; INDEX('Tabela de ingredientes'!$O$1:$V$30, SWITCH(B288, "Gelatos de Leite", 8, "Sorbets", 11, "Gelatos de Leite com Fruta", 14, "Chocolate base água", 17, "Vegano", 20, "Alcoólicos", 23, "Zero", 26, "Gelatos Proteicos", 29, 8), 8)) + IF(B288="Gelatos Proteicos", (ROUND(Q288,4)&lt;'Tabela de ingredientes'!$W$28)+(ROUND(Q288,4)&gt;'Tabela de ingredientes'!$W$29), 0) = 0, "Ok", "Revisar"))</f>
        <v/>
      </c>
    </row>
    <row r="289">
      <c r="A289" s="264"/>
      <c r="B289" s="264" t="s">
        <v>187</v>
      </c>
      <c r="C289" s="264" t="s">
        <v>187</v>
      </c>
      <c r="D289" s="264" t="s">
        <v>187</v>
      </c>
      <c r="E289" s="264" t="s">
        <v>187</v>
      </c>
      <c r="F289" s="264" t="s">
        <v>187</v>
      </c>
      <c r="G289" s="264" t="s">
        <v>187</v>
      </c>
      <c r="H289" s="264" t="s">
        <v>187</v>
      </c>
      <c r="I289" s="264" t="s">
        <v>187</v>
      </c>
      <c r="J289" s="264" t="s">
        <v>187</v>
      </c>
      <c r="K289" s="264" t="s">
        <v>187</v>
      </c>
      <c r="L289" s="264" t="s">
        <v>187</v>
      </c>
      <c r="M289" s="264" t="s">
        <v>187</v>
      </c>
      <c r="N289" s="264" t="s">
        <v>187</v>
      </c>
      <c r="O289" s="264" t="s">
        <v>187</v>
      </c>
      <c r="P289" s="264" t="s">
        <v>187</v>
      </c>
      <c r="Q289" s="264" t="s">
        <v>187</v>
      </c>
      <c r="R289" s="264" t="s">
        <v>187</v>
      </c>
      <c r="S289" s="97" t="str">
        <f t="array" ref="S289">IF(A289="","", IF( (ROUND(I289,4) &lt; INDEX('Tabela de ingredientes'!$O$1:$V$30, SWITCH(B289, "Gelatos de Leite", 7, "Sorbets", 10, "Gelatos de Leite com Fruta", 13, "Chocolate base água", 16, "Vegano", 19, "Alcoólicos", 22, "Zero", 25, "Gelatos Proteicos", 28, 7), 1)) + (ROUND(I289,4) &gt; INDEX('Tabela de ingredientes'!$O$1:$V$30, SWITCH(B289, "Gelatos de Leite", 8, "Sorbets", 11, "Gelatos de Leite com Fruta", 14, "Chocolate base água", 17, "Vegano", 20, "Alcoólicos", 23, "Zero", 26, "Gelatos Proteicos", 29, 8), 1)) + (ROUND(J289,4) &lt; INDEX('Tabela de ingredientes'!$O$1:$V$30, SWITCH(B289, "Gelatos de Leite", 7, "Sorbets", 10, "Gelatos de Leite com Fruta", 13, "Chocolate base água", 16, "Vegano", 19, "Alcoólicos", 22, "Zero", 25, "Gelatos Proteicos", 28, 7), 2)) + (ROUND(J289,4) &gt; INDEX('Tabela de ingredientes'!$O$1:$V$30, SWITCH(B289, "Gelatos de Leite", 8, "Sorbets", 11, "Gelatos de Leite com Fruta", 14, "Chocolate base água", 17, "Vegano", 20, "Alcoólicos", 23, "Zero", 26, "Gelatos Proteicos", 29, 8), 2)) + (ROUND(K289,4) &lt; INDEX('Tabela de ingredientes'!$O$1:$V$30, SWITCH(B289, "Gelatos de Leite", 7, "Sorbets", 10, "Gelatos de Leite com Fruta", 13, "Chocolate base água", 16, "Vegano", 19, "Alcoólicos", 22, "Zero", 25, "Gelatos Proteicos", 28, 7), 3)) + (ROUND(K289,4) &gt; INDEX('Tabela de ingredientes'!$O$1:$V$30, SWITCH(B289, "Gelatos de Leite", 8, "Sorbets", 11, "Gelatos de Leite com Fruta", 14, "Chocolate base água", 17, "Vegano", 20, "Alcoólicos", 23, "Zero", 26, "Gelatos Proteicos", 29, 8), 3)) + (ROUND(L289,4) &lt; INDEX('Tabela de ingredientes'!$O$1:$V$30, SWITCH(B289, "Gelatos de Leite", 7, "Sorbets", 10, "Gelatos de Leite com Fruta", 13, "Chocolate base água", 16, "Vegano", 19, "Alcoólicos", 22, "Zero", 25, "Gelatos Proteicos", 28, 7), 4)) + (ROUND(L289,4) &gt; INDEX('Tabela de ingredientes'!$O$1:$V$30, SWITCH(B289, "Gelatos de Leite", 8, "Sorbets", 11, "Gelatos de Leite com Fruta", 14, "Chocolate base água", 17, "Vegano", 20, "Alcoólicos", 23, "Zero", 26, "Gelatos Proteicos", 29, 8), 4)) + (ROUND(M289,4) &lt; INDEX('Tabela de ingredientes'!$O$1:$V$30, SWITCH(B289, "Gelatos de Leite", 7, "Sorbets", 10, "Gelatos de Leite com Fruta", 13, "Chocolate base água", 16, "Vegano", 19, "Alcoólicos", 22, "Zero", 25, "Gelatos Proteicos", 28, 7), 5)) + (ROUND(M289,4) &gt; INDEX('Tabela de ingredientes'!$O$1:$V$30, SWITCH(B289, "Gelatos de Leite", 8, "Sorbets", 11, "Gelatos de Leite com Fruta", 14, "Chocolate base água", 17, "Vegano", 20, "Alcoólicos", 23, "Zero", 26, "Gelatos Proteicos", 29, 8), 5)) + (ROUND(N289,4) &lt; INDEX('Tabela de ingredientes'!$O$1:$V$30, SWITCH(B289, "Gelatos de Leite", 7, "Sorbets", 10, "Gelatos de Leite com Fruta", 13, "Chocolate base água", 16, "Vegano", 19, "Alcoólicos", 22, "Zero", 25, "Gelatos Proteicos", 28, 7), 6)) + (ROUND(N289,4) &gt; INDEX('Tabela de ingredientes'!$O$1:$V$30, SWITCH(B289, "Gelatos de Leite", 8, "Sorbets", 11, "Gelatos de Leite com Fruta", 14, "Chocolate base água", 17, "Vegano", 20, "Alcoólicos", 23, "Zero", 26, "Gelatos Proteicos", 29, 8), 6)) + (ROUND(O289,4) &lt; INDEX('Tabela de ingredientes'!$O$1:$V$30, SWITCH(B289, "Gelatos de Leite", 7, "Sorbets", 10, "Gelatos de Leite com Fruta", 13, "Chocolate base água", 16, "Vegano", 19, "Alcoólicos", 22, "Zero", 25, "Gelatos Proteicos", 28, 7), 7)) + (ROUND(O289,4) &gt; INDEX('Tabela de ingredientes'!$O$1:$V$30, SWITCH(B289, "Gelatos de Leite", 8, "Sorbets", 11, "Gelatos de Leite com Fruta", 14, "Chocolate base água", 17, "Vegano", 20, "Alcoólicos", 23, "Zero", 26, "Gelatos Proteicos", 29, 8), 7)) + (ROUND(P289,4) &lt; INDEX('Tabela de ingredientes'!$O$1:$V$30, SWITCH(B289, "Gelatos de Leite", 7, "Sorbets", 10, "Gelatos de Leite com Fruta", 13, "Chocolate base água", 16, "Vegano", 19, "Alcoólicos", 22, "Zero", 25, "Gelatos Proteicos", 28, 7), 8)) + (ROUND(P289,4) &gt; INDEX('Tabela de ingredientes'!$O$1:$V$30, SWITCH(B289, "Gelatos de Leite", 8, "Sorbets", 11, "Gelatos de Leite com Fruta", 14, "Chocolate base água", 17, "Vegano", 20, "Alcoólicos", 23, "Zero", 26, "Gelatos Proteicos", 29, 8), 8)) + IF(B289="Gelatos Proteicos", (ROUND(Q289,4)&lt;'Tabela de ingredientes'!$W$28)+(ROUND(Q289,4)&gt;'Tabela de ingredientes'!$W$29), 0) = 0, "Ok", "Revisar"))</f>
        <v/>
      </c>
    </row>
    <row r="290">
      <c r="A290" s="264"/>
      <c r="B290" s="264" t="s">
        <v>187</v>
      </c>
      <c r="C290" s="264" t="s">
        <v>187</v>
      </c>
      <c r="D290" s="264" t="s">
        <v>187</v>
      </c>
      <c r="E290" s="264" t="s">
        <v>187</v>
      </c>
      <c r="F290" s="264" t="s">
        <v>187</v>
      </c>
      <c r="G290" s="264" t="s">
        <v>187</v>
      </c>
      <c r="H290" s="264" t="s">
        <v>187</v>
      </c>
      <c r="I290" s="264" t="s">
        <v>187</v>
      </c>
      <c r="J290" s="264" t="s">
        <v>187</v>
      </c>
      <c r="K290" s="264" t="s">
        <v>187</v>
      </c>
      <c r="L290" s="264" t="s">
        <v>187</v>
      </c>
      <c r="M290" s="264" t="s">
        <v>187</v>
      </c>
      <c r="N290" s="264" t="s">
        <v>187</v>
      </c>
      <c r="O290" s="264" t="s">
        <v>187</v>
      </c>
      <c r="P290" s="264" t="s">
        <v>187</v>
      </c>
      <c r="Q290" s="264" t="s">
        <v>187</v>
      </c>
      <c r="R290" s="264" t="s">
        <v>187</v>
      </c>
      <c r="S290" s="97" t="str">
        <f t="array" ref="S290">IF(A290="","", IF( (ROUND(I290,4) &lt; INDEX('Tabela de ingredientes'!$O$1:$V$30, SWITCH(B290, "Gelatos de Leite", 7, "Sorbets", 10, "Gelatos de Leite com Fruta", 13, "Chocolate base água", 16, "Vegano", 19, "Alcoólicos", 22, "Zero", 25, "Gelatos Proteicos", 28, 7), 1)) + (ROUND(I290,4) &gt; INDEX('Tabela de ingredientes'!$O$1:$V$30, SWITCH(B290, "Gelatos de Leite", 8, "Sorbets", 11, "Gelatos de Leite com Fruta", 14, "Chocolate base água", 17, "Vegano", 20, "Alcoólicos", 23, "Zero", 26, "Gelatos Proteicos", 29, 8), 1)) + (ROUND(J290,4) &lt; INDEX('Tabela de ingredientes'!$O$1:$V$30, SWITCH(B290, "Gelatos de Leite", 7, "Sorbets", 10, "Gelatos de Leite com Fruta", 13, "Chocolate base água", 16, "Vegano", 19, "Alcoólicos", 22, "Zero", 25, "Gelatos Proteicos", 28, 7), 2)) + (ROUND(J290,4) &gt; INDEX('Tabela de ingredientes'!$O$1:$V$30, SWITCH(B290, "Gelatos de Leite", 8, "Sorbets", 11, "Gelatos de Leite com Fruta", 14, "Chocolate base água", 17, "Vegano", 20, "Alcoólicos", 23, "Zero", 26, "Gelatos Proteicos", 29, 8), 2)) + (ROUND(K290,4) &lt; INDEX('Tabela de ingredientes'!$O$1:$V$30, SWITCH(B290, "Gelatos de Leite", 7, "Sorbets", 10, "Gelatos de Leite com Fruta", 13, "Chocolate base água", 16, "Vegano", 19, "Alcoólicos", 22, "Zero", 25, "Gelatos Proteicos", 28, 7), 3)) + (ROUND(K290,4) &gt; INDEX('Tabela de ingredientes'!$O$1:$V$30, SWITCH(B290, "Gelatos de Leite", 8, "Sorbets", 11, "Gelatos de Leite com Fruta", 14, "Chocolate base água", 17, "Vegano", 20, "Alcoólicos", 23, "Zero", 26, "Gelatos Proteicos", 29, 8), 3)) + (ROUND(L290,4) &lt; INDEX('Tabela de ingredientes'!$O$1:$V$30, SWITCH(B290, "Gelatos de Leite", 7, "Sorbets", 10, "Gelatos de Leite com Fruta", 13, "Chocolate base água", 16, "Vegano", 19, "Alcoólicos", 22, "Zero", 25, "Gelatos Proteicos", 28, 7), 4)) + (ROUND(L290,4) &gt; INDEX('Tabela de ingredientes'!$O$1:$V$30, SWITCH(B290, "Gelatos de Leite", 8, "Sorbets", 11, "Gelatos de Leite com Fruta", 14, "Chocolate base água", 17, "Vegano", 20, "Alcoólicos", 23, "Zero", 26, "Gelatos Proteicos", 29, 8), 4)) + (ROUND(M290,4) &lt; INDEX('Tabela de ingredientes'!$O$1:$V$30, SWITCH(B290, "Gelatos de Leite", 7, "Sorbets", 10, "Gelatos de Leite com Fruta", 13, "Chocolate base água", 16, "Vegano", 19, "Alcoólicos", 22, "Zero", 25, "Gelatos Proteicos", 28, 7), 5)) + (ROUND(M290,4) &gt; INDEX('Tabela de ingredientes'!$O$1:$V$30, SWITCH(B290, "Gelatos de Leite", 8, "Sorbets", 11, "Gelatos de Leite com Fruta", 14, "Chocolate base água", 17, "Vegano", 20, "Alcoólicos", 23, "Zero", 26, "Gelatos Proteicos", 29, 8), 5)) + (ROUND(N290,4) &lt; INDEX('Tabela de ingredientes'!$O$1:$V$30, SWITCH(B290, "Gelatos de Leite", 7, "Sorbets", 10, "Gelatos de Leite com Fruta", 13, "Chocolate base água", 16, "Vegano", 19, "Alcoólicos", 22, "Zero", 25, "Gelatos Proteicos", 28, 7), 6)) + (ROUND(N290,4) &gt; INDEX('Tabela de ingredientes'!$O$1:$V$30, SWITCH(B290, "Gelatos de Leite", 8, "Sorbets", 11, "Gelatos de Leite com Fruta", 14, "Chocolate base água", 17, "Vegano", 20, "Alcoólicos", 23, "Zero", 26, "Gelatos Proteicos", 29, 8), 6)) + (ROUND(O290,4) &lt; INDEX('Tabela de ingredientes'!$O$1:$V$30, SWITCH(B290, "Gelatos de Leite", 7, "Sorbets", 10, "Gelatos de Leite com Fruta", 13, "Chocolate base água", 16, "Vegano", 19, "Alcoólicos", 22, "Zero", 25, "Gelatos Proteicos", 28, 7), 7)) + (ROUND(O290,4) &gt; INDEX('Tabela de ingredientes'!$O$1:$V$30, SWITCH(B290, "Gelatos de Leite", 8, "Sorbets", 11, "Gelatos de Leite com Fruta", 14, "Chocolate base água", 17, "Vegano", 20, "Alcoólicos", 23, "Zero", 26, "Gelatos Proteicos", 29, 8), 7)) + (ROUND(P290,4) &lt; INDEX('Tabela de ingredientes'!$O$1:$V$30, SWITCH(B290, "Gelatos de Leite", 7, "Sorbets", 10, "Gelatos de Leite com Fruta", 13, "Chocolate base água", 16, "Vegano", 19, "Alcoólicos", 22, "Zero", 25, "Gelatos Proteicos", 28, 7), 8)) + (ROUND(P290,4) &gt; INDEX('Tabela de ingredientes'!$O$1:$V$30, SWITCH(B290, "Gelatos de Leite", 8, "Sorbets", 11, "Gelatos de Leite com Fruta", 14, "Chocolate base água", 17, "Vegano", 20, "Alcoólicos", 23, "Zero", 26, "Gelatos Proteicos", 29, 8), 8)) + IF(B290="Gelatos Proteicos", (ROUND(Q290,4)&lt;'Tabela de ingredientes'!$W$28)+(ROUND(Q290,4)&gt;'Tabela de ingredientes'!$W$29), 0) = 0, "Ok", "Revisar"))</f>
        <v/>
      </c>
    </row>
    <row r="291">
      <c r="A291" s="264"/>
      <c r="B291" s="264" t="s">
        <v>187</v>
      </c>
      <c r="C291" s="264" t="s">
        <v>187</v>
      </c>
      <c r="D291" s="264" t="s">
        <v>187</v>
      </c>
      <c r="E291" s="264" t="s">
        <v>187</v>
      </c>
      <c r="F291" s="264" t="s">
        <v>187</v>
      </c>
      <c r="G291" s="264" t="s">
        <v>187</v>
      </c>
      <c r="H291" s="264" t="s">
        <v>187</v>
      </c>
      <c r="I291" s="264" t="s">
        <v>187</v>
      </c>
      <c r="J291" s="264" t="s">
        <v>187</v>
      </c>
      <c r="K291" s="264" t="s">
        <v>187</v>
      </c>
      <c r="L291" s="264" t="s">
        <v>187</v>
      </c>
      <c r="M291" s="264" t="s">
        <v>187</v>
      </c>
      <c r="N291" s="264" t="s">
        <v>187</v>
      </c>
      <c r="O291" s="264" t="s">
        <v>187</v>
      </c>
      <c r="P291" s="264" t="s">
        <v>187</v>
      </c>
      <c r="Q291" s="264" t="s">
        <v>187</v>
      </c>
      <c r="R291" s="264" t="s">
        <v>187</v>
      </c>
      <c r="S291" s="97" t="str">
        <f t="array" ref="S291">IF(A291="","", IF( (ROUND(I291,4) &lt; INDEX('Tabela de ingredientes'!$O$1:$V$30, SWITCH(B291, "Gelatos de Leite", 7, "Sorbets", 10, "Gelatos de Leite com Fruta", 13, "Chocolate base água", 16, "Vegano", 19, "Alcoólicos", 22, "Zero", 25, "Gelatos Proteicos", 28, 7), 1)) + (ROUND(I291,4) &gt; INDEX('Tabela de ingredientes'!$O$1:$V$30, SWITCH(B291, "Gelatos de Leite", 8, "Sorbets", 11, "Gelatos de Leite com Fruta", 14, "Chocolate base água", 17, "Vegano", 20, "Alcoólicos", 23, "Zero", 26, "Gelatos Proteicos", 29, 8), 1)) + (ROUND(J291,4) &lt; INDEX('Tabela de ingredientes'!$O$1:$V$30, SWITCH(B291, "Gelatos de Leite", 7, "Sorbets", 10, "Gelatos de Leite com Fruta", 13, "Chocolate base água", 16, "Vegano", 19, "Alcoólicos", 22, "Zero", 25, "Gelatos Proteicos", 28, 7), 2)) + (ROUND(J291,4) &gt; INDEX('Tabela de ingredientes'!$O$1:$V$30, SWITCH(B291, "Gelatos de Leite", 8, "Sorbets", 11, "Gelatos de Leite com Fruta", 14, "Chocolate base água", 17, "Vegano", 20, "Alcoólicos", 23, "Zero", 26, "Gelatos Proteicos", 29, 8), 2)) + (ROUND(K291,4) &lt; INDEX('Tabela de ingredientes'!$O$1:$V$30, SWITCH(B291, "Gelatos de Leite", 7, "Sorbets", 10, "Gelatos de Leite com Fruta", 13, "Chocolate base água", 16, "Vegano", 19, "Alcoólicos", 22, "Zero", 25, "Gelatos Proteicos", 28, 7), 3)) + (ROUND(K291,4) &gt; INDEX('Tabela de ingredientes'!$O$1:$V$30, SWITCH(B291, "Gelatos de Leite", 8, "Sorbets", 11, "Gelatos de Leite com Fruta", 14, "Chocolate base água", 17, "Vegano", 20, "Alcoólicos", 23, "Zero", 26, "Gelatos Proteicos", 29, 8), 3)) + (ROUND(L291,4) &lt; INDEX('Tabela de ingredientes'!$O$1:$V$30, SWITCH(B291, "Gelatos de Leite", 7, "Sorbets", 10, "Gelatos de Leite com Fruta", 13, "Chocolate base água", 16, "Vegano", 19, "Alcoólicos", 22, "Zero", 25, "Gelatos Proteicos", 28, 7), 4)) + (ROUND(L291,4) &gt; INDEX('Tabela de ingredientes'!$O$1:$V$30, SWITCH(B291, "Gelatos de Leite", 8, "Sorbets", 11, "Gelatos de Leite com Fruta", 14, "Chocolate base água", 17, "Vegano", 20, "Alcoólicos", 23, "Zero", 26, "Gelatos Proteicos", 29, 8), 4)) + (ROUND(M291,4) &lt; INDEX('Tabela de ingredientes'!$O$1:$V$30, SWITCH(B291, "Gelatos de Leite", 7, "Sorbets", 10, "Gelatos de Leite com Fruta", 13, "Chocolate base água", 16, "Vegano", 19, "Alcoólicos", 22, "Zero", 25, "Gelatos Proteicos", 28, 7), 5)) + (ROUND(M291,4) &gt; INDEX('Tabela de ingredientes'!$O$1:$V$30, SWITCH(B291, "Gelatos de Leite", 8, "Sorbets", 11, "Gelatos de Leite com Fruta", 14, "Chocolate base água", 17, "Vegano", 20, "Alcoólicos", 23, "Zero", 26, "Gelatos Proteicos", 29, 8), 5)) + (ROUND(N291,4) &lt; INDEX('Tabela de ingredientes'!$O$1:$V$30, SWITCH(B291, "Gelatos de Leite", 7, "Sorbets", 10, "Gelatos de Leite com Fruta", 13, "Chocolate base água", 16, "Vegano", 19, "Alcoólicos", 22, "Zero", 25, "Gelatos Proteicos", 28, 7), 6)) + (ROUND(N291,4) &gt; INDEX('Tabela de ingredientes'!$O$1:$V$30, SWITCH(B291, "Gelatos de Leite", 8, "Sorbets", 11, "Gelatos de Leite com Fruta", 14, "Chocolate base água", 17, "Vegano", 20, "Alcoólicos", 23, "Zero", 26, "Gelatos Proteicos", 29, 8), 6)) + (ROUND(O291,4) &lt; INDEX('Tabela de ingredientes'!$O$1:$V$30, SWITCH(B291, "Gelatos de Leite", 7, "Sorbets", 10, "Gelatos de Leite com Fruta", 13, "Chocolate base água", 16, "Vegano", 19, "Alcoólicos", 22, "Zero", 25, "Gelatos Proteicos", 28, 7), 7)) + (ROUND(O291,4) &gt; INDEX('Tabela de ingredientes'!$O$1:$V$30, SWITCH(B291, "Gelatos de Leite", 8, "Sorbets", 11, "Gelatos de Leite com Fruta", 14, "Chocolate base água", 17, "Vegano", 20, "Alcoólicos", 23, "Zero", 26, "Gelatos Proteicos", 29, 8), 7)) + (ROUND(P291,4) &lt; INDEX('Tabela de ingredientes'!$O$1:$V$30, SWITCH(B291, "Gelatos de Leite", 7, "Sorbets", 10, "Gelatos de Leite com Fruta", 13, "Chocolate base água", 16, "Vegano", 19, "Alcoólicos", 22, "Zero", 25, "Gelatos Proteicos", 28, 7), 8)) + (ROUND(P291,4) &gt; INDEX('Tabela de ingredientes'!$O$1:$V$30, SWITCH(B291, "Gelatos de Leite", 8, "Sorbets", 11, "Gelatos de Leite com Fruta", 14, "Chocolate base água", 17, "Vegano", 20, "Alcoólicos", 23, "Zero", 26, "Gelatos Proteicos", 29, 8), 8)) + IF(B291="Gelatos Proteicos", (ROUND(Q291,4)&lt;'Tabela de ingredientes'!$W$28)+(ROUND(Q291,4)&gt;'Tabela de ingredientes'!$W$29), 0) = 0, "Ok", "Revisar"))</f>
        <v/>
      </c>
    </row>
    <row r="292">
      <c r="A292" s="264"/>
      <c r="B292" s="264" t="s">
        <v>187</v>
      </c>
      <c r="C292" s="264" t="s">
        <v>187</v>
      </c>
      <c r="D292" s="264" t="s">
        <v>187</v>
      </c>
      <c r="E292" s="264" t="s">
        <v>187</v>
      </c>
      <c r="F292" s="264" t="s">
        <v>187</v>
      </c>
      <c r="G292" s="264" t="s">
        <v>187</v>
      </c>
      <c r="H292" s="264" t="s">
        <v>187</v>
      </c>
      <c r="I292" s="264" t="s">
        <v>187</v>
      </c>
      <c r="J292" s="264" t="s">
        <v>187</v>
      </c>
      <c r="K292" s="264" t="s">
        <v>187</v>
      </c>
      <c r="L292" s="264" t="s">
        <v>187</v>
      </c>
      <c r="M292" s="264" t="s">
        <v>187</v>
      </c>
      <c r="N292" s="264" t="s">
        <v>187</v>
      </c>
      <c r="O292" s="264" t="s">
        <v>187</v>
      </c>
      <c r="P292" s="264" t="s">
        <v>187</v>
      </c>
      <c r="Q292" s="264" t="s">
        <v>187</v>
      </c>
      <c r="R292" s="264" t="s">
        <v>187</v>
      </c>
      <c r="S292" s="97" t="str">
        <f t="array" ref="S292">IF(A292="","", IF( (ROUND(I292,4) &lt; INDEX('Tabela de ingredientes'!$O$1:$V$30, SWITCH(B292, "Gelatos de Leite", 7, "Sorbets", 10, "Gelatos de Leite com Fruta", 13, "Chocolate base água", 16, "Vegano", 19, "Alcoólicos", 22, "Zero", 25, "Gelatos Proteicos", 28, 7), 1)) + (ROUND(I292,4) &gt; INDEX('Tabela de ingredientes'!$O$1:$V$30, SWITCH(B292, "Gelatos de Leite", 8, "Sorbets", 11, "Gelatos de Leite com Fruta", 14, "Chocolate base água", 17, "Vegano", 20, "Alcoólicos", 23, "Zero", 26, "Gelatos Proteicos", 29, 8), 1)) + (ROUND(J292,4) &lt; INDEX('Tabela de ingredientes'!$O$1:$V$30, SWITCH(B292, "Gelatos de Leite", 7, "Sorbets", 10, "Gelatos de Leite com Fruta", 13, "Chocolate base água", 16, "Vegano", 19, "Alcoólicos", 22, "Zero", 25, "Gelatos Proteicos", 28, 7), 2)) + (ROUND(J292,4) &gt; INDEX('Tabela de ingredientes'!$O$1:$V$30, SWITCH(B292, "Gelatos de Leite", 8, "Sorbets", 11, "Gelatos de Leite com Fruta", 14, "Chocolate base água", 17, "Vegano", 20, "Alcoólicos", 23, "Zero", 26, "Gelatos Proteicos", 29, 8), 2)) + (ROUND(K292,4) &lt; INDEX('Tabela de ingredientes'!$O$1:$V$30, SWITCH(B292, "Gelatos de Leite", 7, "Sorbets", 10, "Gelatos de Leite com Fruta", 13, "Chocolate base água", 16, "Vegano", 19, "Alcoólicos", 22, "Zero", 25, "Gelatos Proteicos", 28, 7), 3)) + (ROUND(K292,4) &gt; INDEX('Tabela de ingredientes'!$O$1:$V$30, SWITCH(B292, "Gelatos de Leite", 8, "Sorbets", 11, "Gelatos de Leite com Fruta", 14, "Chocolate base água", 17, "Vegano", 20, "Alcoólicos", 23, "Zero", 26, "Gelatos Proteicos", 29, 8), 3)) + (ROUND(L292,4) &lt; INDEX('Tabela de ingredientes'!$O$1:$V$30, SWITCH(B292, "Gelatos de Leite", 7, "Sorbets", 10, "Gelatos de Leite com Fruta", 13, "Chocolate base água", 16, "Vegano", 19, "Alcoólicos", 22, "Zero", 25, "Gelatos Proteicos", 28, 7), 4)) + (ROUND(L292,4) &gt; INDEX('Tabela de ingredientes'!$O$1:$V$30, SWITCH(B292, "Gelatos de Leite", 8, "Sorbets", 11, "Gelatos de Leite com Fruta", 14, "Chocolate base água", 17, "Vegano", 20, "Alcoólicos", 23, "Zero", 26, "Gelatos Proteicos", 29, 8), 4)) + (ROUND(M292,4) &lt; INDEX('Tabela de ingredientes'!$O$1:$V$30, SWITCH(B292, "Gelatos de Leite", 7, "Sorbets", 10, "Gelatos de Leite com Fruta", 13, "Chocolate base água", 16, "Vegano", 19, "Alcoólicos", 22, "Zero", 25, "Gelatos Proteicos", 28, 7), 5)) + (ROUND(M292,4) &gt; INDEX('Tabela de ingredientes'!$O$1:$V$30, SWITCH(B292, "Gelatos de Leite", 8, "Sorbets", 11, "Gelatos de Leite com Fruta", 14, "Chocolate base água", 17, "Vegano", 20, "Alcoólicos", 23, "Zero", 26, "Gelatos Proteicos", 29, 8), 5)) + (ROUND(N292,4) &lt; INDEX('Tabela de ingredientes'!$O$1:$V$30, SWITCH(B292, "Gelatos de Leite", 7, "Sorbets", 10, "Gelatos de Leite com Fruta", 13, "Chocolate base água", 16, "Vegano", 19, "Alcoólicos", 22, "Zero", 25, "Gelatos Proteicos", 28, 7), 6)) + (ROUND(N292,4) &gt; INDEX('Tabela de ingredientes'!$O$1:$V$30, SWITCH(B292, "Gelatos de Leite", 8, "Sorbets", 11, "Gelatos de Leite com Fruta", 14, "Chocolate base água", 17, "Vegano", 20, "Alcoólicos", 23, "Zero", 26, "Gelatos Proteicos", 29, 8), 6)) + (ROUND(O292,4) &lt; INDEX('Tabela de ingredientes'!$O$1:$V$30, SWITCH(B292, "Gelatos de Leite", 7, "Sorbets", 10, "Gelatos de Leite com Fruta", 13, "Chocolate base água", 16, "Vegano", 19, "Alcoólicos", 22, "Zero", 25, "Gelatos Proteicos", 28, 7), 7)) + (ROUND(O292,4) &gt; INDEX('Tabela de ingredientes'!$O$1:$V$30, SWITCH(B292, "Gelatos de Leite", 8, "Sorbets", 11, "Gelatos de Leite com Fruta", 14, "Chocolate base água", 17, "Vegano", 20, "Alcoólicos", 23, "Zero", 26, "Gelatos Proteicos", 29, 8), 7)) + (ROUND(P292,4) &lt; INDEX('Tabela de ingredientes'!$O$1:$V$30, SWITCH(B292, "Gelatos de Leite", 7, "Sorbets", 10, "Gelatos de Leite com Fruta", 13, "Chocolate base água", 16, "Vegano", 19, "Alcoólicos", 22, "Zero", 25, "Gelatos Proteicos", 28, 7), 8)) + (ROUND(P292,4) &gt; INDEX('Tabela de ingredientes'!$O$1:$V$30, SWITCH(B292, "Gelatos de Leite", 8, "Sorbets", 11, "Gelatos de Leite com Fruta", 14, "Chocolate base água", 17, "Vegano", 20, "Alcoólicos", 23, "Zero", 26, "Gelatos Proteicos", 29, 8), 8)) + IF(B292="Gelatos Proteicos", (ROUND(Q292,4)&lt;'Tabela de ingredientes'!$W$28)+(ROUND(Q292,4)&gt;'Tabela de ingredientes'!$W$29), 0) = 0, "Ok", "Revisar"))</f>
        <v/>
      </c>
    </row>
    <row r="293">
      <c r="A293" s="264"/>
      <c r="B293" s="264" t="s">
        <v>187</v>
      </c>
      <c r="C293" s="264" t="s">
        <v>187</v>
      </c>
      <c r="D293" s="264" t="s">
        <v>187</v>
      </c>
      <c r="E293" s="264" t="s">
        <v>187</v>
      </c>
      <c r="F293" s="264" t="s">
        <v>187</v>
      </c>
      <c r="G293" s="264" t="s">
        <v>187</v>
      </c>
      <c r="H293" s="264" t="s">
        <v>187</v>
      </c>
      <c r="I293" s="264" t="s">
        <v>187</v>
      </c>
      <c r="J293" s="264" t="s">
        <v>187</v>
      </c>
      <c r="K293" s="264" t="s">
        <v>187</v>
      </c>
      <c r="L293" s="264" t="s">
        <v>187</v>
      </c>
      <c r="M293" s="264" t="s">
        <v>187</v>
      </c>
      <c r="N293" s="264" t="s">
        <v>187</v>
      </c>
      <c r="O293" s="264" t="s">
        <v>187</v>
      </c>
      <c r="P293" s="264" t="s">
        <v>187</v>
      </c>
      <c r="Q293" s="264" t="s">
        <v>187</v>
      </c>
      <c r="R293" s="264" t="s">
        <v>187</v>
      </c>
      <c r="S293" s="97" t="str">
        <f t="array" ref="S293">IF(A293="","", IF( (ROUND(I293,4) &lt; INDEX('Tabela de ingredientes'!$O$1:$V$30, SWITCH(B293, "Gelatos de Leite", 7, "Sorbets", 10, "Gelatos de Leite com Fruta", 13, "Chocolate base água", 16, "Vegano", 19, "Alcoólicos", 22, "Zero", 25, "Gelatos Proteicos", 28, 7), 1)) + (ROUND(I293,4) &gt; INDEX('Tabela de ingredientes'!$O$1:$V$30, SWITCH(B293, "Gelatos de Leite", 8, "Sorbets", 11, "Gelatos de Leite com Fruta", 14, "Chocolate base água", 17, "Vegano", 20, "Alcoólicos", 23, "Zero", 26, "Gelatos Proteicos", 29, 8), 1)) + (ROUND(J293,4) &lt; INDEX('Tabela de ingredientes'!$O$1:$V$30, SWITCH(B293, "Gelatos de Leite", 7, "Sorbets", 10, "Gelatos de Leite com Fruta", 13, "Chocolate base água", 16, "Vegano", 19, "Alcoólicos", 22, "Zero", 25, "Gelatos Proteicos", 28, 7), 2)) + (ROUND(J293,4) &gt; INDEX('Tabela de ingredientes'!$O$1:$V$30, SWITCH(B293, "Gelatos de Leite", 8, "Sorbets", 11, "Gelatos de Leite com Fruta", 14, "Chocolate base água", 17, "Vegano", 20, "Alcoólicos", 23, "Zero", 26, "Gelatos Proteicos", 29, 8), 2)) + (ROUND(K293,4) &lt; INDEX('Tabela de ingredientes'!$O$1:$V$30, SWITCH(B293, "Gelatos de Leite", 7, "Sorbets", 10, "Gelatos de Leite com Fruta", 13, "Chocolate base água", 16, "Vegano", 19, "Alcoólicos", 22, "Zero", 25, "Gelatos Proteicos", 28, 7), 3)) + (ROUND(K293,4) &gt; INDEX('Tabela de ingredientes'!$O$1:$V$30, SWITCH(B293, "Gelatos de Leite", 8, "Sorbets", 11, "Gelatos de Leite com Fruta", 14, "Chocolate base água", 17, "Vegano", 20, "Alcoólicos", 23, "Zero", 26, "Gelatos Proteicos", 29, 8), 3)) + (ROUND(L293,4) &lt; INDEX('Tabela de ingredientes'!$O$1:$V$30, SWITCH(B293, "Gelatos de Leite", 7, "Sorbets", 10, "Gelatos de Leite com Fruta", 13, "Chocolate base água", 16, "Vegano", 19, "Alcoólicos", 22, "Zero", 25, "Gelatos Proteicos", 28, 7), 4)) + (ROUND(L293,4) &gt; INDEX('Tabela de ingredientes'!$O$1:$V$30, SWITCH(B293, "Gelatos de Leite", 8, "Sorbets", 11, "Gelatos de Leite com Fruta", 14, "Chocolate base água", 17, "Vegano", 20, "Alcoólicos", 23, "Zero", 26, "Gelatos Proteicos", 29, 8), 4)) + (ROUND(M293,4) &lt; INDEX('Tabela de ingredientes'!$O$1:$V$30, SWITCH(B293, "Gelatos de Leite", 7, "Sorbets", 10, "Gelatos de Leite com Fruta", 13, "Chocolate base água", 16, "Vegano", 19, "Alcoólicos", 22, "Zero", 25, "Gelatos Proteicos", 28, 7), 5)) + (ROUND(M293,4) &gt; INDEX('Tabela de ingredientes'!$O$1:$V$30, SWITCH(B293, "Gelatos de Leite", 8, "Sorbets", 11, "Gelatos de Leite com Fruta", 14, "Chocolate base água", 17, "Vegano", 20, "Alcoólicos", 23, "Zero", 26, "Gelatos Proteicos", 29, 8), 5)) + (ROUND(N293,4) &lt; INDEX('Tabela de ingredientes'!$O$1:$V$30, SWITCH(B293, "Gelatos de Leite", 7, "Sorbets", 10, "Gelatos de Leite com Fruta", 13, "Chocolate base água", 16, "Vegano", 19, "Alcoólicos", 22, "Zero", 25, "Gelatos Proteicos", 28, 7), 6)) + (ROUND(N293,4) &gt; INDEX('Tabela de ingredientes'!$O$1:$V$30, SWITCH(B293, "Gelatos de Leite", 8, "Sorbets", 11, "Gelatos de Leite com Fruta", 14, "Chocolate base água", 17, "Vegano", 20, "Alcoólicos", 23, "Zero", 26, "Gelatos Proteicos", 29, 8), 6)) + (ROUND(O293,4) &lt; INDEX('Tabela de ingredientes'!$O$1:$V$30, SWITCH(B293, "Gelatos de Leite", 7, "Sorbets", 10, "Gelatos de Leite com Fruta", 13, "Chocolate base água", 16, "Vegano", 19, "Alcoólicos", 22, "Zero", 25, "Gelatos Proteicos", 28, 7), 7)) + (ROUND(O293,4) &gt; INDEX('Tabela de ingredientes'!$O$1:$V$30, SWITCH(B293, "Gelatos de Leite", 8, "Sorbets", 11, "Gelatos de Leite com Fruta", 14, "Chocolate base água", 17, "Vegano", 20, "Alcoólicos", 23, "Zero", 26, "Gelatos Proteicos", 29, 8), 7)) + (ROUND(P293,4) &lt; INDEX('Tabela de ingredientes'!$O$1:$V$30, SWITCH(B293, "Gelatos de Leite", 7, "Sorbets", 10, "Gelatos de Leite com Fruta", 13, "Chocolate base água", 16, "Vegano", 19, "Alcoólicos", 22, "Zero", 25, "Gelatos Proteicos", 28, 7), 8)) + (ROUND(P293,4) &gt; INDEX('Tabela de ingredientes'!$O$1:$V$30, SWITCH(B293, "Gelatos de Leite", 8, "Sorbets", 11, "Gelatos de Leite com Fruta", 14, "Chocolate base água", 17, "Vegano", 20, "Alcoólicos", 23, "Zero", 26, "Gelatos Proteicos", 29, 8), 8)) + IF(B293="Gelatos Proteicos", (ROUND(Q293,4)&lt;'Tabela de ingredientes'!$W$28)+(ROUND(Q293,4)&gt;'Tabela de ingredientes'!$W$29), 0) = 0, "Ok", "Revisar"))</f>
        <v/>
      </c>
    </row>
    <row r="294">
      <c r="A294" s="264"/>
      <c r="B294" s="264" t="s">
        <v>187</v>
      </c>
      <c r="C294" s="264" t="s">
        <v>187</v>
      </c>
      <c r="D294" s="264" t="s">
        <v>187</v>
      </c>
      <c r="E294" s="264" t="s">
        <v>187</v>
      </c>
      <c r="F294" s="264" t="s">
        <v>187</v>
      </c>
      <c r="G294" s="264" t="s">
        <v>187</v>
      </c>
      <c r="H294" s="264" t="s">
        <v>187</v>
      </c>
      <c r="I294" s="264" t="s">
        <v>187</v>
      </c>
      <c r="J294" s="264" t="s">
        <v>187</v>
      </c>
      <c r="K294" s="264" t="s">
        <v>187</v>
      </c>
      <c r="L294" s="264" t="s">
        <v>187</v>
      </c>
      <c r="M294" s="264" t="s">
        <v>187</v>
      </c>
      <c r="N294" s="264" t="s">
        <v>187</v>
      </c>
      <c r="O294" s="264" t="s">
        <v>187</v>
      </c>
      <c r="P294" s="264" t="s">
        <v>187</v>
      </c>
      <c r="Q294" s="264" t="s">
        <v>187</v>
      </c>
      <c r="R294" s="264" t="s">
        <v>187</v>
      </c>
      <c r="S294" s="97" t="str">
        <f t="array" ref="S294">IF(A294="","", IF( (ROUND(I294,4) &lt; INDEX('Tabela de ingredientes'!$O$1:$V$30, SWITCH(B294, "Gelatos de Leite", 7, "Sorbets", 10, "Gelatos de Leite com Fruta", 13, "Chocolate base água", 16, "Vegano", 19, "Alcoólicos", 22, "Zero", 25, "Gelatos Proteicos", 28, 7), 1)) + (ROUND(I294,4) &gt; INDEX('Tabela de ingredientes'!$O$1:$V$30, SWITCH(B294, "Gelatos de Leite", 8, "Sorbets", 11, "Gelatos de Leite com Fruta", 14, "Chocolate base água", 17, "Vegano", 20, "Alcoólicos", 23, "Zero", 26, "Gelatos Proteicos", 29, 8), 1)) + (ROUND(J294,4) &lt; INDEX('Tabela de ingredientes'!$O$1:$V$30, SWITCH(B294, "Gelatos de Leite", 7, "Sorbets", 10, "Gelatos de Leite com Fruta", 13, "Chocolate base água", 16, "Vegano", 19, "Alcoólicos", 22, "Zero", 25, "Gelatos Proteicos", 28, 7), 2)) + (ROUND(J294,4) &gt; INDEX('Tabela de ingredientes'!$O$1:$V$30, SWITCH(B294, "Gelatos de Leite", 8, "Sorbets", 11, "Gelatos de Leite com Fruta", 14, "Chocolate base água", 17, "Vegano", 20, "Alcoólicos", 23, "Zero", 26, "Gelatos Proteicos", 29, 8), 2)) + (ROUND(K294,4) &lt; INDEX('Tabela de ingredientes'!$O$1:$V$30, SWITCH(B294, "Gelatos de Leite", 7, "Sorbets", 10, "Gelatos de Leite com Fruta", 13, "Chocolate base água", 16, "Vegano", 19, "Alcoólicos", 22, "Zero", 25, "Gelatos Proteicos", 28, 7), 3)) + (ROUND(K294,4) &gt; INDEX('Tabela de ingredientes'!$O$1:$V$30, SWITCH(B294, "Gelatos de Leite", 8, "Sorbets", 11, "Gelatos de Leite com Fruta", 14, "Chocolate base água", 17, "Vegano", 20, "Alcoólicos", 23, "Zero", 26, "Gelatos Proteicos", 29, 8), 3)) + (ROUND(L294,4) &lt; INDEX('Tabela de ingredientes'!$O$1:$V$30, SWITCH(B294, "Gelatos de Leite", 7, "Sorbets", 10, "Gelatos de Leite com Fruta", 13, "Chocolate base água", 16, "Vegano", 19, "Alcoólicos", 22, "Zero", 25, "Gelatos Proteicos", 28, 7), 4)) + (ROUND(L294,4) &gt; INDEX('Tabela de ingredientes'!$O$1:$V$30, SWITCH(B294, "Gelatos de Leite", 8, "Sorbets", 11, "Gelatos de Leite com Fruta", 14, "Chocolate base água", 17, "Vegano", 20, "Alcoólicos", 23, "Zero", 26, "Gelatos Proteicos", 29, 8), 4)) + (ROUND(M294,4) &lt; INDEX('Tabela de ingredientes'!$O$1:$V$30, SWITCH(B294, "Gelatos de Leite", 7, "Sorbets", 10, "Gelatos de Leite com Fruta", 13, "Chocolate base água", 16, "Vegano", 19, "Alcoólicos", 22, "Zero", 25, "Gelatos Proteicos", 28, 7), 5)) + (ROUND(M294,4) &gt; INDEX('Tabela de ingredientes'!$O$1:$V$30, SWITCH(B294, "Gelatos de Leite", 8, "Sorbets", 11, "Gelatos de Leite com Fruta", 14, "Chocolate base água", 17, "Vegano", 20, "Alcoólicos", 23, "Zero", 26, "Gelatos Proteicos", 29, 8), 5)) + (ROUND(N294,4) &lt; INDEX('Tabela de ingredientes'!$O$1:$V$30, SWITCH(B294, "Gelatos de Leite", 7, "Sorbets", 10, "Gelatos de Leite com Fruta", 13, "Chocolate base água", 16, "Vegano", 19, "Alcoólicos", 22, "Zero", 25, "Gelatos Proteicos", 28, 7), 6)) + (ROUND(N294,4) &gt; INDEX('Tabela de ingredientes'!$O$1:$V$30, SWITCH(B294, "Gelatos de Leite", 8, "Sorbets", 11, "Gelatos de Leite com Fruta", 14, "Chocolate base água", 17, "Vegano", 20, "Alcoólicos", 23, "Zero", 26, "Gelatos Proteicos", 29, 8), 6)) + (ROUND(O294,4) &lt; INDEX('Tabela de ingredientes'!$O$1:$V$30, SWITCH(B294, "Gelatos de Leite", 7, "Sorbets", 10, "Gelatos de Leite com Fruta", 13, "Chocolate base água", 16, "Vegano", 19, "Alcoólicos", 22, "Zero", 25, "Gelatos Proteicos", 28, 7), 7)) + (ROUND(O294,4) &gt; INDEX('Tabela de ingredientes'!$O$1:$V$30, SWITCH(B294, "Gelatos de Leite", 8, "Sorbets", 11, "Gelatos de Leite com Fruta", 14, "Chocolate base água", 17, "Vegano", 20, "Alcoólicos", 23, "Zero", 26, "Gelatos Proteicos", 29, 8), 7)) + (ROUND(P294,4) &lt; INDEX('Tabela de ingredientes'!$O$1:$V$30, SWITCH(B294, "Gelatos de Leite", 7, "Sorbets", 10, "Gelatos de Leite com Fruta", 13, "Chocolate base água", 16, "Vegano", 19, "Alcoólicos", 22, "Zero", 25, "Gelatos Proteicos", 28, 7), 8)) + (ROUND(P294,4) &gt; INDEX('Tabela de ingredientes'!$O$1:$V$30, SWITCH(B294, "Gelatos de Leite", 8, "Sorbets", 11, "Gelatos de Leite com Fruta", 14, "Chocolate base água", 17, "Vegano", 20, "Alcoólicos", 23, "Zero", 26, "Gelatos Proteicos", 29, 8), 8)) + IF(B294="Gelatos Proteicos", (ROUND(Q294,4)&lt;'Tabela de ingredientes'!$W$28)+(ROUND(Q294,4)&gt;'Tabela de ingredientes'!$W$29), 0) = 0, "Ok", "Revisar"))</f>
        <v/>
      </c>
    </row>
    <row r="295">
      <c r="A295" s="264"/>
      <c r="B295" s="264" t="s">
        <v>187</v>
      </c>
      <c r="C295" s="264" t="s">
        <v>187</v>
      </c>
      <c r="D295" s="264" t="s">
        <v>187</v>
      </c>
      <c r="E295" s="264" t="s">
        <v>187</v>
      </c>
      <c r="F295" s="264" t="s">
        <v>187</v>
      </c>
      <c r="G295" s="264" t="s">
        <v>187</v>
      </c>
      <c r="H295" s="264" t="s">
        <v>187</v>
      </c>
      <c r="I295" s="264" t="s">
        <v>187</v>
      </c>
      <c r="J295" s="264" t="s">
        <v>187</v>
      </c>
      <c r="K295" s="264" t="s">
        <v>187</v>
      </c>
      <c r="L295" s="264" t="s">
        <v>187</v>
      </c>
      <c r="M295" s="264" t="s">
        <v>187</v>
      </c>
      <c r="N295" s="264" t="s">
        <v>187</v>
      </c>
      <c r="O295" s="264" t="s">
        <v>187</v>
      </c>
      <c r="P295" s="264" t="s">
        <v>187</v>
      </c>
      <c r="Q295" s="264" t="s">
        <v>187</v>
      </c>
      <c r="R295" s="264" t="s">
        <v>187</v>
      </c>
      <c r="S295" s="97" t="str">
        <f t="array" ref="S295">IF(A295="","", IF( (ROUND(I295,4) &lt; INDEX('Tabela de ingredientes'!$O$1:$V$30, SWITCH(B295, "Gelatos de Leite", 7, "Sorbets", 10, "Gelatos de Leite com Fruta", 13, "Chocolate base água", 16, "Vegano", 19, "Alcoólicos", 22, "Zero", 25, "Gelatos Proteicos", 28, 7), 1)) + (ROUND(I295,4) &gt; INDEX('Tabela de ingredientes'!$O$1:$V$30, SWITCH(B295, "Gelatos de Leite", 8, "Sorbets", 11, "Gelatos de Leite com Fruta", 14, "Chocolate base água", 17, "Vegano", 20, "Alcoólicos", 23, "Zero", 26, "Gelatos Proteicos", 29, 8), 1)) + (ROUND(J295,4) &lt; INDEX('Tabela de ingredientes'!$O$1:$V$30, SWITCH(B295, "Gelatos de Leite", 7, "Sorbets", 10, "Gelatos de Leite com Fruta", 13, "Chocolate base água", 16, "Vegano", 19, "Alcoólicos", 22, "Zero", 25, "Gelatos Proteicos", 28, 7), 2)) + (ROUND(J295,4) &gt; INDEX('Tabela de ingredientes'!$O$1:$V$30, SWITCH(B295, "Gelatos de Leite", 8, "Sorbets", 11, "Gelatos de Leite com Fruta", 14, "Chocolate base água", 17, "Vegano", 20, "Alcoólicos", 23, "Zero", 26, "Gelatos Proteicos", 29, 8), 2)) + (ROUND(K295,4) &lt; INDEX('Tabela de ingredientes'!$O$1:$V$30, SWITCH(B295, "Gelatos de Leite", 7, "Sorbets", 10, "Gelatos de Leite com Fruta", 13, "Chocolate base água", 16, "Vegano", 19, "Alcoólicos", 22, "Zero", 25, "Gelatos Proteicos", 28, 7), 3)) + (ROUND(K295,4) &gt; INDEX('Tabela de ingredientes'!$O$1:$V$30, SWITCH(B295, "Gelatos de Leite", 8, "Sorbets", 11, "Gelatos de Leite com Fruta", 14, "Chocolate base água", 17, "Vegano", 20, "Alcoólicos", 23, "Zero", 26, "Gelatos Proteicos", 29, 8), 3)) + (ROUND(L295,4) &lt; INDEX('Tabela de ingredientes'!$O$1:$V$30, SWITCH(B295, "Gelatos de Leite", 7, "Sorbets", 10, "Gelatos de Leite com Fruta", 13, "Chocolate base água", 16, "Vegano", 19, "Alcoólicos", 22, "Zero", 25, "Gelatos Proteicos", 28, 7), 4)) + (ROUND(L295,4) &gt; INDEX('Tabela de ingredientes'!$O$1:$V$30, SWITCH(B295, "Gelatos de Leite", 8, "Sorbets", 11, "Gelatos de Leite com Fruta", 14, "Chocolate base água", 17, "Vegano", 20, "Alcoólicos", 23, "Zero", 26, "Gelatos Proteicos", 29, 8), 4)) + (ROUND(M295,4) &lt; INDEX('Tabela de ingredientes'!$O$1:$V$30, SWITCH(B295, "Gelatos de Leite", 7, "Sorbets", 10, "Gelatos de Leite com Fruta", 13, "Chocolate base água", 16, "Vegano", 19, "Alcoólicos", 22, "Zero", 25, "Gelatos Proteicos", 28, 7), 5)) + (ROUND(M295,4) &gt; INDEX('Tabela de ingredientes'!$O$1:$V$30, SWITCH(B295, "Gelatos de Leite", 8, "Sorbets", 11, "Gelatos de Leite com Fruta", 14, "Chocolate base água", 17, "Vegano", 20, "Alcoólicos", 23, "Zero", 26, "Gelatos Proteicos", 29, 8), 5)) + (ROUND(N295,4) &lt; INDEX('Tabela de ingredientes'!$O$1:$V$30, SWITCH(B295, "Gelatos de Leite", 7, "Sorbets", 10, "Gelatos de Leite com Fruta", 13, "Chocolate base água", 16, "Vegano", 19, "Alcoólicos", 22, "Zero", 25, "Gelatos Proteicos", 28, 7), 6)) + (ROUND(N295,4) &gt; INDEX('Tabela de ingredientes'!$O$1:$V$30, SWITCH(B295, "Gelatos de Leite", 8, "Sorbets", 11, "Gelatos de Leite com Fruta", 14, "Chocolate base água", 17, "Vegano", 20, "Alcoólicos", 23, "Zero", 26, "Gelatos Proteicos", 29, 8), 6)) + (ROUND(O295,4) &lt; INDEX('Tabela de ingredientes'!$O$1:$V$30, SWITCH(B295, "Gelatos de Leite", 7, "Sorbets", 10, "Gelatos de Leite com Fruta", 13, "Chocolate base água", 16, "Vegano", 19, "Alcoólicos", 22, "Zero", 25, "Gelatos Proteicos", 28, 7), 7)) + (ROUND(O295,4) &gt; INDEX('Tabela de ingredientes'!$O$1:$V$30, SWITCH(B295, "Gelatos de Leite", 8, "Sorbets", 11, "Gelatos de Leite com Fruta", 14, "Chocolate base água", 17, "Vegano", 20, "Alcoólicos", 23, "Zero", 26, "Gelatos Proteicos", 29, 8), 7)) + (ROUND(P295,4) &lt; INDEX('Tabela de ingredientes'!$O$1:$V$30, SWITCH(B295, "Gelatos de Leite", 7, "Sorbets", 10, "Gelatos de Leite com Fruta", 13, "Chocolate base água", 16, "Vegano", 19, "Alcoólicos", 22, "Zero", 25, "Gelatos Proteicos", 28, 7), 8)) + (ROUND(P295,4) &gt; INDEX('Tabela de ingredientes'!$O$1:$V$30, SWITCH(B295, "Gelatos de Leite", 8, "Sorbets", 11, "Gelatos de Leite com Fruta", 14, "Chocolate base água", 17, "Vegano", 20, "Alcoólicos", 23, "Zero", 26, "Gelatos Proteicos", 29, 8), 8)) + IF(B295="Gelatos Proteicos", (ROUND(Q295,4)&lt;'Tabela de ingredientes'!$W$28)+(ROUND(Q295,4)&gt;'Tabela de ingredientes'!$W$29), 0) = 0, "Ok", "Revisar"))</f>
        <v/>
      </c>
    </row>
    <row r="296">
      <c r="A296" s="264"/>
      <c r="B296" s="264" t="s">
        <v>187</v>
      </c>
      <c r="C296" s="264" t="s">
        <v>187</v>
      </c>
      <c r="D296" s="264" t="s">
        <v>187</v>
      </c>
      <c r="E296" s="264" t="s">
        <v>187</v>
      </c>
      <c r="F296" s="264" t="s">
        <v>187</v>
      </c>
      <c r="G296" s="264" t="s">
        <v>187</v>
      </c>
      <c r="H296" s="264" t="s">
        <v>187</v>
      </c>
      <c r="I296" s="264" t="s">
        <v>187</v>
      </c>
      <c r="J296" s="264" t="s">
        <v>187</v>
      </c>
      <c r="K296" s="264" t="s">
        <v>187</v>
      </c>
      <c r="L296" s="264" t="s">
        <v>187</v>
      </c>
      <c r="M296" s="264" t="s">
        <v>187</v>
      </c>
      <c r="N296" s="264" t="s">
        <v>187</v>
      </c>
      <c r="O296" s="264" t="s">
        <v>187</v>
      </c>
      <c r="P296" s="264" t="s">
        <v>187</v>
      </c>
      <c r="Q296" s="264" t="s">
        <v>187</v>
      </c>
      <c r="R296" s="264" t="s">
        <v>187</v>
      </c>
      <c r="S296" s="97" t="str">
        <f t="array" ref="S296">IF(A296="","", IF( (ROUND(I296,4) &lt; INDEX('Tabela de ingredientes'!$O$1:$V$30, SWITCH(B296, "Gelatos de Leite", 7, "Sorbets", 10, "Gelatos de Leite com Fruta", 13, "Chocolate base água", 16, "Vegano", 19, "Alcoólicos", 22, "Zero", 25, "Gelatos Proteicos", 28, 7), 1)) + (ROUND(I296,4) &gt; INDEX('Tabela de ingredientes'!$O$1:$V$30, SWITCH(B296, "Gelatos de Leite", 8, "Sorbets", 11, "Gelatos de Leite com Fruta", 14, "Chocolate base água", 17, "Vegano", 20, "Alcoólicos", 23, "Zero", 26, "Gelatos Proteicos", 29, 8), 1)) + (ROUND(J296,4) &lt; INDEX('Tabela de ingredientes'!$O$1:$V$30, SWITCH(B296, "Gelatos de Leite", 7, "Sorbets", 10, "Gelatos de Leite com Fruta", 13, "Chocolate base água", 16, "Vegano", 19, "Alcoólicos", 22, "Zero", 25, "Gelatos Proteicos", 28, 7), 2)) + (ROUND(J296,4) &gt; INDEX('Tabela de ingredientes'!$O$1:$V$30, SWITCH(B296, "Gelatos de Leite", 8, "Sorbets", 11, "Gelatos de Leite com Fruta", 14, "Chocolate base água", 17, "Vegano", 20, "Alcoólicos", 23, "Zero", 26, "Gelatos Proteicos", 29, 8), 2)) + (ROUND(K296,4) &lt; INDEX('Tabela de ingredientes'!$O$1:$V$30, SWITCH(B296, "Gelatos de Leite", 7, "Sorbets", 10, "Gelatos de Leite com Fruta", 13, "Chocolate base água", 16, "Vegano", 19, "Alcoólicos", 22, "Zero", 25, "Gelatos Proteicos", 28, 7), 3)) + (ROUND(K296,4) &gt; INDEX('Tabela de ingredientes'!$O$1:$V$30, SWITCH(B296, "Gelatos de Leite", 8, "Sorbets", 11, "Gelatos de Leite com Fruta", 14, "Chocolate base água", 17, "Vegano", 20, "Alcoólicos", 23, "Zero", 26, "Gelatos Proteicos", 29, 8), 3)) + (ROUND(L296,4) &lt; INDEX('Tabela de ingredientes'!$O$1:$V$30, SWITCH(B296, "Gelatos de Leite", 7, "Sorbets", 10, "Gelatos de Leite com Fruta", 13, "Chocolate base água", 16, "Vegano", 19, "Alcoólicos", 22, "Zero", 25, "Gelatos Proteicos", 28, 7), 4)) + (ROUND(L296,4) &gt; INDEX('Tabela de ingredientes'!$O$1:$V$30, SWITCH(B296, "Gelatos de Leite", 8, "Sorbets", 11, "Gelatos de Leite com Fruta", 14, "Chocolate base água", 17, "Vegano", 20, "Alcoólicos", 23, "Zero", 26, "Gelatos Proteicos", 29, 8), 4)) + (ROUND(M296,4) &lt; INDEX('Tabela de ingredientes'!$O$1:$V$30, SWITCH(B296, "Gelatos de Leite", 7, "Sorbets", 10, "Gelatos de Leite com Fruta", 13, "Chocolate base água", 16, "Vegano", 19, "Alcoólicos", 22, "Zero", 25, "Gelatos Proteicos", 28, 7), 5)) + (ROUND(M296,4) &gt; INDEX('Tabela de ingredientes'!$O$1:$V$30, SWITCH(B296, "Gelatos de Leite", 8, "Sorbets", 11, "Gelatos de Leite com Fruta", 14, "Chocolate base água", 17, "Vegano", 20, "Alcoólicos", 23, "Zero", 26, "Gelatos Proteicos", 29, 8), 5)) + (ROUND(N296,4) &lt; INDEX('Tabela de ingredientes'!$O$1:$V$30, SWITCH(B296, "Gelatos de Leite", 7, "Sorbets", 10, "Gelatos de Leite com Fruta", 13, "Chocolate base água", 16, "Vegano", 19, "Alcoólicos", 22, "Zero", 25, "Gelatos Proteicos", 28, 7), 6)) + (ROUND(N296,4) &gt; INDEX('Tabela de ingredientes'!$O$1:$V$30, SWITCH(B296, "Gelatos de Leite", 8, "Sorbets", 11, "Gelatos de Leite com Fruta", 14, "Chocolate base água", 17, "Vegano", 20, "Alcoólicos", 23, "Zero", 26, "Gelatos Proteicos", 29, 8), 6)) + (ROUND(O296,4) &lt; INDEX('Tabela de ingredientes'!$O$1:$V$30, SWITCH(B296, "Gelatos de Leite", 7, "Sorbets", 10, "Gelatos de Leite com Fruta", 13, "Chocolate base água", 16, "Vegano", 19, "Alcoólicos", 22, "Zero", 25, "Gelatos Proteicos", 28, 7), 7)) + (ROUND(O296,4) &gt; INDEX('Tabela de ingredientes'!$O$1:$V$30, SWITCH(B296, "Gelatos de Leite", 8, "Sorbets", 11, "Gelatos de Leite com Fruta", 14, "Chocolate base água", 17, "Vegano", 20, "Alcoólicos", 23, "Zero", 26, "Gelatos Proteicos", 29, 8), 7)) + (ROUND(P296,4) &lt; INDEX('Tabela de ingredientes'!$O$1:$V$30, SWITCH(B296, "Gelatos de Leite", 7, "Sorbets", 10, "Gelatos de Leite com Fruta", 13, "Chocolate base água", 16, "Vegano", 19, "Alcoólicos", 22, "Zero", 25, "Gelatos Proteicos", 28, 7), 8)) + (ROUND(P296,4) &gt; INDEX('Tabela de ingredientes'!$O$1:$V$30, SWITCH(B296, "Gelatos de Leite", 8, "Sorbets", 11, "Gelatos de Leite com Fruta", 14, "Chocolate base água", 17, "Vegano", 20, "Alcoólicos", 23, "Zero", 26, "Gelatos Proteicos", 29, 8), 8)) + IF(B296="Gelatos Proteicos", (ROUND(Q296,4)&lt;'Tabela de ingredientes'!$W$28)+(ROUND(Q296,4)&gt;'Tabela de ingredientes'!$W$29), 0) = 0, "Ok", "Revisar"))</f>
        <v/>
      </c>
    </row>
    <row r="297">
      <c r="A297" s="264"/>
      <c r="B297" s="264" t="s">
        <v>187</v>
      </c>
      <c r="C297" s="264" t="s">
        <v>187</v>
      </c>
      <c r="D297" s="264" t="s">
        <v>187</v>
      </c>
      <c r="E297" s="264" t="s">
        <v>187</v>
      </c>
      <c r="F297" s="264" t="s">
        <v>187</v>
      </c>
      <c r="G297" s="264" t="s">
        <v>187</v>
      </c>
      <c r="H297" s="264" t="s">
        <v>187</v>
      </c>
      <c r="I297" s="264" t="s">
        <v>187</v>
      </c>
      <c r="J297" s="264" t="s">
        <v>187</v>
      </c>
      <c r="K297" s="264" t="s">
        <v>187</v>
      </c>
      <c r="L297" s="264" t="s">
        <v>187</v>
      </c>
      <c r="M297" s="264" t="s">
        <v>187</v>
      </c>
      <c r="N297" s="264" t="s">
        <v>187</v>
      </c>
      <c r="O297" s="264" t="s">
        <v>187</v>
      </c>
      <c r="P297" s="264" t="s">
        <v>187</v>
      </c>
      <c r="Q297" s="264" t="s">
        <v>187</v>
      </c>
      <c r="R297" s="264" t="s">
        <v>187</v>
      </c>
      <c r="S297" s="97" t="str">
        <f t="array" ref="S297">IF(A297="","", IF( (ROUND(I297,4) &lt; INDEX('Tabela de ingredientes'!$O$1:$V$30, SWITCH(B297, "Gelatos de Leite", 7, "Sorbets", 10, "Gelatos de Leite com Fruta", 13, "Chocolate base água", 16, "Vegano", 19, "Alcoólicos", 22, "Zero", 25, "Gelatos Proteicos", 28, 7), 1)) + (ROUND(I297,4) &gt; INDEX('Tabela de ingredientes'!$O$1:$V$30, SWITCH(B297, "Gelatos de Leite", 8, "Sorbets", 11, "Gelatos de Leite com Fruta", 14, "Chocolate base água", 17, "Vegano", 20, "Alcoólicos", 23, "Zero", 26, "Gelatos Proteicos", 29, 8), 1)) + (ROUND(J297,4) &lt; INDEX('Tabela de ingredientes'!$O$1:$V$30, SWITCH(B297, "Gelatos de Leite", 7, "Sorbets", 10, "Gelatos de Leite com Fruta", 13, "Chocolate base água", 16, "Vegano", 19, "Alcoólicos", 22, "Zero", 25, "Gelatos Proteicos", 28, 7), 2)) + (ROUND(J297,4) &gt; INDEX('Tabela de ingredientes'!$O$1:$V$30, SWITCH(B297, "Gelatos de Leite", 8, "Sorbets", 11, "Gelatos de Leite com Fruta", 14, "Chocolate base água", 17, "Vegano", 20, "Alcoólicos", 23, "Zero", 26, "Gelatos Proteicos", 29, 8), 2)) + (ROUND(K297,4) &lt; INDEX('Tabela de ingredientes'!$O$1:$V$30, SWITCH(B297, "Gelatos de Leite", 7, "Sorbets", 10, "Gelatos de Leite com Fruta", 13, "Chocolate base água", 16, "Vegano", 19, "Alcoólicos", 22, "Zero", 25, "Gelatos Proteicos", 28, 7), 3)) + (ROUND(K297,4) &gt; INDEX('Tabela de ingredientes'!$O$1:$V$30, SWITCH(B297, "Gelatos de Leite", 8, "Sorbets", 11, "Gelatos de Leite com Fruta", 14, "Chocolate base água", 17, "Vegano", 20, "Alcoólicos", 23, "Zero", 26, "Gelatos Proteicos", 29, 8), 3)) + (ROUND(L297,4) &lt; INDEX('Tabela de ingredientes'!$O$1:$V$30, SWITCH(B297, "Gelatos de Leite", 7, "Sorbets", 10, "Gelatos de Leite com Fruta", 13, "Chocolate base água", 16, "Vegano", 19, "Alcoólicos", 22, "Zero", 25, "Gelatos Proteicos", 28, 7), 4)) + (ROUND(L297,4) &gt; INDEX('Tabela de ingredientes'!$O$1:$V$30, SWITCH(B297, "Gelatos de Leite", 8, "Sorbets", 11, "Gelatos de Leite com Fruta", 14, "Chocolate base água", 17, "Vegano", 20, "Alcoólicos", 23, "Zero", 26, "Gelatos Proteicos", 29, 8), 4)) + (ROUND(M297,4) &lt; INDEX('Tabela de ingredientes'!$O$1:$V$30, SWITCH(B297, "Gelatos de Leite", 7, "Sorbets", 10, "Gelatos de Leite com Fruta", 13, "Chocolate base água", 16, "Vegano", 19, "Alcoólicos", 22, "Zero", 25, "Gelatos Proteicos", 28, 7), 5)) + (ROUND(M297,4) &gt; INDEX('Tabela de ingredientes'!$O$1:$V$30, SWITCH(B297, "Gelatos de Leite", 8, "Sorbets", 11, "Gelatos de Leite com Fruta", 14, "Chocolate base água", 17, "Vegano", 20, "Alcoólicos", 23, "Zero", 26, "Gelatos Proteicos", 29, 8), 5)) + (ROUND(N297,4) &lt; INDEX('Tabela de ingredientes'!$O$1:$V$30, SWITCH(B297, "Gelatos de Leite", 7, "Sorbets", 10, "Gelatos de Leite com Fruta", 13, "Chocolate base água", 16, "Vegano", 19, "Alcoólicos", 22, "Zero", 25, "Gelatos Proteicos", 28, 7), 6)) + (ROUND(N297,4) &gt; INDEX('Tabela de ingredientes'!$O$1:$V$30, SWITCH(B297, "Gelatos de Leite", 8, "Sorbets", 11, "Gelatos de Leite com Fruta", 14, "Chocolate base água", 17, "Vegano", 20, "Alcoólicos", 23, "Zero", 26, "Gelatos Proteicos", 29, 8), 6)) + (ROUND(O297,4) &lt; INDEX('Tabela de ingredientes'!$O$1:$V$30, SWITCH(B297, "Gelatos de Leite", 7, "Sorbets", 10, "Gelatos de Leite com Fruta", 13, "Chocolate base água", 16, "Vegano", 19, "Alcoólicos", 22, "Zero", 25, "Gelatos Proteicos", 28, 7), 7)) + (ROUND(O297,4) &gt; INDEX('Tabela de ingredientes'!$O$1:$V$30, SWITCH(B297, "Gelatos de Leite", 8, "Sorbets", 11, "Gelatos de Leite com Fruta", 14, "Chocolate base água", 17, "Vegano", 20, "Alcoólicos", 23, "Zero", 26, "Gelatos Proteicos", 29, 8), 7)) + (ROUND(P297,4) &lt; INDEX('Tabela de ingredientes'!$O$1:$V$30, SWITCH(B297, "Gelatos de Leite", 7, "Sorbets", 10, "Gelatos de Leite com Fruta", 13, "Chocolate base água", 16, "Vegano", 19, "Alcoólicos", 22, "Zero", 25, "Gelatos Proteicos", 28, 7), 8)) + (ROUND(P297,4) &gt; INDEX('Tabela de ingredientes'!$O$1:$V$30, SWITCH(B297, "Gelatos de Leite", 8, "Sorbets", 11, "Gelatos de Leite com Fruta", 14, "Chocolate base água", 17, "Vegano", 20, "Alcoólicos", 23, "Zero", 26, "Gelatos Proteicos", 29, 8), 8)) + IF(B297="Gelatos Proteicos", (ROUND(Q297,4)&lt;'Tabela de ingredientes'!$W$28)+(ROUND(Q297,4)&gt;'Tabela de ingredientes'!$W$29), 0) = 0, "Ok", "Revisar"))</f>
        <v/>
      </c>
    </row>
    <row r="298">
      <c r="A298" s="264"/>
      <c r="B298" s="264" t="s">
        <v>187</v>
      </c>
      <c r="C298" s="264" t="s">
        <v>187</v>
      </c>
      <c r="D298" s="264" t="s">
        <v>187</v>
      </c>
      <c r="E298" s="264" t="s">
        <v>187</v>
      </c>
      <c r="F298" s="264" t="s">
        <v>187</v>
      </c>
      <c r="G298" s="264" t="s">
        <v>187</v>
      </c>
      <c r="H298" s="264" t="s">
        <v>187</v>
      </c>
      <c r="I298" s="264" t="s">
        <v>187</v>
      </c>
      <c r="J298" s="264" t="s">
        <v>187</v>
      </c>
      <c r="K298" s="264" t="s">
        <v>187</v>
      </c>
      <c r="L298" s="264" t="s">
        <v>187</v>
      </c>
      <c r="M298" s="264" t="s">
        <v>187</v>
      </c>
      <c r="N298" s="264" t="s">
        <v>187</v>
      </c>
      <c r="O298" s="264" t="s">
        <v>187</v>
      </c>
      <c r="P298" s="264" t="s">
        <v>187</v>
      </c>
      <c r="Q298" s="264" t="s">
        <v>187</v>
      </c>
      <c r="R298" s="264" t="s">
        <v>187</v>
      </c>
      <c r="S298" s="97" t="str">
        <f t="array" ref="S298">IF(A298="","", IF( (ROUND(I298,4) &lt; INDEX('Tabela de ingredientes'!$O$1:$V$30, SWITCH(B298, "Gelatos de Leite", 7, "Sorbets", 10, "Gelatos de Leite com Fruta", 13, "Chocolate base água", 16, "Vegano", 19, "Alcoólicos", 22, "Zero", 25, "Gelatos Proteicos", 28, 7), 1)) + (ROUND(I298,4) &gt; INDEX('Tabela de ingredientes'!$O$1:$V$30, SWITCH(B298, "Gelatos de Leite", 8, "Sorbets", 11, "Gelatos de Leite com Fruta", 14, "Chocolate base água", 17, "Vegano", 20, "Alcoólicos", 23, "Zero", 26, "Gelatos Proteicos", 29, 8), 1)) + (ROUND(J298,4) &lt; INDEX('Tabela de ingredientes'!$O$1:$V$30, SWITCH(B298, "Gelatos de Leite", 7, "Sorbets", 10, "Gelatos de Leite com Fruta", 13, "Chocolate base água", 16, "Vegano", 19, "Alcoólicos", 22, "Zero", 25, "Gelatos Proteicos", 28, 7), 2)) + (ROUND(J298,4) &gt; INDEX('Tabela de ingredientes'!$O$1:$V$30, SWITCH(B298, "Gelatos de Leite", 8, "Sorbets", 11, "Gelatos de Leite com Fruta", 14, "Chocolate base água", 17, "Vegano", 20, "Alcoólicos", 23, "Zero", 26, "Gelatos Proteicos", 29, 8), 2)) + (ROUND(K298,4) &lt; INDEX('Tabela de ingredientes'!$O$1:$V$30, SWITCH(B298, "Gelatos de Leite", 7, "Sorbets", 10, "Gelatos de Leite com Fruta", 13, "Chocolate base água", 16, "Vegano", 19, "Alcoólicos", 22, "Zero", 25, "Gelatos Proteicos", 28, 7), 3)) + (ROUND(K298,4) &gt; INDEX('Tabela de ingredientes'!$O$1:$V$30, SWITCH(B298, "Gelatos de Leite", 8, "Sorbets", 11, "Gelatos de Leite com Fruta", 14, "Chocolate base água", 17, "Vegano", 20, "Alcoólicos", 23, "Zero", 26, "Gelatos Proteicos", 29, 8), 3)) + (ROUND(L298,4) &lt; INDEX('Tabela de ingredientes'!$O$1:$V$30, SWITCH(B298, "Gelatos de Leite", 7, "Sorbets", 10, "Gelatos de Leite com Fruta", 13, "Chocolate base água", 16, "Vegano", 19, "Alcoólicos", 22, "Zero", 25, "Gelatos Proteicos", 28, 7), 4)) + (ROUND(L298,4) &gt; INDEX('Tabela de ingredientes'!$O$1:$V$30, SWITCH(B298, "Gelatos de Leite", 8, "Sorbets", 11, "Gelatos de Leite com Fruta", 14, "Chocolate base água", 17, "Vegano", 20, "Alcoólicos", 23, "Zero", 26, "Gelatos Proteicos", 29, 8), 4)) + (ROUND(M298,4) &lt; INDEX('Tabela de ingredientes'!$O$1:$V$30, SWITCH(B298, "Gelatos de Leite", 7, "Sorbets", 10, "Gelatos de Leite com Fruta", 13, "Chocolate base água", 16, "Vegano", 19, "Alcoólicos", 22, "Zero", 25, "Gelatos Proteicos", 28, 7), 5)) + (ROUND(M298,4) &gt; INDEX('Tabela de ingredientes'!$O$1:$V$30, SWITCH(B298, "Gelatos de Leite", 8, "Sorbets", 11, "Gelatos de Leite com Fruta", 14, "Chocolate base água", 17, "Vegano", 20, "Alcoólicos", 23, "Zero", 26, "Gelatos Proteicos", 29, 8), 5)) + (ROUND(N298,4) &lt; INDEX('Tabela de ingredientes'!$O$1:$V$30, SWITCH(B298, "Gelatos de Leite", 7, "Sorbets", 10, "Gelatos de Leite com Fruta", 13, "Chocolate base água", 16, "Vegano", 19, "Alcoólicos", 22, "Zero", 25, "Gelatos Proteicos", 28, 7), 6)) + (ROUND(N298,4) &gt; INDEX('Tabela de ingredientes'!$O$1:$V$30, SWITCH(B298, "Gelatos de Leite", 8, "Sorbets", 11, "Gelatos de Leite com Fruta", 14, "Chocolate base água", 17, "Vegano", 20, "Alcoólicos", 23, "Zero", 26, "Gelatos Proteicos", 29, 8), 6)) + (ROUND(O298,4) &lt; INDEX('Tabela de ingredientes'!$O$1:$V$30, SWITCH(B298, "Gelatos de Leite", 7, "Sorbets", 10, "Gelatos de Leite com Fruta", 13, "Chocolate base água", 16, "Vegano", 19, "Alcoólicos", 22, "Zero", 25, "Gelatos Proteicos", 28, 7), 7)) + (ROUND(O298,4) &gt; INDEX('Tabela de ingredientes'!$O$1:$V$30, SWITCH(B298, "Gelatos de Leite", 8, "Sorbets", 11, "Gelatos de Leite com Fruta", 14, "Chocolate base água", 17, "Vegano", 20, "Alcoólicos", 23, "Zero", 26, "Gelatos Proteicos", 29, 8), 7)) + (ROUND(P298,4) &lt; INDEX('Tabela de ingredientes'!$O$1:$V$30, SWITCH(B298, "Gelatos de Leite", 7, "Sorbets", 10, "Gelatos de Leite com Fruta", 13, "Chocolate base água", 16, "Vegano", 19, "Alcoólicos", 22, "Zero", 25, "Gelatos Proteicos", 28, 7), 8)) + (ROUND(P298,4) &gt; INDEX('Tabela de ingredientes'!$O$1:$V$30, SWITCH(B298, "Gelatos de Leite", 8, "Sorbets", 11, "Gelatos de Leite com Fruta", 14, "Chocolate base água", 17, "Vegano", 20, "Alcoólicos", 23, "Zero", 26, "Gelatos Proteicos", 29, 8), 8)) + IF(B298="Gelatos Proteicos", (ROUND(Q298,4)&lt;'Tabela de ingredientes'!$W$28)+(ROUND(Q298,4)&gt;'Tabela de ingredientes'!$W$29), 0) = 0, "Ok", "Revisar"))</f>
        <v/>
      </c>
    </row>
    <row r="299">
      <c r="A299" s="264"/>
      <c r="B299" s="264" t="s">
        <v>187</v>
      </c>
      <c r="C299" s="264" t="s">
        <v>187</v>
      </c>
      <c r="D299" s="264" t="s">
        <v>187</v>
      </c>
      <c r="E299" s="264" t="s">
        <v>187</v>
      </c>
      <c r="F299" s="264" t="s">
        <v>187</v>
      </c>
      <c r="G299" s="264" t="s">
        <v>187</v>
      </c>
      <c r="H299" s="264" t="s">
        <v>187</v>
      </c>
      <c r="I299" s="264" t="s">
        <v>187</v>
      </c>
      <c r="J299" s="264" t="s">
        <v>187</v>
      </c>
      <c r="K299" s="264" t="s">
        <v>187</v>
      </c>
      <c r="L299" s="264" t="s">
        <v>187</v>
      </c>
      <c r="M299" s="264" t="s">
        <v>187</v>
      </c>
      <c r="N299" s="264" t="s">
        <v>187</v>
      </c>
      <c r="O299" s="264" t="s">
        <v>187</v>
      </c>
      <c r="P299" s="264" t="s">
        <v>187</v>
      </c>
      <c r="Q299" s="264" t="s">
        <v>187</v>
      </c>
      <c r="R299" s="264" t="s">
        <v>187</v>
      </c>
      <c r="S299" s="97" t="str">
        <f t="array" ref="S299">IF(A299="","", IF( (ROUND(I299,4) &lt; INDEX('Tabela de ingredientes'!$O$1:$V$30, SWITCH(B299, "Gelatos de Leite", 7, "Sorbets", 10, "Gelatos de Leite com Fruta", 13, "Chocolate base água", 16, "Vegano", 19, "Alcoólicos", 22, "Zero", 25, "Gelatos Proteicos", 28, 7), 1)) + (ROUND(I299,4) &gt; INDEX('Tabela de ingredientes'!$O$1:$V$30, SWITCH(B299, "Gelatos de Leite", 8, "Sorbets", 11, "Gelatos de Leite com Fruta", 14, "Chocolate base água", 17, "Vegano", 20, "Alcoólicos", 23, "Zero", 26, "Gelatos Proteicos", 29, 8), 1)) + (ROUND(J299,4) &lt; INDEX('Tabela de ingredientes'!$O$1:$V$30, SWITCH(B299, "Gelatos de Leite", 7, "Sorbets", 10, "Gelatos de Leite com Fruta", 13, "Chocolate base água", 16, "Vegano", 19, "Alcoólicos", 22, "Zero", 25, "Gelatos Proteicos", 28, 7), 2)) + (ROUND(J299,4) &gt; INDEX('Tabela de ingredientes'!$O$1:$V$30, SWITCH(B299, "Gelatos de Leite", 8, "Sorbets", 11, "Gelatos de Leite com Fruta", 14, "Chocolate base água", 17, "Vegano", 20, "Alcoólicos", 23, "Zero", 26, "Gelatos Proteicos", 29, 8), 2)) + (ROUND(K299,4) &lt; INDEX('Tabela de ingredientes'!$O$1:$V$30, SWITCH(B299, "Gelatos de Leite", 7, "Sorbets", 10, "Gelatos de Leite com Fruta", 13, "Chocolate base água", 16, "Vegano", 19, "Alcoólicos", 22, "Zero", 25, "Gelatos Proteicos", 28, 7), 3)) + (ROUND(K299,4) &gt; INDEX('Tabela de ingredientes'!$O$1:$V$30, SWITCH(B299, "Gelatos de Leite", 8, "Sorbets", 11, "Gelatos de Leite com Fruta", 14, "Chocolate base água", 17, "Vegano", 20, "Alcoólicos", 23, "Zero", 26, "Gelatos Proteicos", 29, 8), 3)) + (ROUND(L299,4) &lt; INDEX('Tabela de ingredientes'!$O$1:$V$30, SWITCH(B299, "Gelatos de Leite", 7, "Sorbets", 10, "Gelatos de Leite com Fruta", 13, "Chocolate base água", 16, "Vegano", 19, "Alcoólicos", 22, "Zero", 25, "Gelatos Proteicos", 28, 7), 4)) + (ROUND(L299,4) &gt; INDEX('Tabela de ingredientes'!$O$1:$V$30, SWITCH(B299, "Gelatos de Leite", 8, "Sorbets", 11, "Gelatos de Leite com Fruta", 14, "Chocolate base água", 17, "Vegano", 20, "Alcoólicos", 23, "Zero", 26, "Gelatos Proteicos", 29, 8), 4)) + (ROUND(M299,4) &lt; INDEX('Tabela de ingredientes'!$O$1:$V$30, SWITCH(B299, "Gelatos de Leite", 7, "Sorbets", 10, "Gelatos de Leite com Fruta", 13, "Chocolate base água", 16, "Vegano", 19, "Alcoólicos", 22, "Zero", 25, "Gelatos Proteicos", 28, 7), 5)) + (ROUND(M299,4) &gt; INDEX('Tabela de ingredientes'!$O$1:$V$30, SWITCH(B299, "Gelatos de Leite", 8, "Sorbets", 11, "Gelatos de Leite com Fruta", 14, "Chocolate base água", 17, "Vegano", 20, "Alcoólicos", 23, "Zero", 26, "Gelatos Proteicos", 29, 8), 5)) + (ROUND(N299,4) &lt; INDEX('Tabela de ingredientes'!$O$1:$V$30, SWITCH(B299, "Gelatos de Leite", 7, "Sorbets", 10, "Gelatos de Leite com Fruta", 13, "Chocolate base água", 16, "Vegano", 19, "Alcoólicos", 22, "Zero", 25, "Gelatos Proteicos", 28, 7), 6)) + (ROUND(N299,4) &gt; INDEX('Tabela de ingredientes'!$O$1:$V$30, SWITCH(B299, "Gelatos de Leite", 8, "Sorbets", 11, "Gelatos de Leite com Fruta", 14, "Chocolate base água", 17, "Vegano", 20, "Alcoólicos", 23, "Zero", 26, "Gelatos Proteicos", 29, 8), 6)) + (ROUND(O299,4) &lt; INDEX('Tabela de ingredientes'!$O$1:$V$30, SWITCH(B299, "Gelatos de Leite", 7, "Sorbets", 10, "Gelatos de Leite com Fruta", 13, "Chocolate base água", 16, "Vegano", 19, "Alcoólicos", 22, "Zero", 25, "Gelatos Proteicos", 28, 7), 7)) + (ROUND(O299,4) &gt; INDEX('Tabela de ingredientes'!$O$1:$V$30, SWITCH(B299, "Gelatos de Leite", 8, "Sorbets", 11, "Gelatos de Leite com Fruta", 14, "Chocolate base água", 17, "Vegano", 20, "Alcoólicos", 23, "Zero", 26, "Gelatos Proteicos", 29, 8), 7)) + (ROUND(P299,4) &lt; INDEX('Tabela de ingredientes'!$O$1:$V$30, SWITCH(B299, "Gelatos de Leite", 7, "Sorbets", 10, "Gelatos de Leite com Fruta", 13, "Chocolate base água", 16, "Vegano", 19, "Alcoólicos", 22, "Zero", 25, "Gelatos Proteicos", 28, 7), 8)) + (ROUND(P299,4) &gt; INDEX('Tabela de ingredientes'!$O$1:$V$30, SWITCH(B299, "Gelatos de Leite", 8, "Sorbets", 11, "Gelatos de Leite com Fruta", 14, "Chocolate base água", 17, "Vegano", 20, "Alcoólicos", 23, "Zero", 26, "Gelatos Proteicos", 29, 8), 8)) + IF(B299="Gelatos Proteicos", (ROUND(Q299,4)&lt;'Tabela de ingredientes'!$W$28)+(ROUND(Q299,4)&gt;'Tabela de ingredientes'!$W$29), 0) = 0, "Ok", "Revisar"))</f>
        <v/>
      </c>
    </row>
    <row r="300">
      <c r="A300" s="264"/>
      <c r="B300" s="264" t="s">
        <v>187</v>
      </c>
      <c r="C300" s="264" t="s">
        <v>187</v>
      </c>
      <c r="D300" s="264" t="s">
        <v>187</v>
      </c>
      <c r="E300" s="264" t="s">
        <v>187</v>
      </c>
      <c r="F300" s="264" t="s">
        <v>187</v>
      </c>
      <c r="G300" s="264" t="s">
        <v>187</v>
      </c>
      <c r="H300" s="264" t="s">
        <v>187</v>
      </c>
      <c r="I300" s="264" t="s">
        <v>187</v>
      </c>
      <c r="J300" s="264" t="s">
        <v>187</v>
      </c>
      <c r="K300" s="264" t="s">
        <v>187</v>
      </c>
      <c r="L300" s="264" t="s">
        <v>187</v>
      </c>
      <c r="M300" s="264" t="s">
        <v>187</v>
      </c>
      <c r="N300" s="264" t="s">
        <v>187</v>
      </c>
      <c r="O300" s="264" t="s">
        <v>187</v>
      </c>
      <c r="P300" s="264" t="s">
        <v>187</v>
      </c>
      <c r="Q300" s="264" t="s">
        <v>187</v>
      </c>
      <c r="R300" s="264" t="s">
        <v>187</v>
      </c>
      <c r="S300" s="97" t="str">
        <f t="array" ref="S300">IF(A300="","", IF( (ROUND(I300,4) &lt; INDEX('Tabela de ingredientes'!$O$1:$V$30, SWITCH(B300, "Gelatos de Leite", 7, "Sorbets", 10, "Gelatos de Leite com Fruta", 13, "Chocolate base água", 16, "Vegano", 19, "Alcoólicos", 22, "Zero", 25, "Gelatos Proteicos", 28, 7), 1)) + (ROUND(I300,4) &gt; INDEX('Tabela de ingredientes'!$O$1:$V$30, SWITCH(B300, "Gelatos de Leite", 8, "Sorbets", 11, "Gelatos de Leite com Fruta", 14, "Chocolate base água", 17, "Vegano", 20, "Alcoólicos", 23, "Zero", 26, "Gelatos Proteicos", 29, 8), 1)) + (ROUND(J300,4) &lt; INDEX('Tabela de ingredientes'!$O$1:$V$30, SWITCH(B300, "Gelatos de Leite", 7, "Sorbets", 10, "Gelatos de Leite com Fruta", 13, "Chocolate base água", 16, "Vegano", 19, "Alcoólicos", 22, "Zero", 25, "Gelatos Proteicos", 28, 7), 2)) + (ROUND(J300,4) &gt; INDEX('Tabela de ingredientes'!$O$1:$V$30, SWITCH(B300, "Gelatos de Leite", 8, "Sorbets", 11, "Gelatos de Leite com Fruta", 14, "Chocolate base água", 17, "Vegano", 20, "Alcoólicos", 23, "Zero", 26, "Gelatos Proteicos", 29, 8), 2)) + (ROUND(K300,4) &lt; INDEX('Tabela de ingredientes'!$O$1:$V$30, SWITCH(B300, "Gelatos de Leite", 7, "Sorbets", 10, "Gelatos de Leite com Fruta", 13, "Chocolate base água", 16, "Vegano", 19, "Alcoólicos", 22, "Zero", 25, "Gelatos Proteicos", 28, 7), 3)) + (ROUND(K300,4) &gt; INDEX('Tabela de ingredientes'!$O$1:$V$30, SWITCH(B300, "Gelatos de Leite", 8, "Sorbets", 11, "Gelatos de Leite com Fruta", 14, "Chocolate base água", 17, "Vegano", 20, "Alcoólicos", 23, "Zero", 26, "Gelatos Proteicos", 29, 8), 3)) + (ROUND(L300,4) &lt; INDEX('Tabela de ingredientes'!$O$1:$V$30, SWITCH(B300, "Gelatos de Leite", 7, "Sorbets", 10, "Gelatos de Leite com Fruta", 13, "Chocolate base água", 16, "Vegano", 19, "Alcoólicos", 22, "Zero", 25, "Gelatos Proteicos", 28, 7), 4)) + (ROUND(L300,4) &gt; INDEX('Tabela de ingredientes'!$O$1:$V$30, SWITCH(B300, "Gelatos de Leite", 8, "Sorbets", 11, "Gelatos de Leite com Fruta", 14, "Chocolate base água", 17, "Vegano", 20, "Alcoólicos", 23, "Zero", 26, "Gelatos Proteicos", 29, 8), 4)) + (ROUND(M300,4) &lt; INDEX('Tabela de ingredientes'!$O$1:$V$30, SWITCH(B300, "Gelatos de Leite", 7, "Sorbets", 10, "Gelatos de Leite com Fruta", 13, "Chocolate base água", 16, "Vegano", 19, "Alcoólicos", 22, "Zero", 25, "Gelatos Proteicos", 28, 7), 5)) + (ROUND(M300,4) &gt; INDEX('Tabela de ingredientes'!$O$1:$V$30, SWITCH(B300, "Gelatos de Leite", 8, "Sorbets", 11, "Gelatos de Leite com Fruta", 14, "Chocolate base água", 17, "Vegano", 20, "Alcoólicos", 23, "Zero", 26, "Gelatos Proteicos", 29, 8), 5)) + (ROUND(N300,4) &lt; INDEX('Tabela de ingredientes'!$O$1:$V$30, SWITCH(B300, "Gelatos de Leite", 7, "Sorbets", 10, "Gelatos de Leite com Fruta", 13, "Chocolate base água", 16, "Vegano", 19, "Alcoólicos", 22, "Zero", 25, "Gelatos Proteicos", 28, 7), 6)) + (ROUND(N300,4) &gt; INDEX('Tabela de ingredientes'!$O$1:$V$30, SWITCH(B300, "Gelatos de Leite", 8, "Sorbets", 11, "Gelatos de Leite com Fruta", 14, "Chocolate base água", 17, "Vegano", 20, "Alcoólicos", 23, "Zero", 26, "Gelatos Proteicos", 29, 8), 6)) + (ROUND(O300,4) &lt; INDEX('Tabela de ingredientes'!$O$1:$V$30, SWITCH(B300, "Gelatos de Leite", 7, "Sorbets", 10, "Gelatos de Leite com Fruta", 13, "Chocolate base água", 16, "Vegano", 19, "Alcoólicos", 22, "Zero", 25, "Gelatos Proteicos", 28, 7), 7)) + (ROUND(O300,4) &gt; INDEX('Tabela de ingredientes'!$O$1:$V$30, SWITCH(B300, "Gelatos de Leite", 8, "Sorbets", 11, "Gelatos de Leite com Fruta", 14, "Chocolate base água", 17, "Vegano", 20, "Alcoólicos", 23, "Zero", 26, "Gelatos Proteicos", 29, 8), 7)) + (ROUND(P300,4) &lt; INDEX('Tabela de ingredientes'!$O$1:$V$30, SWITCH(B300, "Gelatos de Leite", 7, "Sorbets", 10, "Gelatos de Leite com Fruta", 13, "Chocolate base água", 16, "Vegano", 19, "Alcoólicos", 22, "Zero", 25, "Gelatos Proteicos", 28, 7), 8)) + (ROUND(P300,4) &gt; INDEX('Tabela de ingredientes'!$O$1:$V$30, SWITCH(B300, "Gelatos de Leite", 8, "Sorbets", 11, "Gelatos de Leite com Fruta", 14, "Chocolate base água", 17, "Vegano", 20, "Alcoólicos", 23, "Zero", 26, "Gelatos Proteicos", 29, 8), 8)) + IF(B300="Gelatos Proteicos", (ROUND(Q300,4)&lt;'Tabela de ingredientes'!$W$28)+(ROUND(Q300,4)&gt;'Tabela de ingredientes'!$W$29), 0) = 0, "Ok", "Revisar"))</f>
        <v/>
      </c>
    </row>
    <row r="301">
      <c r="A301" s="264"/>
      <c r="B301" s="264" t="s">
        <v>187</v>
      </c>
      <c r="C301" s="264" t="s">
        <v>187</v>
      </c>
      <c r="D301" s="264" t="s">
        <v>187</v>
      </c>
      <c r="E301" s="264" t="s">
        <v>187</v>
      </c>
      <c r="F301" s="264" t="s">
        <v>187</v>
      </c>
      <c r="G301" s="264" t="s">
        <v>187</v>
      </c>
      <c r="H301" s="264" t="s">
        <v>187</v>
      </c>
      <c r="I301" s="264" t="s">
        <v>187</v>
      </c>
      <c r="J301" s="264" t="s">
        <v>187</v>
      </c>
      <c r="K301" s="264" t="s">
        <v>187</v>
      </c>
      <c r="L301" s="264" t="s">
        <v>187</v>
      </c>
      <c r="M301" s="264" t="s">
        <v>187</v>
      </c>
      <c r="N301" s="264" t="s">
        <v>187</v>
      </c>
      <c r="O301" s="264" t="s">
        <v>187</v>
      </c>
      <c r="P301" s="264" t="s">
        <v>187</v>
      </c>
      <c r="Q301" s="264" t="s">
        <v>187</v>
      </c>
      <c r="R301" s="264" t="s">
        <v>187</v>
      </c>
      <c r="S301" s="97" t="str">
        <f t="array" ref="S301">IF(A301="","", IF( (ROUND(I301,4) &lt; INDEX('Tabela de ingredientes'!$O$1:$V$30, SWITCH(B301, "Gelatos de Leite", 7, "Sorbets", 10, "Gelatos de Leite com Fruta", 13, "Chocolate base água", 16, "Vegano", 19, "Alcoólicos", 22, "Zero", 25, "Gelatos Proteicos", 28, 7), 1)) + (ROUND(I301,4) &gt; INDEX('Tabela de ingredientes'!$O$1:$V$30, SWITCH(B301, "Gelatos de Leite", 8, "Sorbets", 11, "Gelatos de Leite com Fruta", 14, "Chocolate base água", 17, "Vegano", 20, "Alcoólicos", 23, "Zero", 26, "Gelatos Proteicos", 29, 8), 1)) + (ROUND(J301,4) &lt; INDEX('Tabela de ingredientes'!$O$1:$V$30, SWITCH(B301, "Gelatos de Leite", 7, "Sorbets", 10, "Gelatos de Leite com Fruta", 13, "Chocolate base água", 16, "Vegano", 19, "Alcoólicos", 22, "Zero", 25, "Gelatos Proteicos", 28, 7), 2)) + (ROUND(J301,4) &gt; INDEX('Tabela de ingredientes'!$O$1:$V$30, SWITCH(B301, "Gelatos de Leite", 8, "Sorbets", 11, "Gelatos de Leite com Fruta", 14, "Chocolate base água", 17, "Vegano", 20, "Alcoólicos", 23, "Zero", 26, "Gelatos Proteicos", 29, 8), 2)) + (ROUND(K301,4) &lt; INDEX('Tabela de ingredientes'!$O$1:$V$30, SWITCH(B301, "Gelatos de Leite", 7, "Sorbets", 10, "Gelatos de Leite com Fruta", 13, "Chocolate base água", 16, "Vegano", 19, "Alcoólicos", 22, "Zero", 25, "Gelatos Proteicos", 28, 7), 3)) + (ROUND(K301,4) &gt; INDEX('Tabela de ingredientes'!$O$1:$V$30, SWITCH(B301, "Gelatos de Leite", 8, "Sorbets", 11, "Gelatos de Leite com Fruta", 14, "Chocolate base água", 17, "Vegano", 20, "Alcoólicos", 23, "Zero", 26, "Gelatos Proteicos", 29, 8), 3)) + (ROUND(L301,4) &lt; INDEX('Tabela de ingredientes'!$O$1:$V$30, SWITCH(B301, "Gelatos de Leite", 7, "Sorbets", 10, "Gelatos de Leite com Fruta", 13, "Chocolate base água", 16, "Vegano", 19, "Alcoólicos", 22, "Zero", 25, "Gelatos Proteicos", 28, 7), 4)) + (ROUND(L301,4) &gt; INDEX('Tabela de ingredientes'!$O$1:$V$30, SWITCH(B301, "Gelatos de Leite", 8, "Sorbets", 11, "Gelatos de Leite com Fruta", 14, "Chocolate base água", 17, "Vegano", 20, "Alcoólicos", 23, "Zero", 26, "Gelatos Proteicos", 29, 8), 4)) + (ROUND(M301,4) &lt; INDEX('Tabela de ingredientes'!$O$1:$V$30, SWITCH(B301, "Gelatos de Leite", 7, "Sorbets", 10, "Gelatos de Leite com Fruta", 13, "Chocolate base água", 16, "Vegano", 19, "Alcoólicos", 22, "Zero", 25, "Gelatos Proteicos", 28, 7), 5)) + (ROUND(M301,4) &gt; INDEX('Tabela de ingredientes'!$O$1:$V$30, SWITCH(B301, "Gelatos de Leite", 8, "Sorbets", 11, "Gelatos de Leite com Fruta", 14, "Chocolate base água", 17, "Vegano", 20, "Alcoólicos", 23, "Zero", 26, "Gelatos Proteicos", 29, 8), 5)) + (ROUND(N301,4) &lt; INDEX('Tabela de ingredientes'!$O$1:$V$30, SWITCH(B301, "Gelatos de Leite", 7, "Sorbets", 10, "Gelatos de Leite com Fruta", 13, "Chocolate base água", 16, "Vegano", 19, "Alcoólicos", 22, "Zero", 25, "Gelatos Proteicos", 28, 7), 6)) + (ROUND(N301,4) &gt; INDEX('Tabela de ingredientes'!$O$1:$V$30, SWITCH(B301, "Gelatos de Leite", 8, "Sorbets", 11, "Gelatos de Leite com Fruta", 14, "Chocolate base água", 17, "Vegano", 20, "Alcoólicos", 23, "Zero", 26, "Gelatos Proteicos", 29, 8), 6)) + (ROUND(O301,4) &lt; INDEX('Tabela de ingredientes'!$O$1:$V$30, SWITCH(B301, "Gelatos de Leite", 7, "Sorbets", 10, "Gelatos de Leite com Fruta", 13, "Chocolate base água", 16, "Vegano", 19, "Alcoólicos", 22, "Zero", 25, "Gelatos Proteicos", 28, 7), 7)) + (ROUND(O301,4) &gt; INDEX('Tabela de ingredientes'!$O$1:$V$30, SWITCH(B301, "Gelatos de Leite", 8, "Sorbets", 11, "Gelatos de Leite com Fruta", 14, "Chocolate base água", 17, "Vegano", 20, "Alcoólicos", 23, "Zero", 26, "Gelatos Proteicos", 29, 8), 7)) + (ROUND(P301,4) &lt; INDEX('Tabela de ingredientes'!$O$1:$V$30, SWITCH(B301, "Gelatos de Leite", 7, "Sorbets", 10, "Gelatos de Leite com Fruta", 13, "Chocolate base água", 16, "Vegano", 19, "Alcoólicos", 22, "Zero", 25, "Gelatos Proteicos", 28, 7), 8)) + (ROUND(P301,4) &gt; INDEX('Tabela de ingredientes'!$O$1:$V$30, SWITCH(B301, "Gelatos de Leite", 8, "Sorbets", 11, "Gelatos de Leite com Fruta", 14, "Chocolate base água", 17, "Vegano", 20, "Alcoólicos", 23, "Zero", 26, "Gelatos Proteicos", 29, 8), 8)) + IF(B301="Gelatos Proteicos", (ROUND(Q301,4)&lt;'Tabela de ingredientes'!$W$28)+(ROUND(Q301,4)&gt;'Tabela de ingredientes'!$W$29), 0) = 0, "Ok", "Revisar"))</f>
        <v/>
      </c>
    </row>
    <row r="302">
      <c r="A302" s="264"/>
      <c r="B302" s="264" t="s">
        <v>187</v>
      </c>
      <c r="C302" s="264" t="s">
        <v>187</v>
      </c>
      <c r="D302" s="264" t="s">
        <v>187</v>
      </c>
      <c r="E302" s="264" t="s">
        <v>187</v>
      </c>
      <c r="F302" s="264" t="s">
        <v>187</v>
      </c>
      <c r="G302" s="264" t="s">
        <v>187</v>
      </c>
      <c r="H302" s="264" t="s">
        <v>187</v>
      </c>
      <c r="I302" s="264" t="s">
        <v>187</v>
      </c>
      <c r="J302" s="264" t="s">
        <v>187</v>
      </c>
      <c r="K302" s="264" t="s">
        <v>187</v>
      </c>
      <c r="L302" s="264" t="s">
        <v>187</v>
      </c>
      <c r="M302" s="264" t="s">
        <v>187</v>
      </c>
      <c r="N302" s="264" t="s">
        <v>187</v>
      </c>
      <c r="O302" s="264" t="s">
        <v>187</v>
      </c>
      <c r="P302" s="264" t="s">
        <v>187</v>
      </c>
      <c r="Q302" s="264" t="s">
        <v>187</v>
      </c>
      <c r="R302" s="264" t="s">
        <v>187</v>
      </c>
      <c r="S302" s="97" t="str">
        <f t="array" ref="S302">IF(A302="","", IF( (ROUND(I302,4) &lt; INDEX('Tabela de ingredientes'!$O$1:$V$30, SWITCH(B302, "Gelatos de Leite", 7, "Sorbets", 10, "Gelatos de Leite com Fruta", 13, "Chocolate base água", 16, "Vegano", 19, "Alcoólicos", 22, "Zero", 25, "Gelatos Proteicos", 28, 7), 1)) + (ROUND(I302,4) &gt; INDEX('Tabela de ingredientes'!$O$1:$V$30, SWITCH(B302, "Gelatos de Leite", 8, "Sorbets", 11, "Gelatos de Leite com Fruta", 14, "Chocolate base água", 17, "Vegano", 20, "Alcoólicos", 23, "Zero", 26, "Gelatos Proteicos", 29, 8), 1)) + (ROUND(J302,4) &lt; INDEX('Tabela de ingredientes'!$O$1:$V$30, SWITCH(B302, "Gelatos de Leite", 7, "Sorbets", 10, "Gelatos de Leite com Fruta", 13, "Chocolate base água", 16, "Vegano", 19, "Alcoólicos", 22, "Zero", 25, "Gelatos Proteicos", 28, 7), 2)) + (ROUND(J302,4) &gt; INDEX('Tabela de ingredientes'!$O$1:$V$30, SWITCH(B302, "Gelatos de Leite", 8, "Sorbets", 11, "Gelatos de Leite com Fruta", 14, "Chocolate base água", 17, "Vegano", 20, "Alcoólicos", 23, "Zero", 26, "Gelatos Proteicos", 29, 8), 2)) + (ROUND(K302,4) &lt; INDEX('Tabela de ingredientes'!$O$1:$V$30, SWITCH(B302, "Gelatos de Leite", 7, "Sorbets", 10, "Gelatos de Leite com Fruta", 13, "Chocolate base água", 16, "Vegano", 19, "Alcoólicos", 22, "Zero", 25, "Gelatos Proteicos", 28, 7), 3)) + (ROUND(K302,4) &gt; INDEX('Tabela de ingredientes'!$O$1:$V$30, SWITCH(B302, "Gelatos de Leite", 8, "Sorbets", 11, "Gelatos de Leite com Fruta", 14, "Chocolate base água", 17, "Vegano", 20, "Alcoólicos", 23, "Zero", 26, "Gelatos Proteicos", 29, 8), 3)) + (ROUND(L302,4) &lt; INDEX('Tabela de ingredientes'!$O$1:$V$30, SWITCH(B302, "Gelatos de Leite", 7, "Sorbets", 10, "Gelatos de Leite com Fruta", 13, "Chocolate base água", 16, "Vegano", 19, "Alcoólicos", 22, "Zero", 25, "Gelatos Proteicos", 28, 7), 4)) + (ROUND(L302,4) &gt; INDEX('Tabela de ingredientes'!$O$1:$V$30, SWITCH(B302, "Gelatos de Leite", 8, "Sorbets", 11, "Gelatos de Leite com Fruta", 14, "Chocolate base água", 17, "Vegano", 20, "Alcoólicos", 23, "Zero", 26, "Gelatos Proteicos", 29, 8), 4)) + (ROUND(M302,4) &lt; INDEX('Tabela de ingredientes'!$O$1:$V$30, SWITCH(B302, "Gelatos de Leite", 7, "Sorbets", 10, "Gelatos de Leite com Fruta", 13, "Chocolate base água", 16, "Vegano", 19, "Alcoólicos", 22, "Zero", 25, "Gelatos Proteicos", 28, 7), 5)) + (ROUND(M302,4) &gt; INDEX('Tabela de ingredientes'!$O$1:$V$30, SWITCH(B302, "Gelatos de Leite", 8, "Sorbets", 11, "Gelatos de Leite com Fruta", 14, "Chocolate base água", 17, "Vegano", 20, "Alcoólicos", 23, "Zero", 26, "Gelatos Proteicos", 29, 8), 5)) + (ROUND(N302,4) &lt; INDEX('Tabela de ingredientes'!$O$1:$V$30, SWITCH(B302, "Gelatos de Leite", 7, "Sorbets", 10, "Gelatos de Leite com Fruta", 13, "Chocolate base água", 16, "Vegano", 19, "Alcoólicos", 22, "Zero", 25, "Gelatos Proteicos", 28, 7), 6)) + (ROUND(N302,4) &gt; INDEX('Tabela de ingredientes'!$O$1:$V$30, SWITCH(B302, "Gelatos de Leite", 8, "Sorbets", 11, "Gelatos de Leite com Fruta", 14, "Chocolate base água", 17, "Vegano", 20, "Alcoólicos", 23, "Zero", 26, "Gelatos Proteicos", 29, 8), 6)) + (ROUND(O302,4) &lt; INDEX('Tabela de ingredientes'!$O$1:$V$30, SWITCH(B302, "Gelatos de Leite", 7, "Sorbets", 10, "Gelatos de Leite com Fruta", 13, "Chocolate base água", 16, "Vegano", 19, "Alcoólicos", 22, "Zero", 25, "Gelatos Proteicos", 28, 7), 7)) + (ROUND(O302,4) &gt; INDEX('Tabela de ingredientes'!$O$1:$V$30, SWITCH(B302, "Gelatos de Leite", 8, "Sorbets", 11, "Gelatos de Leite com Fruta", 14, "Chocolate base água", 17, "Vegano", 20, "Alcoólicos", 23, "Zero", 26, "Gelatos Proteicos", 29, 8), 7)) + (ROUND(P302,4) &lt; INDEX('Tabela de ingredientes'!$O$1:$V$30, SWITCH(B302, "Gelatos de Leite", 7, "Sorbets", 10, "Gelatos de Leite com Fruta", 13, "Chocolate base água", 16, "Vegano", 19, "Alcoólicos", 22, "Zero", 25, "Gelatos Proteicos", 28, 7), 8)) + (ROUND(P302,4) &gt; INDEX('Tabela de ingredientes'!$O$1:$V$30, SWITCH(B302, "Gelatos de Leite", 8, "Sorbets", 11, "Gelatos de Leite com Fruta", 14, "Chocolate base água", 17, "Vegano", 20, "Alcoólicos", 23, "Zero", 26, "Gelatos Proteicos", 29, 8), 8)) + IF(B302="Gelatos Proteicos", (ROUND(Q302,4)&lt;'Tabela de ingredientes'!$W$28)+(ROUND(Q302,4)&gt;'Tabela de ingredientes'!$W$29), 0) = 0, "Ok", "Revisar"))</f>
        <v/>
      </c>
    </row>
    <row r="303">
      <c r="A303" s="264"/>
      <c r="B303" s="264" t="s">
        <v>187</v>
      </c>
      <c r="C303" s="264" t="s">
        <v>187</v>
      </c>
      <c r="D303" s="264" t="s">
        <v>187</v>
      </c>
      <c r="E303" s="264" t="s">
        <v>187</v>
      </c>
      <c r="F303" s="264" t="s">
        <v>187</v>
      </c>
      <c r="G303" s="264" t="s">
        <v>187</v>
      </c>
      <c r="H303" s="264" t="s">
        <v>187</v>
      </c>
      <c r="I303" s="264" t="s">
        <v>187</v>
      </c>
      <c r="J303" s="264" t="s">
        <v>187</v>
      </c>
      <c r="K303" s="264" t="s">
        <v>187</v>
      </c>
      <c r="L303" s="264" t="s">
        <v>187</v>
      </c>
      <c r="M303" s="264" t="s">
        <v>187</v>
      </c>
      <c r="N303" s="264" t="s">
        <v>187</v>
      </c>
      <c r="O303" s="264" t="s">
        <v>187</v>
      </c>
      <c r="P303" s="264" t="s">
        <v>187</v>
      </c>
      <c r="Q303" s="264" t="s">
        <v>187</v>
      </c>
      <c r="R303" s="264" t="s">
        <v>187</v>
      </c>
      <c r="S303" s="97" t="str">
        <f t="array" ref="S303">IF(A303="","", IF( (ROUND(I303,4) &lt; INDEX('Tabela de ingredientes'!$O$1:$V$30, SWITCH(B303, "Gelatos de Leite", 7, "Sorbets", 10, "Gelatos de Leite com Fruta", 13, "Chocolate base água", 16, "Vegano", 19, "Alcoólicos", 22, "Zero", 25, "Gelatos Proteicos", 28, 7), 1)) + (ROUND(I303,4) &gt; INDEX('Tabela de ingredientes'!$O$1:$V$30, SWITCH(B303, "Gelatos de Leite", 8, "Sorbets", 11, "Gelatos de Leite com Fruta", 14, "Chocolate base água", 17, "Vegano", 20, "Alcoólicos", 23, "Zero", 26, "Gelatos Proteicos", 29, 8), 1)) + (ROUND(J303,4) &lt; INDEX('Tabela de ingredientes'!$O$1:$V$30, SWITCH(B303, "Gelatos de Leite", 7, "Sorbets", 10, "Gelatos de Leite com Fruta", 13, "Chocolate base água", 16, "Vegano", 19, "Alcoólicos", 22, "Zero", 25, "Gelatos Proteicos", 28, 7), 2)) + (ROUND(J303,4) &gt; INDEX('Tabela de ingredientes'!$O$1:$V$30, SWITCH(B303, "Gelatos de Leite", 8, "Sorbets", 11, "Gelatos de Leite com Fruta", 14, "Chocolate base água", 17, "Vegano", 20, "Alcoólicos", 23, "Zero", 26, "Gelatos Proteicos", 29, 8), 2)) + (ROUND(K303,4) &lt; INDEX('Tabela de ingredientes'!$O$1:$V$30, SWITCH(B303, "Gelatos de Leite", 7, "Sorbets", 10, "Gelatos de Leite com Fruta", 13, "Chocolate base água", 16, "Vegano", 19, "Alcoólicos", 22, "Zero", 25, "Gelatos Proteicos", 28, 7), 3)) + (ROUND(K303,4) &gt; INDEX('Tabela de ingredientes'!$O$1:$V$30, SWITCH(B303, "Gelatos de Leite", 8, "Sorbets", 11, "Gelatos de Leite com Fruta", 14, "Chocolate base água", 17, "Vegano", 20, "Alcoólicos", 23, "Zero", 26, "Gelatos Proteicos", 29, 8), 3)) + (ROUND(L303,4) &lt; INDEX('Tabela de ingredientes'!$O$1:$V$30, SWITCH(B303, "Gelatos de Leite", 7, "Sorbets", 10, "Gelatos de Leite com Fruta", 13, "Chocolate base água", 16, "Vegano", 19, "Alcoólicos", 22, "Zero", 25, "Gelatos Proteicos", 28, 7), 4)) + (ROUND(L303,4) &gt; INDEX('Tabela de ingredientes'!$O$1:$V$30, SWITCH(B303, "Gelatos de Leite", 8, "Sorbets", 11, "Gelatos de Leite com Fruta", 14, "Chocolate base água", 17, "Vegano", 20, "Alcoólicos", 23, "Zero", 26, "Gelatos Proteicos", 29, 8), 4)) + (ROUND(M303,4) &lt; INDEX('Tabela de ingredientes'!$O$1:$V$30, SWITCH(B303, "Gelatos de Leite", 7, "Sorbets", 10, "Gelatos de Leite com Fruta", 13, "Chocolate base água", 16, "Vegano", 19, "Alcoólicos", 22, "Zero", 25, "Gelatos Proteicos", 28, 7), 5)) + (ROUND(M303,4) &gt; INDEX('Tabela de ingredientes'!$O$1:$V$30, SWITCH(B303, "Gelatos de Leite", 8, "Sorbets", 11, "Gelatos de Leite com Fruta", 14, "Chocolate base água", 17, "Vegano", 20, "Alcoólicos", 23, "Zero", 26, "Gelatos Proteicos", 29, 8), 5)) + (ROUND(N303,4) &lt; INDEX('Tabela de ingredientes'!$O$1:$V$30, SWITCH(B303, "Gelatos de Leite", 7, "Sorbets", 10, "Gelatos de Leite com Fruta", 13, "Chocolate base água", 16, "Vegano", 19, "Alcoólicos", 22, "Zero", 25, "Gelatos Proteicos", 28, 7), 6)) + (ROUND(N303,4) &gt; INDEX('Tabela de ingredientes'!$O$1:$V$30, SWITCH(B303, "Gelatos de Leite", 8, "Sorbets", 11, "Gelatos de Leite com Fruta", 14, "Chocolate base água", 17, "Vegano", 20, "Alcoólicos", 23, "Zero", 26, "Gelatos Proteicos", 29, 8), 6)) + (ROUND(O303,4) &lt; INDEX('Tabela de ingredientes'!$O$1:$V$30, SWITCH(B303, "Gelatos de Leite", 7, "Sorbets", 10, "Gelatos de Leite com Fruta", 13, "Chocolate base água", 16, "Vegano", 19, "Alcoólicos", 22, "Zero", 25, "Gelatos Proteicos", 28, 7), 7)) + (ROUND(O303,4) &gt; INDEX('Tabela de ingredientes'!$O$1:$V$30, SWITCH(B303, "Gelatos de Leite", 8, "Sorbets", 11, "Gelatos de Leite com Fruta", 14, "Chocolate base água", 17, "Vegano", 20, "Alcoólicos", 23, "Zero", 26, "Gelatos Proteicos", 29, 8), 7)) + (ROUND(P303,4) &lt; INDEX('Tabela de ingredientes'!$O$1:$V$30, SWITCH(B303, "Gelatos de Leite", 7, "Sorbets", 10, "Gelatos de Leite com Fruta", 13, "Chocolate base água", 16, "Vegano", 19, "Alcoólicos", 22, "Zero", 25, "Gelatos Proteicos", 28, 7), 8)) + (ROUND(P303,4) &gt; INDEX('Tabela de ingredientes'!$O$1:$V$30, SWITCH(B303, "Gelatos de Leite", 8, "Sorbets", 11, "Gelatos de Leite com Fruta", 14, "Chocolate base água", 17, "Vegano", 20, "Alcoólicos", 23, "Zero", 26, "Gelatos Proteicos", 29, 8), 8)) + IF(B303="Gelatos Proteicos", (ROUND(Q303,4)&lt;'Tabela de ingredientes'!$W$28)+(ROUND(Q303,4)&gt;'Tabela de ingredientes'!$W$29), 0) = 0, "Ok", "Revisar"))</f>
        <v/>
      </c>
    </row>
    <row r="304">
      <c r="A304" s="264"/>
      <c r="B304" s="264" t="s">
        <v>187</v>
      </c>
      <c r="C304" s="264" t="s">
        <v>187</v>
      </c>
      <c r="D304" s="264" t="s">
        <v>187</v>
      </c>
      <c r="E304" s="264" t="s">
        <v>187</v>
      </c>
      <c r="F304" s="264" t="s">
        <v>187</v>
      </c>
      <c r="G304" s="264" t="s">
        <v>187</v>
      </c>
      <c r="H304" s="264" t="s">
        <v>187</v>
      </c>
      <c r="I304" s="264" t="s">
        <v>187</v>
      </c>
      <c r="J304" s="264" t="s">
        <v>187</v>
      </c>
      <c r="K304" s="264" t="s">
        <v>187</v>
      </c>
      <c r="L304" s="264" t="s">
        <v>187</v>
      </c>
      <c r="M304" s="264" t="s">
        <v>187</v>
      </c>
      <c r="N304" s="264" t="s">
        <v>187</v>
      </c>
      <c r="O304" s="264" t="s">
        <v>187</v>
      </c>
      <c r="P304" s="264" t="s">
        <v>187</v>
      </c>
      <c r="Q304" s="264" t="s">
        <v>187</v>
      </c>
      <c r="R304" s="264" t="s">
        <v>187</v>
      </c>
      <c r="S304" s="97" t="str">
        <f t="array" ref="S304">IF(A304="","", IF( (ROUND(I304,4) &lt; INDEX('Tabela de ingredientes'!$O$1:$V$30, SWITCH(B304, "Gelatos de Leite", 7, "Sorbets", 10, "Gelatos de Leite com Fruta", 13, "Chocolate base água", 16, "Vegano", 19, "Alcoólicos", 22, "Zero", 25, "Gelatos Proteicos", 28, 7), 1)) + (ROUND(I304,4) &gt; INDEX('Tabela de ingredientes'!$O$1:$V$30, SWITCH(B304, "Gelatos de Leite", 8, "Sorbets", 11, "Gelatos de Leite com Fruta", 14, "Chocolate base água", 17, "Vegano", 20, "Alcoólicos", 23, "Zero", 26, "Gelatos Proteicos", 29, 8), 1)) + (ROUND(J304,4) &lt; INDEX('Tabela de ingredientes'!$O$1:$V$30, SWITCH(B304, "Gelatos de Leite", 7, "Sorbets", 10, "Gelatos de Leite com Fruta", 13, "Chocolate base água", 16, "Vegano", 19, "Alcoólicos", 22, "Zero", 25, "Gelatos Proteicos", 28, 7), 2)) + (ROUND(J304,4) &gt; INDEX('Tabela de ingredientes'!$O$1:$V$30, SWITCH(B304, "Gelatos de Leite", 8, "Sorbets", 11, "Gelatos de Leite com Fruta", 14, "Chocolate base água", 17, "Vegano", 20, "Alcoólicos", 23, "Zero", 26, "Gelatos Proteicos", 29, 8), 2)) + (ROUND(K304,4) &lt; INDEX('Tabela de ingredientes'!$O$1:$V$30, SWITCH(B304, "Gelatos de Leite", 7, "Sorbets", 10, "Gelatos de Leite com Fruta", 13, "Chocolate base água", 16, "Vegano", 19, "Alcoólicos", 22, "Zero", 25, "Gelatos Proteicos", 28, 7), 3)) + (ROUND(K304,4) &gt; INDEX('Tabela de ingredientes'!$O$1:$V$30, SWITCH(B304, "Gelatos de Leite", 8, "Sorbets", 11, "Gelatos de Leite com Fruta", 14, "Chocolate base água", 17, "Vegano", 20, "Alcoólicos", 23, "Zero", 26, "Gelatos Proteicos", 29, 8), 3)) + (ROUND(L304,4) &lt; INDEX('Tabela de ingredientes'!$O$1:$V$30, SWITCH(B304, "Gelatos de Leite", 7, "Sorbets", 10, "Gelatos de Leite com Fruta", 13, "Chocolate base água", 16, "Vegano", 19, "Alcoólicos", 22, "Zero", 25, "Gelatos Proteicos", 28, 7), 4)) + (ROUND(L304,4) &gt; INDEX('Tabela de ingredientes'!$O$1:$V$30, SWITCH(B304, "Gelatos de Leite", 8, "Sorbets", 11, "Gelatos de Leite com Fruta", 14, "Chocolate base água", 17, "Vegano", 20, "Alcoólicos", 23, "Zero", 26, "Gelatos Proteicos", 29, 8), 4)) + (ROUND(M304,4) &lt; INDEX('Tabela de ingredientes'!$O$1:$V$30, SWITCH(B304, "Gelatos de Leite", 7, "Sorbets", 10, "Gelatos de Leite com Fruta", 13, "Chocolate base água", 16, "Vegano", 19, "Alcoólicos", 22, "Zero", 25, "Gelatos Proteicos", 28, 7), 5)) + (ROUND(M304,4) &gt; INDEX('Tabela de ingredientes'!$O$1:$V$30, SWITCH(B304, "Gelatos de Leite", 8, "Sorbets", 11, "Gelatos de Leite com Fruta", 14, "Chocolate base água", 17, "Vegano", 20, "Alcoólicos", 23, "Zero", 26, "Gelatos Proteicos", 29, 8), 5)) + (ROUND(N304,4) &lt; INDEX('Tabela de ingredientes'!$O$1:$V$30, SWITCH(B304, "Gelatos de Leite", 7, "Sorbets", 10, "Gelatos de Leite com Fruta", 13, "Chocolate base água", 16, "Vegano", 19, "Alcoólicos", 22, "Zero", 25, "Gelatos Proteicos", 28, 7), 6)) + (ROUND(N304,4) &gt; INDEX('Tabela de ingredientes'!$O$1:$V$30, SWITCH(B304, "Gelatos de Leite", 8, "Sorbets", 11, "Gelatos de Leite com Fruta", 14, "Chocolate base água", 17, "Vegano", 20, "Alcoólicos", 23, "Zero", 26, "Gelatos Proteicos", 29, 8), 6)) + (ROUND(O304,4) &lt; INDEX('Tabela de ingredientes'!$O$1:$V$30, SWITCH(B304, "Gelatos de Leite", 7, "Sorbets", 10, "Gelatos de Leite com Fruta", 13, "Chocolate base água", 16, "Vegano", 19, "Alcoólicos", 22, "Zero", 25, "Gelatos Proteicos", 28, 7), 7)) + (ROUND(O304,4) &gt; INDEX('Tabela de ingredientes'!$O$1:$V$30, SWITCH(B304, "Gelatos de Leite", 8, "Sorbets", 11, "Gelatos de Leite com Fruta", 14, "Chocolate base água", 17, "Vegano", 20, "Alcoólicos", 23, "Zero", 26, "Gelatos Proteicos", 29, 8), 7)) + (ROUND(P304,4) &lt; INDEX('Tabela de ingredientes'!$O$1:$V$30, SWITCH(B304, "Gelatos de Leite", 7, "Sorbets", 10, "Gelatos de Leite com Fruta", 13, "Chocolate base água", 16, "Vegano", 19, "Alcoólicos", 22, "Zero", 25, "Gelatos Proteicos", 28, 7), 8)) + (ROUND(P304,4) &gt; INDEX('Tabela de ingredientes'!$O$1:$V$30, SWITCH(B304, "Gelatos de Leite", 8, "Sorbets", 11, "Gelatos de Leite com Fruta", 14, "Chocolate base água", 17, "Vegano", 20, "Alcoólicos", 23, "Zero", 26, "Gelatos Proteicos", 29, 8), 8)) + IF(B304="Gelatos Proteicos", (ROUND(Q304,4)&lt;'Tabela de ingredientes'!$W$28)+(ROUND(Q304,4)&gt;'Tabela de ingredientes'!$W$29), 0) = 0, "Ok", "Revisar"))</f>
        <v/>
      </c>
    </row>
    <row r="305">
      <c r="A305" s="264"/>
      <c r="B305" s="264" t="s">
        <v>187</v>
      </c>
      <c r="C305" s="264" t="s">
        <v>187</v>
      </c>
      <c r="D305" s="264" t="s">
        <v>187</v>
      </c>
      <c r="E305" s="264" t="s">
        <v>187</v>
      </c>
      <c r="F305" s="264" t="s">
        <v>187</v>
      </c>
      <c r="G305" s="264" t="s">
        <v>187</v>
      </c>
      <c r="H305" s="264" t="s">
        <v>187</v>
      </c>
      <c r="I305" s="264" t="s">
        <v>187</v>
      </c>
      <c r="J305" s="264" t="s">
        <v>187</v>
      </c>
      <c r="K305" s="264" t="s">
        <v>187</v>
      </c>
      <c r="L305" s="264" t="s">
        <v>187</v>
      </c>
      <c r="M305" s="264" t="s">
        <v>187</v>
      </c>
      <c r="N305" s="264" t="s">
        <v>187</v>
      </c>
      <c r="O305" s="264" t="s">
        <v>187</v>
      </c>
      <c r="P305" s="264" t="s">
        <v>187</v>
      </c>
      <c r="Q305" s="264" t="s">
        <v>187</v>
      </c>
      <c r="R305" s="264" t="s">
        <v>187</v>
      </c>
      <c r="S305" s="97" t="str">
        <f t="array" ref="S305">IF(A305="","", IF( (ROUND(I305,4) &lt; INDEX('Tabela de ingredientes'!$O$1:$V$30, SWITCH(B305, "Gelatos de Leite", 7, "Sorbets", 10, "Gelatos de Leite com Fruta", 13, "Chocolate base água", 16, "Vegano", 19, "Alcoólicos", 22, "Zero", 25, "Gelatos Proteicos", 28, 7), 1)) + (ROUND(I305,4) &gt; INDEX('Tabela de ingredientes'!$O$1:$V$30, SWITCH(B305, "Gelatos de Leite", 8, "Sorbets", 11, "Gelatos de Leite com Fruta", 14, "Chocolate base água", 17, "Vegano", 20, "Alcoólicos", 23, "Zero", 26, "Gelatos Proteicos", 29, 8), 1)) + (ROUND(J305,4) &lt; INDEX('Tabela de ingredientes'!$O$1:$V$30, SWITCH(B305, "Gelatos de Leite", 7, "Sorbets", 10, "Gelatos de Leite com Fruta", 13, "Chocolate base água", 16, "Vegano", 19, "Alcoólicos", 22, "Zero", 25, "Gelatos Proteicos", 28, 7), 2)) + (ROUND(J305,4) &gt; INDEX('Tabela de ingredientes'!$O$1:$V$30, SWITCH(B305, "Gelatos de Leite", 8, "Sorbets", 11, "Gelatos de Leite com Fruta", 14, "Chocolate base água", 17, "Vegano", 20, "Alcoólicos", 23, "Zero", 26, "Gelatos Proteicos", 29, 8), 2)) + (ROUND(K305,4) &lt; INDEX('Tabela de ingredientes'!$O$1:$V$30, SWITCH(B305, "Gelatos de Leite", 7, "Sorbets", 10, "Gelatos de Leite com Fruta", 13, "Chocolate base água", 16, "Vegano", 19, "Alcoólicos", 22, "Zero", 25, "Gelatos Proteicos", 28, 7), 3)) + (ROUND(K305,4) &gt; INDEX('Tabela de ingredientes'!$O$1:$V$30, SWITCH(B305, "Gelatos de Leite", 8, "Sorbets", 11, "Gelatos de Leite com Fruta", 14, "Chocolate base água", 17, "Vegano", 20, "Alcoólicos", 23, "Zero", 26, "Gelatos Proteicos", 29, 8), 3)) + (ROUND(L305,4) &lt; INDEX('Tabela de ingredientes'!$O$1:$V$30, SWITCH(B305, "Gelatos de Leite", 7, "Sorbets", 10, "Gelatos de Leite com Fruta", 13, "Chocolate base água", 16, "Vegano", 19, "Alcoólicos", 22, "Zero", 25, "Gelatos Proteicos", 28, 7), 4)) + (ROUND(L305,4) &gt; INDEX('Tabela de ingredientes'!$O$1:$V$30, SWITCH(B305, "Gelatos de Leite", 8, "Sorbets", 11, "Gelatos de Leite com Fruta", 14, "Chocolate base água", 17, "Vegano", 20, "Alcoólicos", 23, "Zero", 26, "Gelatos Proteicos", 29, 8), 4)) + (ROUND(M305,4) &lt; INDEX('Tabela de ingredientes'!$O$1:$V$30, SWITCH(B305, "Gelatos de Leite", 7, "Sorbets", 10, "Gelatos de Leite com Fruta", 13, "Chocolate base água", 16, "Vegano", 19, "Alcoólicos", 22, "Zero", 25, "Gelatos Proteicos", 28, 7), 5)) + (ROUND(M305,4) &gt; INDEX('Tabela de ingredientes'!$O$1:$V$30, SWITCH(B305, "Gelatos de Leite", 8, "Sorbets", 11, "Gelatos de Leite com Fruta", 14, "Chocolate base água", 17, "Vegano", 20, "Alcoólicos", 23, "Zero", 26, "Gelatos Proteicos", 29, 8), 5)) + (ROUND(N305,4) &lt; INDEX('Tabela de ingredientes'!$O$1:$V$30, SWITCH(B305, "Gelatos de Leite", 7, "Sorbets", 10, "Gelatos de Leite com Fruta", 13, "Chocolate base água", 16, "Vegano", 19, "Alcoólicos", 22, "Zero", 25, "Gelatos Proteicos", 28, 7), 6)) + (ROUND(N305,4) &gt; INDEX('Tabela de ingredientes'!$O$1:$V$30, SWITCH(B305, "Gelatos de Leite", 8, "Sorbets", 11, "Gelatos de Leite com Fruta", 14, "Chocolate base água", 17, "Vegano", 20, "Alcoólicos", 23, "Zero", 26, "Gelatos Proteicos", 29, 8), 6)) + (ROUND(O305,4) &lt; INDEX('Tabela de ingredientes'!$O$1:$V$30, SWITCH(B305, "Gelatos de Leite", 7, "Sorbets", 10, "Gelatos de Leite com Fruta", 13, "Chocolate base água", 16, "Vegano", 19, "Alcoólicos", 22, "Zero", 25, "Gelatos Proteicos", 28, 7), 7)) + (ROUND(O305,4) &gt; INDEX('Tabela de ingredientes'!$O$1:$V$30, SWITCH(B305, "Gelatos de Leite", 8, "Sorbets", 11, "Gelatos de Leite com Fruta", 14, "Chocolate base água", 17, "Vegano", 20, "Alcoólicos", 23, "Zero", 26, "Gelatos Proteicos", 29, 8), 7)) + (ROUND(P305,4) &lt; INDEX('Tabela de ingredientes'!$O$1:$V$30, SWITCH(B305, "Gelatos de Leite", 7, "Sorbets", 10, "Gelatos de Leite com Fruta", 13, "Chocolate base água", 16, "Vegano", 19, "Alcoólicos", 22, "Zero", 25, "Gelatos Proteicos", 28, 7), 8)) + (ROUND(P305,4) &gt; INDEX('Tabela de ingredientes'!$O$1:$V$30, SWITCH(B305, "Gelatos de Leite", 8, "Sorbets", 11, "Gelatos de Leite com Fruta", 14, "Chocolate base água", 17, "Vegano", 20, "Alcoólicos", 23, "Zero", 26, "Gelatos Proteicos", 29, 8), 8)) + IF(B305="Gelatos Proteicos", (ROUND(Q305,4)&lt;'Tabela de ingredientes'!$W$28)+(ROUND(Q305,4)&gt;'Tabela de ingredientes'!$W$29), 0) = 0, "Ok", "Revisar"))</f>
        <v/>
      </c>
    </row>
    <row r="306">
      <c r="A306" s="264"/>
      <c r="B306" s="264" t="s">
        <v>187</v>
      </c>
      <c r="C306" s="264" t="s">
        <v>187</v>
      </c>
      <c r="D306" s="264" t="s">
        <v>187</v>
      </c>
      <c r="E306" s="264" t="s">
        <v>187</v>
      </c>
      <c r="F306" s="264" t="s">
        <v>187</v>
      </c>
      <c r="G306" s="264" t="s">
        <v>187</v>
      </c>
      <c r="H306" s="264" t="s">
        <v>187</v>
      </c>
      <c r="I306" s="264" t="s">
        <v>187</v>
      </c>
      <c r="J306" s="264" t="s">
        <v>187</v>
      </c>
      <c r="K306" s="264" t="s">
        <v>187</v>
      </c>
      <c r="L306" s="264" t="s">
        <v>187</v>
      </c>
      <c r="M306" s="264" t="s">
        <v>187</v>
      </c>
      <c r="N306" s="264" t="s">
        <v>187</v>
      </c>
      <c r="O306" s="264" t="s">
        <v>187</v>
      </c>
      <c r="P306" s="264" t="s">
        <v>187</v>
      </c>
      <c r="Q306" s="264" t="s">
        <v>187</v>
      </c>
      <c r="R306" s="264" t="s">
        <v>187</v>
      </c>
      <c r="S306" s="97" t="str">
        <f t="array" ref="S306">IF(A306="","", IF( (ROUND(I306,4) &lt; INDEX('Tabela de ingredientes'!$O$1:$V$30, SWITCH(B306, "Gelatos de Leite", 7, "Sorbets", 10, "Gelatos de Leite com Fruta", 13, "Chocolate base água", 16, "Vegano", 19, "Alcoólicos", 22, "Zero", 25, "Gelatos Proteicos", 28, 7), 1)) + (ROUND(I306,4) &gt; INDEX('Tabela de ingredientes'!$O$1:$V$30, SWITCH(B306, "Gelatos de Leite", 8, "Sorbets", 11, "Gelatos de Leite com Fruta", 14, "Chocolate base água", 17, "Vegano", 20, "Alcoólicos", 23, "Zero", 26, "Gelatos Proteicos", 29, 8), 1)) + (ROUND(J306,4) &lt; INDEX('Tabela de ingredientes'!$O$1:$V$30, SWITCH(B306, "Gelatos de Leite", 7, "Sorbets", 10, "Gelatos de Leite com Fruta", 13, "Chocolate base água", 16, "Vegano", 19, "Alcoólicos", 22, "Zero", 25, "Gelatos Proteicos", 28, 7), 2)) + (ROUND(J306,4) &gt; INDEX('Tabela de ingredientes'!$O$1:$V$30, SWITCH(B306, "Gelatos de Leite", 8, "Sorbets", 11, "Gelatos de Leite com Fruta", 14, "Chocolate base água", 17, "Vegano", 20, "Alcoólicos", 23, "Zero", 26, "Gelatos Proteicos", 29, 8), 2)) + (ROUND(K306,4) &lt; INDEX('Tabela de ingredientes'!$O$1:$V$30, SWITCH(B306, "Gelatos de Leite", 7, "Sorbets", 10, "Gelatos de Leite com Fruta", 13, "Chocolate base água", 16, "Vegano", 19, "Alcoólicos", 22, "Zero", 25, "Gelatos Proteicos", 28, 7), 3)) + (ROUND(K306,4) &gt; INDEX('Tabela de ingredientes'!$O$1:$V$30, SWITCH(B306, "Gelatos de Leite", 8, "Sorbets", 11, "Gelatos de Leite com Fruta", 14, "Chocolate base água", 17, "Vegano", 20, "Alcoólicos", 23, "Zero", 26, "Gelatos Proteicos", 29, 8), 3)) + (ROUND(L306,4) &lt; INDEX('Tabela de ingredientes'!$O$1:$V$30, SWITCH(B306, "Gelatos de Leite", 7, "Sorbets", 10, "Gelatos de Leite com Fruta", 13, "Chocolate base água", 16, "Vegano", 19, "Alcoólicos", 22, "Zero", 25, "Gelatos Proteicos", 28, 7), 4)) + (ROUND(L306,4) &gt; INDEX('Tabela de ingredientes'!$O$1:$V$30, SWITCH(B306, "Gelatos de Leite", 8, "Sorbets", 11, "Gelatos de Leite com Fruta", 14, "Chocolate base água", 17, "Vegano", 20, "Alcoólicos", 23, "Zero", 26, "Gelatos Proteicos", 29, 8), 4)) + (ROUND(M306,4) &lt; INDEX('Tabela de ingredientes'!$O$1:$V$30, SWITCH(B306, "Gelatos de Leite", 7, "Sorbets", 10, "Gelatos de Leite com Fruta", 13, "Chocolate base água", 16, "Vegano", 19, "Alcoólicos", 22, "Zero", 25, "Gelatos Proteicos", 28, 7), 5)) + (ROUND(M306,4) &gt; INDEX('Tabela de ingredientes'!$O$1:$V$30, SWITCH(B306, "Gelatos de Leite", 8, "Sorbets", 11, "Gelatos de Leite com Fruta", 14, "Chocolate base água", 17, "Vegano", 20, "Alcoólicos", 23, "Zero", 26, "Gelatos Proteicos", 29, 8), 5)) + (ROUND(N306,4) &lt; INDEX('Tabela de ingredientes'!$O$1:$V$30, SWITCH(B306, "Gelatos de Leite", 7, "Sorbets", 10, "Gelatos de Leite com Fruta", 13, "Chocolate base água", 16, "Vegano", 19, "Alcoólicos", 22, "Zero", 25, "Gelatos Proteicos", 28, 7), 6)) + (ROUND(N306,4) &gt; INDEX('Tabela de ingredientes'!$O$1:$V$30, SWITCH(B306, "Gelatos de Leite", 8, "Sorbets", 11, "Gelatos de Leite com Fruta", 14, "Chocolate base água", 17, "Vegano", 20, "Alcoólicos", 23, "Zero", 26, "Gelatos Proteicos", 29, 8), 6)) + (ROUND(O306,4) &lt; INDEX('Tabela de ingredientes'!$O$1:$V$30, SWITCH(B306, "Gelatos de Leite", 7, "Sorbets", 10, "Gelatos de Leite com Fruta", 13, "Chocolate base água", 16, "Vegano", 19, "Alcoólicos", 22, "Zero", 25, "Gelatos Proteicos", 28, 7), 7)) + (ROUND(O306,4) &gt; INDEX('Tabela de ingredientes'!$O$1:$V$30, SWITCH(B306, "Gelatos de Leite", 8, "Sorbets", 11, "Gelatos de Leite com Fruta", 14, "Chocolate base água", 17, "Vegano", 20, "Alcoólicos", 23, "Zero", 26, "Gelatos Proteicos", 29, 8), 7)) + (ROUND(P306,4) &lt; INDEX('Tabela de ingredientes'!$O$1:$V$30, SWITCH(B306, "Gelatos de Leite", 7, "Sorbets", 10, "Gelatos de Leite com Fruta", 13, "Chocolate base água", 16, "Vegano", 19, "Alcoólicos", 22, "Zero", 25, "Gelatos Proteicos", 28, 7), 8)) + (ROUND(P306,4) &gt; INDEX('Tabela de ingredientes'!$O$1:$V$30, SWITCH(B306, "Gelatos de Leite", 8, "Sorbets", 11, "Gelatos de Leite com Fruta", 14, "Chocolate base água", 17, "Vegano", 20, "Alcoólicos", 23, "Zero", 26, "Gelatos Proteicos", 29, 8), 8)) + IF(B306="Gelatos Proteicos", (ROUND(Q306,4)&lt;'Tabela de ingredientes'!$W$28)+(ROUND(Q306,4)&gt;'Tabela de ingredientes'!$W$29), 0) = 0, "Ok", "Revisar"))</f>
        <v/>
      </c>
    </row>
    <row r="307">
      <c r="A307" s="264"/>
      <c r="B307" s="264" t="s">
        <v>187</v>
      </c>
      <c r="C307" s="264" t="s">
        <v>187</v>
      </c>
      <c r="D307" s="264" t="s">
        <v>187</v>
      </c>
      <c r="E307" s="264" t="s">
        <v>187</v>
      </c>
      <c r="F307" s="264" t="s">
        <v>187</v>
      </c>
      <c r="G307" s="264" t="s">
        <v>187</v>
      </c>
      <c r="H307" s="264" t="s">
        <v>187</v>
      </c>
      <c r="I307" s="264" t="s">
        <v>187</v>
      </c>
      <c r="J307" s="264" t="s">
        <v>187</v>
      </c>
      <c r="K307" s="264" t="s">
        <v>187</v>
      </c>
      <c r="L307" s="264" t="s">
        <v>187</v>
      </c>
      <c r="M307" s="264" t="s">
        <v>187</v>
      </c>
      <c r="N307" s="264" t="s">
        <v>187</v>
      </c>
      <c r="O307" s="264" t="s">
        <v>187</v>
      </c>
      <c r="P307" s="264" t="s">
        <v>187</v>
      </c>
      <c r="Q307" s="264" t="s">
        <v>187</v>
      </c>
      <c r="R307" s="264" t="s">
        <v>187</v>
      </c>
      <c r="S307" s="97" t="str">
        <f t="array" ref="S307">IF(A307="","", IF( (ROUND(I307,4) &lt; INDEX('Tabela de ingredientes'!$O$1:$V$30, SWITCH(B307, "Gelatos de Leite", 7, "Sorbets", 10, "Gelatos de Leite com Fruta", 13, "Chocolate base água", 16, "Vegano", 19, "Alcoólicos", 22, "Zero", 25, "Gelatos Proteicos", 28, 7), 1)) + (ROUND(I307,4) &gt; INDEX('Tabela de ingredientes'!$O$1:$V$30, SWITCH(B307, "Gelatos de Leite", 8, "Sorbets", 11, "Gelatos de Leite com Fruta", 14, "Chocolate base água", 17, "Vegano", 20, "Alcoólicos", 23, "Zero", 26, "Gelatos Proteicos", 29, 8), 1)) + (ROUND(J307,4) &lt; INDEX('Tabela de ingredientes'!$O$1:$V$30, SWITCH(B307, "Gelatos de Leite", 7, "Sorbets", 10, "Gelatos de Leite com Fruta", 13, "Chocolate base água", 16, "Vegano", 19, "Alcoólicos", 22, "Zero", 25, "Gelatos Proteicos", 28, 7), 2)) + (ROUND(J307,4) &gt; INDEX('Tabela de ingredientes'!$O$1:$V$30, SWITCH(B307, "Gelatos de Leite", 8, "Sorbets", 11, "Gelatos de Leite com Fruta", 14, "Chocolate base água", 17, "Vegano", 20, "Alcoólicos", 23, "Zero", 26, "Gelatos Proteicos", 29, 8), 2)) + (ROUND(K307,4) &lt; INDEX('Tabela de ingredientes'!$O$1:$V$30, SWITCH(B307, "Gelatos de Leite", 7, "Sorbets", 10, "Gelatos de Leite com Fruta", 13, "Chocolate base água", 16, "Vegano", 19, "Alcoólicos", 22, "Zero", 25, "Gelatos Proteicos", 28, 7), 3)) + (ROUND(K307,4) &gt; INDEX('Tabela de ingredientes'!$O$1:$V$30, SWITCH(B307, "Gelatos de Leite", 8, "Sorbets", 11, "Gelatos de Leite com Fruta", 14, "Chocolate base água", 17, "Vegano", 20, "Alcoólicos", 23, "Zero", 26, "Gelatos Proteicos", 29, 8), 3)) + (ROUND(L307,4) &lt; INDEX('Tabela de ingredientes'!$O$1:$V$30, SWITCH(B307, "Gelatos de Leite", 7, "Sorbets", 10, "Gelatos de Leite com Fruta", 13, "Chocolate base água", 16, "Vegano", 19, "Alcoólicos", 22, "Zero", 25, "Gelatos Proteicos", 28, 7), 4)) + (ROUND(L307,4) &gt; INDEX('Tabela de ingredientes'!$O$1:$V$30, SWITCH(B307, "Gelatos de Leite", 8, "Sorbets", 11, "Gelatos de Leite com Fruta", 14, "Chocolate base água", 17, "Vegano", 20, "Alcoólicos", 23, "Zero", 26, "Gelatos Proteicos", 29, 8), 4)) + (ROUND(M307,4) &lt; INDEX('Tabela de ingredientes'!$O$1:$V$30, SWITCH(B307, "Gelatos de Leite", 7, "Sorbets", 10, "Gelatos de Leite com Fruta", 13, "Chocolate base água", 16, "Vegano", 19, "Alcoólicos", 22, "Zero", 25, "Gelatos Proteicos", 28, 7), 5)) + (ROUND(M307,4) &gt; INDEX('Tabela de ingredientes'!$O$1:$V$30, SWITCH(B307, "Gelatos de Leite", 8, "Sorbets", 11, "Gelatos de Leite com Fruta", 14, "Chocolate base água", 17, "Vegano", 20, "Alcoólicos", 23, "Zero", 26, "Gelatos Proteicos", 29, 8), 5)) + (ROUND(N307,4) &lt; INDEX('Tabela de ingredientes'!$O$1:$V$30, SWITCH(B307, "Gelatos de Leite", 7, "Sorbets", 10, "Gelatos de Leite com Fruta", 13, "Chocolate base água", 16, "Vegano", 19, "Alcoólicos", 22, "Zero", 25, "Gelatos Proteicos", 28, 7), 6)) + (ROUND(N307,4) &gt; INDEX('Tabela de ingredientes'!$O$1:$V$30, SWITCH(B307, "Gelatos de Leite", 8, "Sorbets", 11, "Gelatos de Leite com Fruta", 14, "Chocolate base água", 17, "Vegano", 20, "Alcoólicos", 23, "Zero", 26, "Gelatos Proteicos", 29, 8), 6)) + (ROUND(O307,4) &lt; INDEX('Tabela de ingredientes'!$O$1:$V$30, SWITCH(B307, "Gelatos de Leite", 7, "Sorbets", 10, "Gelatos de Leite com Fruta", 13, "Chocolate base água", 16, "Vegano", 19, "Alcoólicos", 22, "Zero", 25, "Gelatos Proteicos", 28, 7), 7)) + (ROUND(O307,4) &gt; INDEX('Tabela de ingredientes'!$O$1:$V$30, SWITCH(B307, "Gelatos de Leite", 8, "Sorbets", 11, "Gelatos de Leite com Fruta", 14, "Chocolate base água", 17, "Vegano", 20, "Alcoólicos", 23, "Zero", 26, "Gelatos Proteicos", 29, 8), 7)) + (ROUND(P307,4) &lt; INDEX('Tabela de ingredientes'!$O$1:$V$30, SWITCH(B307, "Gelatos de Leite", 7, "Sorbets", 10, "Gelatos de Leite com Fruta", 13, "Chocolate base água", 16, "Vegano", 19, "Alcoólicos", 22, "Zero", 25, "Gelatos Proteicos", 28, 7), 8)) + (ROUND(P307,4) &gt; INDEX('Tabela de ingredientes'!$O$1:$V$30, SWITCH(B307, "Gelatos de Leite", 8, "Sorbets", 11, "Gelatos de Leite com Fruta", 14, "Chocolate base água", 17, "Vegano", 20, "Alcoólicos", 23, "Zero", 26, "Gelatos Proteicos", 29, 8), 8)) + IF(B307="Gelatos Proteicos", (ROUND(Q307,4)&lt;'Tabela de ingredientes'!$W$28)+(ROUND(Q307,4)&gt;'Tabela de ingredientes'!$W$29), 0) = 0, "Ok", "Revisar"))</f>
        <v/>
      </c>
    </row>
    <row r="308">
      <c r="A308" s="264"/>
      <c r="B308" s="264" t="s">
        <v>187</v>
      </c>
      <c r="C308" s="264" t="s">
        <v>187</v>
      </c>
      <c r="D308" s="264" t="s">
        <v>187</v>
      </c>
      <c r="E308" s="264" t="s">
        <v>187</v>
      </c>
      <c r="F308" s="264" t="s">
        <v>187</v>
      </c>
      <c r="G308" s="264" t="s">
        <v>187</v>
      </c>
      <c r="H308" s="264" t="s">
        <v>187</v>
      </c>
      <c r="I308" s="264" t="s">
        <v>187</v>
      </c>
      <c r="J308" s="264" t="s">
        <v>187</v>
      </c>
      <c r="K308" s="264" t="s">
        <v>187</v>
      </c>
      <c r="L308" s="264" t="s">
        <v>187</v>
      </c>
      <c r="M308" s="264" t="s">
        <v>187</v>
      </c>
      <c r="N308" s="264" t="s">
        <v>187</v>
      </c>
      <c r="O308" s="264" t="s">
        <v>187</v>
      </c>
      <c r="P308" s="264" t="s">
        <v>187</v>
      </c>
      <c r="Q308" s="264" t="s">
        <v>187</v>
      </c>
      <c r="R308" s="264" t="s">
        <v>187</v>
      </c>
      <c r="S308" s="97" t="str">
        <f t="array" ref="S308">IF(A308="","", IF( (ROUND(I308,4) &lt; INDEX('Tabela de ingredientes'!$O$1:$V$30, SWITCH(B308, "Gelatos de Leite", 7, "Sorbets", 10, "Gelatos de Leite com Fruta", 13, "Chocolate base água", 16, "Vegano", 19, "Alcoólicos", 22, "Zero", 25, "Gelatos Proteicos", 28, 7), 1)) + (ROUND(I308,4) &gt; INDEX('Tabela de ingredientes'!$O$1:$V$30, SWITCH(B308, "Gelatos de Leite", 8, "Sorbets", 11, "Gelatos de Leite com Fruta", 14, "Chocolate base água", 17, "Vegano", 20, "Alcoólicos", 23, "Zero", 26, "Gelatos Proteicos", 29, 8), 1)) + (ROUND(J308,4) &lt; INDEX('Tabela de ingredientes'!$O$1:$V$30, SWITCH(B308, "Gelatos de Leite", 7, "Sorbets", 10, "Gelatos de Leite com Fruta", 13, "Chocolate base água", 16, "Vegano", 19, "Alcoólicos", 22, "Zero", 25, "Gelatos Proteicos", 28, 7), 2)) + (ROUND(J308,4) &gt; INDEX('Tabela de ingredientes'!$O$1:$V$30, SWITCH(B308, "Gelatos de Leite", 8, "Sorbets", 11, "Gelatos de Leite com Fruta", 14, "Chocolate base água", 17, "Vegano", 20, "Alcoólicos", 23, "Zero", 26, "Gelatos Proteicos", 29, 8), 2)) + (ROUND(K308,4) &lt; INDEX('Tabela de ingredientes'!$O$1:$V$30, SWITCH(B308, "Gelatos de Leite", 7, "Sorbets", 10, "Gelatos de Leite com Fruta", 13, "Chocolate base água", 16, "Vegano", 19, "Alcoólicos", 22, "Zero", 25, "Gelatos Proteicos", 28, 7), 3)) + (ROUND(K308,4) &gt; INDEX('Tabela de ingredientes'!$O$1:$V$30, SWITCH(B308, "Gelatos de Leite", 8, "Sorbets", 11, "Gelatos de Leite com Fruta", 14, "Chocolate base água", 17, "Vegano", 20, "Alcoólicos", 23, "Zero", 26, "Gelatos Proteicos", 29, 8), 3)) + (ROUND(L308,4) &lt; INDEX('Tabela de ingredientes'!$O$1:$V$30, SWITCH(B308, "Gelatos de Leite", 7, "Sorbets", 10, "Gelatos de Leite com Fruta", 13, "Chocolate base água", 16, "Vegano", 19, "Alcoólicos", 22, "Zero", 25, "Gelatos Proteicos", 28, 7), 4)) + (ROUND(L308,4) &gt; INDEX('Tabela de ingredientes'!$O$1:$V$30, SWITCH(B308, "Gelatos de Leite", 8, "Sorbets", 11, "Gelatos de Leite com Fruta", 14, "Chocolate base água", 17, "Vegano", 20, "Alcoólicos", 23, "Zero", 26, "Gelatos Proteicos", 29, 8), 4)) + (ROUND(M308,4) &lt; INDEX('Tabela de ingredientes'!$O$1:$V$30, SWITCH(B308, "Gelatos de Leite", 7, "Sorbets", 10, "Gelatos de Leite com Fruta", 13, "Chocolate base água", 16, "Vegano", 19, "Alcoólicos", 22, "Zero", 25, "Gelatos Proteicos", 28, 7), 5)) + (ROUND(M308,4) &gt; INDEX('Tabela de ingredientes'!$O$1:$V$30, SWITCH(B308, "Gelatos de Leite", 8, "Sorbets", 11, "Gelatos de Leite com Fruta", 14, "Chocolate base água", 17, "Vegano", 20, "Alcoólicos", 23, "Zero", 26, "Gelatos Proteicos", 29, 8), 5)) + (ROUND(N308,4) &lt; INDEX('Tabela de ingredientes'!$O$1:$V$30, SWITCH(B308, "Gelatos de Leite", 7, "Sorbets", 10, "Gelatos de Leite com Fruta", 13, "Chocolate base água", 16, "Vegano", 19, "Alcoólicos", 22, "Zero", 25, "Gelatos Proteicos", 28, 7), 6)) + (ROUND(N308,4) &gt; INDEX('Tabela de ingredientes'!$O$1:$V$30, SWITCH(B308, "Gelatos de Leite", 8, "Sorbets", 11, "Gelatos de Leite com Fruta", 14, "Chocolate base água", 17, "Vegano", 20, "Alcoólicos", 23, "Zero", 26, "Gelatos Proteicos", 29, 8), 6)) + (ROUND(O308,4) &lt; INDEX('Tabela de ingredientes'!$O$1:$V$30, SWITCH(B308, "Gelatos de Leite", 7, "Sorbets", 10, "Gelatos de Leite com Fruta", 13, "Chocolate base água", 16, "Vegano", 19, "Alcoólicos", 22, "Zero", 25, "Gelatos Proteicos", 28, 7), 7)) + (ROUND(O308,4) &gt; INDEX('Tabela de ingredientes'!$O$1:$V$30, SWITCH(B308, "Gelatos de Leite", 8, "Sorbets", 11, "Gelatos de Leite com Fruta", 14, "Chocolate base água", 17, "Vegano", 20, "Alcoólicos", 23, "Zero", 26, "Gelatos Proteicos", 29, 8), 7)) + (ROUND(P308,4) &lt; INDEX('Tabela de ingredientes'!$O$1:$V$30, SWITCH(B308, "Gelatos de Leite", 7, "Sorbets", 10, "Gelatos de Leite com Fruta", 13, "Chocolate base água", 16, "Vegano", 19, "Alcoólicos", 22, "Zero", 25, "Gelatos Proteicos", 28, 7), 8)) + (ROUND(P308,4) &gt; INDEX('Tabela de ingredientes'!$O$1:$V$30, SWITCH(B308, "Gelatos de Leite", 8, "Sorbets", 11, "Gelatos de Leite com Fruta", 14, "Chocolate base água", 17, "Vegano", 20, "Alcoólicos", 23, "Zero", 26, "Gelatos Proteicos", 29, 8), 8)) + IF(B308="Gelatos Proteicos", (ROUND(Q308,4)&lt;'Tabela de ingredientes'!$W$28)+(ROUND(Q308,4)&gt;'Tabela de ingredientes'!$W$29), 0) = 0, "Ok", "Revisar"))</f>
        <v/>
      </c>
    </row>
    <row r="309">
      <c r="A309" s="264"/>
      <c r="B309" s="264" t="s">
        <v>187</v>
      </c>
      <c r="C309" s="264" t="s">
        <v>187</v>
      </c>
      <c r="D309" s="264" t="s">
        <v>187</v>
      </c>
      <c r="E309" s="264" t="s">
        <v>187</v>
      </c>
      <c r="F309" s="264" t="s">
        <v>187</v>
      </c>
      <c r="G309" s="264" t="s">
        <v>187</v>
      </c>
      <c r="H309" s="264" t="s">
        <v>187</v>
      </c>
      <c r="I309" s="264" t="s">
        <v>187</v>
      </c>
      <c r="J309" s="264" t="s">
        <v>187</v>
      </c>
      <c r="K309" s="264" t="s">
        <v>187</v>
      </c>
      <c r="L309" s="264" t="s">
        <v>187</v>
      </c>
      <c r="M309" s="264" t="s">
        <v>187</v>
      </c>
      <c r="N309" s="264" t="s">
        <v>187</v>
      </c>
      <c r="O309" s="264" t="s">
        <v>187</v>
      </c>
      <c r="P309" s="264" t="s">
        <v>187</v>
      </c>
      <c r="Q309" s="264" t="s">
        <v>187</v>
      </c>
      <c r="R309" s="264" t="s">
        <v>187</v>
      </c>
      <c r="S309" s="97" t="str">
        <f t="array" ref="S309">IF(A309="","", IF( (ROUND(I309,4) &lt; INDEX('Tabela de ingredientes'!$O$1:$V$30, SWITCH(B309, "Gelatos de Leite", 7, "Sorbets", 10, "Gelatos de Leite com Fruta", 13, "Chocolate base água", 16, "Vegano", 19, "Alcoólicos", 22, "Zero", 25, "Gelatos Proteicos", 28, 7), 1)) + (ROUND(I309,4) &gt; INDEX('Tabela de ingredientes'!$O$1:$V$30, SWITCH(B309, "Gelatos de Leite", 8, "Sorbets", 11, "Gelatos de Leite com Fruta", 14, "Chocolate base água", 17, "Vegano", 20, "Alcoólicos", 23, "Zero", 26, "Gelatos Proteicos", 29, 8), 1)) + (ROUND(J309,4) &lt; INDEX('Tabela de ingredientes'!$O$1:$V$30, SWITCH(B309, "Gelatos de Leite", 7, "Sorbets", 10, "Gelatos de Leite com Fruta", 13, "Chocolate base água", 16, "Vegano", 19, "Alcoólicos", 22, "Zero", 25, "Gelatos Proteicos", 28, 7), 2)) + (ROUND(J309,4) &gt; INDEX('Tabela de ingredientes'!$O$1:$V$30, SWITCH(B309, "Gelatos de Leite", 8, "Sorbets", 11, "Gelatos de Leite com Fruta", 14, "Chocolate base água", 17, "Vegano", 20, "Alcoólicos", 23, "Zero", 26, "Gelatos Proteicos", 29, 8), 2)) + (ROUND(K309,4) &lt; INDEX('Tabela de ingredientes'!$O$1:$V$30, SWITCH(B309, "Gelatos de Leite", 7, "Sorbets", 10, "Gelatos de Leite com Fruta", 13, "Chocolate base água", 16, "Vegano", 19, "Alcoólicos", 22, "Zero", 25, "Gelatos Proteicos", 28, 7), 3)) + (ROUND(K309,4) &gt; INDEX('Tabela de ingredientes'!$O$1:$V$30, SWITCH(B309, "Gelatos de Leite", 8, "Sorbets", 11, "Gelatos de Leite com Fruta", 14, "Chocolate base água", 17, "Vegano", 20, "Alcoólicos", 23, "Zero", 26, "Gelatos Proteicos", 29, 8), 3)) + (ROUND(L309,4) &lt; INDEX('Tabela de ingredientes'!$O$1:$V$30, SWITCH(B309, "Gelatos de Leite", 7, "Sorbets", 10, "Gelatos de Leite com Fruta", 13, "Chocolate base água", 16, "Vegano", 19, "Alcoólicos", 22, "Zero", 25, "Gelatos Proteicos", 28, 7), 4)) + (ROUND(L309,4) &gt; INDEX('Tabela de ingredientes'!$O$1:$V$30, SWITCH(B309, "Gelatos de Leite", 8, "Sorbets", 11, "Gelatos de Leite com Fruta", 14, "Chocolate base água", 17, "Vegano", 20, "Alcoólicos", 23, "Zero", 26, "Gelatos Proteicos", 29, 8), 4)) + (ROUND(M309,4) &lt; INDEX('Tabela de ingredientes'!$O$1:$V$30, SWITCH(B309, "Gelatos de Leite", 7, "Sorbets", 10, "Gelatos de Leite com Fruta", 13, "Chocolate base água", 16, "Vegano", 19, "Alcoólicos", 22, "Zero", 25, "Gelatos Proteicos", 28, 7), 5)) + (ROUND(M309,4) &gt; INDEX('Tabela de ingredientes'!$O$1:$V$30, SWITCH(B309, "Gelatos de Leite", 8, "Sorbets", 11, "Gelatos de Leite com Fruta", 14, "Chocolate base água", 17, "Vegano", 20, "Alcoólicos", 23, "Zero", 26, "Gelatos Proteicos", 29, 8), 5)) + (ROUND(N309,4) &lt; INDEX('Tabela de ingredientes'!$O$1:$V$30, SWITCH(B309, "Gelatos de Leite", 7, "Sorbets", 10, "Gelatos de Leite com Fruta", 13, "Chocolate base água", 16, "Vegano", 19, "Alcoólicos", 22, "Zero", 25, "Gelatos Proteicos", 28, 7), 6)) + (ROUND(N309,4) &gt; INDEX('Tabela de ingredientes'!$O$1:$V$30, SWITCH(B309, "Gelatos de Leite", 8, "Sorbets", 11, "Gelatos de Leite com Fruta", 14, "Chocolate base água", 17, "Vegano", 20, "Alcoólicos", 23, "Zero", 26, "Gelatos Proteicos", 29, 8), 6)) + (ROUND(O309,4) &lt; INDEX('Tabela de ingredientes'!$O$1:$V$30, SWITCH(B309, "Gelatos de Leite", 7, "Sorbets", 10, "Gelatos de Leite com Fruta", 13, "Chocolate base água", 16, "Vegano", 19, "Alcoólicos", 22, "Zero", 25, "Gelatos Proteicos", 28, 7), 7)) + (ROUND(O309,4) &gt; INDEX('Tabela de ingredientes'!$O$1:$V$30, SWITCH(B309, "Gelatos de Leite", 8, "Sorbets", 11, "Gelatos de Leite com Fruta", 14, "Chocolate base água", 17, "Vegano", 20, "Alcoólicos", 23, "Zero", 26, "Gelatos Proteicos", 29, 8), 7)) + (ROUND(P309,4) &lt; INDEX('Tabela de ingredientes'!$O$1:$V$30, SWITCH(B309, "Gelatos de Leite", 7, "Sorbets", 10, "Gelatos de Leite com Fruta", 13, "Chocolate base água", 16, "Vegano", 19, "Alcoólicos", 22, "Zero", 25, "Gelatos Proteicos", 28, 7), 8)) + (ROUND(P309,4) &gt; INDEX('Tabela de ingredientes'!$O$1:$V$30, SWITCH(B309, "Gelatos de Leite", 8, "Sorbets", 11, "Gelatos de Leite com Fruta", 14, "Chocolate base água", 17, "Vegano", 20, "Alcoólicos", 23, "Zero", 26, "Gelatos Proteicos", 29, 8), 8)) + IF(B309="Gelatos Proteicos", (ROUND(Q309,4)&lt;'Tabela de ingredientes'!$W$28)+(ROUND(Q309,4)&gt;'Tabela de ingredientes'!$W$29), 0) = 0, "Ok", "Revisar"))</f>
        <v/>
      </c>
    </row>
    <row r="310">
      <c r="A310" s="264"/>
      <c r="B310" s="264" t="s">
        <v>187</v>
      </c>
      <c r="C310" s="264" t="s">
        <v>187</v>
      </c>
      <c r="D310" s="264" t="s">
        <v>187</v>
      </c>
      <c r="E310" s="264" t="s">
        <v>187</v>
      </c>
      <c r="F310" s="264" t="s">
        <v>187</v>
      </c>
      <c r="G310" s="264" t="s">
        <v>187</v>
      </c>
      <c r="H310" s="264" t="s">
        <v>187</v>
      </c>
      <c r="I310" s="264" t="s">
        <v>187</v>
      </c>
      <c r="J310" s="264" t="s">
        <v>187</v>
      </c>
      <c r="K310" s="264" t="s">
        <v>187</v>
      </c>
      <c r="L310" s="264" t="s">
        <v>187</v>
      </c>
      <c r="M310" s="264" t="s">
        <v>187</v>
      </c>
      <c r="N310" s="264" t="s">
        <v>187</v>
      </c>
      <c r="O310" s="264" t="s">
        <v>187</v>
      </c>
      <c r="P310" s="264" t="s">
        <v>187</v>
      </c>
      <c r="Q310" s="264" t="s">
        <v>187</v>
      </c>
      <c r="R310" s="264" t="s">
        <v>187</v>
      </c>
      <c r="S310" s="97" t="str">
        <f t="array" ref="S310">IF(A310="","", IF( (ROUND(I310,4) &lt; INDEX('Tabela de ingredientes'!$O$1:$V$30, SWITCH(B310, "Gelatos de Leite", 7, "Sorbets", 10, "Gelatos de Leite com Fruta", 13, "Chocolate base água", 16, "Vegano", 19, "Alcoólicos", 22, "Zero", 25, "Gelatos Proteicos", 28, 7), 1)) + (ROUND(I310,4) &gt; INDEX('Tabela de ingredientes'!$O$1:$V$30, SWITCH(B310, "Gelatos de Leite", 8, "Sorbets", 11, "Gelatos de Leite com Fruta", 14, "Chocolate base água", 17, "Vegano", 20, "Alcoólicos", 23, "Zero", 26, "Gelatos Proteicos", 29, 8), 1)) + (ROUND(J310,4) &lt; INDEX('Tabela de ingredientes'!$O$1:$V$30, SWITCH(B310, "Gelatos de Leite", 7, "Sorbets", 10, "Gelatos de Leite com Fruta", 13, "Chocolate base água", 16, "Vegano", 19, "Alcoólicos", 22, "Zero", 25, "Gelatos Proteicos", 28, 7), 2)) + (ROUND(J310,4) &gt; INDEX('Tabela de ingredientes'!$O$1:$V$30, SWITCH(B310, "Gelatos de Leite", 8, "Sorbets", 11, "Gelatos de Leite com Fruta", 14, "Chocolate base água", 17, "Vegano", 20, "Alcoólicos", 23, "Zero", 26, "Gelatos Proteicos", 29, 8), 2)) + (ROUND(K310,4) &lt; INDEX('Tabela de ingredientes'!$O$1:$V$30, SWITCH(B310, "Gelatos de Leite", 7, "Sorbets", 10, "Gelatos de Leite com Fruta", 13, "Chocolate base água", 16, "Vegano", 19, "Alcoólicos", 22, "Zero", 25, "Gelatos Proteicos", 28, 7), 3)) + (ROUND(K310,4) &gt; INDEX('Tabela de ingredientes'!$O$1:$V$30, SWITCH(B310, "Gelatos de Leite", 8, "Sorbets", 11, "Gelatos de Leite com Fruta", 14, "Chocolate base água", 17, "Vegano", 20, "Alcoólicos", 23, "Zero", 26, "Gelatos Proteicos", 29, 8), 3)) + (ROUND(L310,4) &lt; INDEX('Tabela de ingredientes'!$O$1:$V$30, SWITCH(B310, "Gelatos de Leite", 7, "Sorbets", 10, "Gelatos de Leite com Fruta", 13, "Chocolate base água", 16, "Vegano", 19, "Alcoólicos", 22, "Zero", 25, "Gelatos Proteicos", 28, 7), 4)) + (ROUND(L310,4) &gt; INDEX('Tabela de ingredientes'!$O$1:$V$30, SWITCH(B310, "Gelatos de Leite", 8, "Sorbets", 11, "Gelatos de Leite com Fruta", 14, "Chocolate base água", 17, "Vegano", 20, "Alcoólicos", 23, "Zero", 26, "Gelatos Proteicos", 29, 8), 4)) + (ROUND(M310,4) &lt; INDEX('Tabela de ingredientes'!$O$1:$V$30, SWITCH(B310, "Gelatos de Leite", 7, "Sorbets", 10, "Gelatos de Leite com Fruta", 13, "Chocolate base água", 16, "Vegano", 19, "Alcoólicos", 22, "Zero", 25, "Gelatos Proteicos", 28, 7), 5)) + (ROUND(M310,4) &gt; INDEX('Tabela de ingredientes'!$O$1:$V$30, SWITCH(B310, "Gelatos de Leite", 8, "Sorbets", 11, "Gelatos de Leite com Fruta", 14, "Chocolate base água", 17, "Vegano", 20, "Alcoólicos", 23, "Zero", 26, "Gelatos Proteicos", 29, 8), 5)) + (ROUND(N310,4) &lt; INDEX('Tabela de ingredientes'!$O$1:$V$30, SWITCH(B310, "Gelatos de Leite", 7, "Sorbets", 10, "Gelatos de Leite com Fruta", 13, "Chocolate base água", 16, "Vegano", 19, "Alcoólicos", 22, "Zero", 25, "Gelatos Proteicos", 28, 7), 6)) + (ROUND(N310,4) &gt; INDEX('Tabela de ingredientes'!$O$1:$V$30, SWITCH(B310, "Gelatos de Leite", 8, "Sorbets", 11, "Gelatos de Leite com Fruta", 14, "Chocolate base água", 17, "Vegano", 20, "Alcoólicos", 23, "Zero", 26, "Gelatos Proteicos", 29, 8), 6)) + (ROUND(O310,4) &lt; INDEX('Tabela de ingredientes'!$O$1:$V$30, SWITCH(B310, "Gelatos de Leite", 7, "Sorbets", 10, "Gelatos de Leite com Fruta", 13, "Chocolate base água", 16, "Vegano", 19, "Alcoólicos", 22, "Zero", 25, "Gelatos Proteicos", 28, 7), 7)) + (ROUND(O310,4) &gt; INDEX('Tabela de ingredientes'!$O$1:$V$30, SWITCH(B310, "Gelatos de Leite", 8, "Sorbets", 11, "Gelatos de Leite com Fruta", 14, "Chocolate base água", 17, "Vegano", 20, "Alcoólicos", 23, "Zero", 26, "Gelatos Proteicos", 29, 8), 7)) + (ROUND(P310,4) &lt; INDEX('Tabela de ingredientes'!$O$1:$V$30, SWITCH(B310, "Gelatos de Leite", 7, "Sorbets", 10, "Gelatos de Leite com Fruta", 13, "Chocolate base água", 16, "Vegano", 19, "Alcoólicos", 22, "Zero", 25, "Gelatos Proteicos", 28, 7), 8)) + (ROUND(P310,4) &gt; INDEX('Tabela de ingredientes'!$O$1:$V$30, SWITCH(B310, "Gelatos de Leite", 8, "Sorbets", 11, "Gelatos de Leite com Fruta", 14, "Chocolate base água", 17, "Vegano", 20, "Alcoólicos", 23, "Zero", 26, "Gelatos Proteicos", 29, 8), 8)) + IF(B310="Gelatos Proteicos", (ROUND(Q310,4)&lt;'Tabela de ingredientes'!$W$28)+(ROUND(Q310,4)&gt;'Tabela de ingredientes'!$W$29), 0) = 0, "Ok", "Revisar"))</f>
        <v/>
      </c>
    </row>
    <row r="311">
      <c r="A311" s="264"/>
      <c r="B311" s="264" t="s">
        <v>187</v>
      </c>
      <c r="C311" s="264" t="s">
        <v>187</v>
      </c>
      <c r="D311" s="264" t="s">
        <v>187</v>
      </c>
      <c r="E311" s="264" t="s">
        <v>187</v>
      </c>
      <c r="F311" s="264" t="s">
        <v>187</v>
      </c>
      <c r="G311" s="264" t="s">
        <v>187</v>
      </c>
      <c r="H311" s="264" t="s">
        <v>187</v>
      </c>
      <c r="I311" s="264" t="s">
        <v>187</v>
      </c>
      <c r="J311" s="264" t="s">
        <v>187</v>
      </c>
      <c r="K311" s="264" t="s">
        <v>187</v>
      </c>
      <c r="L311" s="264" t="s">
        <v>187</v>
      </c>
      <c r="M311" s="264" t="s">
        <v>187</v>
      </c>
      <c r="N311" s="264" t="s">
        <v>187</v>
      </c>
      <c r="O311" s="264" t="s">
        <v>187</v>
      </c>
      <c r="P311" s="264" t="s">
        <v>187</v>
      </c>
      <c r="Q311" s="264" t="s">
        <v>187</v>
      </c>
      <c r="R311" s="264" t="s">
        <v>187</v>
      </c>
      <c r="S311" s="97" t="str">
        <f t="array" ref="S311">IF(A311="","", IF( (ROUND(I311,4) &lt; INDEX('Tabela de ingredientes'!$O$1:$V$30, SWITCH(B311, "Gelatos de Leite", 7, "Sorbets", 10, "Gelatos de Leite com Fruta", 13, "Chocolate base água", 16, "Vegano", 19, "Alcoólicos", 22, "Zero", 25, "Gelatos Proteicos", 28, 7), 1)) + (ROUND(I311,4) &gt; INDEX('Tabela de ingredientes'!$O$1:$V$30, SWITCH(B311, "Gelatos de Leite", 8, "Sorbets", 11, "Gelatos de Leite com Fruta", 14, "Chocolate base água", 17, "Vegano", 20, "Alcoólicos", 23, "Zero", 26, "Gelatos Proteicos", 29, 8), 1)) + (ROUND(J311,4) &lt; INDEX('Tabela de ingredientes'!$O$1:$V$30, SWITCH(B311, "Gelatos de Leite", 7, "Sorbets", 10, "Gelatos de Leite com Fruta", 13, "Chocolate base água", 16, "Vegano", 19, "Alcoólicos", 22, "Zero", 25, "Gelatos Proteicos", 28, 7), 2)) + (ROUND(J311,4) &gt; INDEX('Tabela de ingredientes'!$O$1:$V$30, SWITCH(B311, "Gelatos de Leite", 8, "Sorbets", 11, "Gelatos de Leite com Fruta", 14, "Chocolate base água", 17, "Vegano", 20, "Alcoólicos", 23, "Zero", 26, "Gelatos Proteicos", 29, 8), 2)) + (ROUND(K311,4) &lt; INDEX('Tabela de ingredientes'!$O$1:$V$30, SWITCH(B311, "Gelatos de Leite", 7, "Sorbets", 10, "Gelatos de Leite com Fruta", 13, "Chocolate base água", 16, "Vegano", 19, "Alcoólicos", 22, "Zero", 25, "Gelatos Proteicos", 28, 7), 3)) + (ROUND(K311,4) &gt; INDEX('Tabela de ingredientes'!$O$1:$V$30, SWITCH(B311, "Gelatos de Leite", 8, "Sorbets", 11, "Gelatos de Leite com Fruta", 14, "Chocolate base água", 17, "Vegano", 20, "Alcoólicos", 23, "Zero", 26, "Gelatos Proteicos", 29, 8), 3)) + (ROUND(L311,4) &lt; INDEX('Tabela de ingredientes'!$O$1:$V$30, SWITCH(B311, "Gelatos de Leite", 7, "Sorbets", 10, "Gelatos de Leite com Fruta", 13, "Chocolate base água", 16, "Vegano", 19, "Alcoólicos", 22, "Zero", 25, "Gelatos Proteicos", 28, 7), 4)) + (ROUND(L311,4) &gt; INDEX('Tabela de ingredientes'!$O$1:$V$30, SWITCH(B311, "Gelatos de Leite", 8, "Sorbets", 11, "Gelatos de Leite com Fruta", 14, "Chocolate base água", 17, "Vegano", 20, "Alcoólicos", 23, "Zero", 26, "Gelatos Proteicos", 29, 8), 4)) + (ROUND(M311,4) &lt; INDEX('Tabela de ingredientes'!$O$1:$V$30, SWITCH(B311, "Gelatos de Leite", 7, "Sorbets", 10, "Gelatos de Leite com Fruta", 13, "Chocolate base água", 16, "Vegano", 19, "Alcoólicos", 22, "Zero", 25, "Gelatos Proteicos", 28, 7), 5)) + (ROUND(M311,4) &gt; INDEX('Tabela de ingredientes'!$O$1:$V$30, SWITCH(B311, "Gelatos de Leite", 8, "Sorbets", 11, "Gelatos de Leite com Fruta", 14, "Chocolate base água", 17, "Vegano", 20, "Alcoólicos", 23, "Zero", 26, "Gelatos Proteicos", 29, 8), 5)) + (ROUND(N311,4) &lt; INDEX('Tabela de ingredientes'!$O$1:$V$30, SWITCH(B311, "Gelatos de Leite", 7, "Sorbets", 10, "Gelatos de Leite com Fruta", 13, "Chocolate base água", 16, "Vegano", 19, "Alcoólicos", 22, "Zero", 25, "Gelatos Proteicos", 28, 7), 6)) + (ROUND(N311,4) &gt; INDEX('Tabela de ingredientes'!$O$1:$V$30, SWITCH(B311, "Gelatos de Leite", 8, "Sorbets", 11, "Gelatos de Leite com Fruta", 14, "Chocolate base água", 17, "Vegano", 20, "Alcoólicos", 23, "Zero", 26, "Gelatos Proteicos", 29, 8), 6)) + (ROUND(O311,4) &lt; INDEX('Tabela de ingredientes'!$O$1:$V$30, SWITCH(B311, "Gelatos de Leite", 7, "Sorbets", 10, "Gelatos de Leite com Fruta", 13, "Chocolate base água", 16, "Vegano", 19, "Alcoólicos", 22, "Zero", 25, "Gelatos Proteicos", 28, 7), 7)) + (ROUND(O311,4) &gt; INDEX('Tabela de ingredientes'!$O$1:$V$30, SWITCH(B311, "Gelatos de Leite", 8, "Sorbets", 11, "Gelatos de Leite com Fruta", 14, "Chocolate base água", 17, "Vegano", 20, "Alcoólicos", 23, "Zero", 26, "Gelatos Proteicos", 29, 8), 7)) + (ROUND(P311,4) &lt; INDEX('Tabela de ingredientes'!$O$1:$V$30, SWITCH(B311, "Gelatos de Leite", 7, "Sorbets", 10, "Gelatos de Leite com Fruta", 13, "Chocolate base água", 16, "Vegano", 19, "Alcoólicos", 22, "Zero", 25, "Gelatos Proteicos", 28, 7), 8)) + (ROUND(P311,4) &gt; INDEX('Tabela de ingredientes'!$O$1:$V$30, SWITCH(B311, "Gelatos de Leite", 8, "Sorbets", 11, "Gelatos de Leite com Fruta", 14, "Chocolate base água", 17, "Vegano", 20, "Alcoólicos", 23, "Zero", 26, "Gelatos Proteicos", 29, 8), 8)) + IF(B311="Gelatos Proteicos", (ROUND(Q311,4)&lt;'Tabela de ingredientes'!$W$28)+(ROUND(Q311,4)&gt;'Tabela de ingredientes'!$W$29), 0) = 0, "Ok", "Revisar"))</f>
        <v/>
      </c>
    </row>
    <row r="312">
      <c r="A312" s="264"/>
      <c r="B312" s="264" t="s">
        <v>187</v>
      </c>
      <c r="C312" s="264" t="s">
        <v>187</v>
      </c>
      <c r="D312" s="264" t="s">
        <v>187</v>
      </c>
      <c r="E312" s="264" t="s">
        <v>187</v>
      </c>
      <c r="F312" s="264" t="s">
        <v>187</v>
      </c>
      <c r="G312" s="264" t="s">
        <v>187</v>
      </c>
      <c r="H312" s="264" t="s">
        <v>187</v>
      </c>
      <c r="I312" s="264" t="s">
        <v>187</v>
      </c>
      <c r="J312" s="264" t="s">
        <v>187</v>
      </c>
      <c r="K312" s="264" t="s">
        <v>187</v>
      </c>
      <c r="L312" s="264" t="s">
        <v>187</v>
      </c>
      <c r="M312" s="264" t="s">
        <v>187</v>
      </c>
      <c r="N312" s="264" t="s">
        <v>187</v>
      </c>
      <c r="O312" s="264" t="s">
        <v>187</v>
      </c>
      <c r="P312" s="264" t="s">
        <v>187</v>
      </c>
      <c r="Q312" s="264" t="s">
        <v>187</v>
      </c>
      <c r="R312" s="264" t="s">
        <v>187</v>
      </c>
      <c r="S312" s="97" t="str">
        <f t="array" ref="S312">IF(A312="","", IF( (ROUND(I312,4) &lt; INDEX('Tabela de ingredientes'!$O$1:$V$30, SWITCH(B312, "Gelatos de Leite", 7, "Sorbets", 10, "Gelatos de Leite com Fruta", 13, "Chocolate base água", 16, "Vegano", 19, "Alcoólicos", 22, "Zero", 25, "Gelatos Proteicos", 28, 7), 1)) + (ROUND(I312,4) &gt; INDEX('Tabela de ingredientes'!$O$1:$V$30, SWITCH(B312, "Gelatos de Leite", 8, "Sorbets", 11, "Gelatos de Leite com Fruta", 14, "Chocolate base água", 17, "Vegano", 20, "Alcoólicos", 23, "Zero", 26, "Gelatos Proteicos", 29, 8), 1)) + (ROUND(J312,4) &lt; INDEX('Tabela de ingredientes'!$O$1:$V$30, SWITCH(B312, "Gelatos de Leite", 7, "Sorbets", 10, "Gelatos de Leite com Fruta", 13, "Chocolate base água", 16, "Vegano", 19, "Alcoólicos", 22, "Zero", 25, "Gelatos Proteicos", 28, 7), 2)) + (ROUND(J312,4) &gt; INDEX('Tabela de ingredientes'!$O$1:$V$30, SWITCH(B312, "Gelatos de Leite", 8, "Sorbets", 11, "Gelatos de Leite com Fruta", 14, "Chocolate base água", 17, "Vegano", 20, "Alcoólicos", 23, "Zero", 26, "Gelatos Proteicos", 29, 8), 2)) + (ROUND(K312,4) &lt; INDEX('Tabela de ingredientes'!$O$1:$V$30, SWITCH(B312, "Gelatos de Leite", 7, "Sorbets", 10, "Gelatos de Leite com Fruta", 13, "Chocolate base água", 16, "Vegano", 19, "Alcoólicos", 22, "Zero", 25, "Gelatos Proteicos", 28, 7), 3)) + (ROUND(K312,4) &gt; INDEX('Tabela de ingredientes'!$O$1:$V$30, SWITCH(B312, "Gelatos de Leite", 8, "Sorbets", 11, "Gelatos de Leite com Fruta", 14, "Chocolate base água", 17, "Vegano", 20, "Alcoólicos", 23, "Zero", 26, "Gelatos Proteicos", 29, 8), 3)) + (ROUND(L312,4) &lt; INDEX('Tabela de ingredientes'!$O$1:$V$30, SWITCH(B312, "Gelatos de Leite", 7, "Sorbets", 10, "Gelatos de Leite com Fruta", 13, "Chocolate base água", 16, "Vegano", 19, "Alcoólicos", 22, "Zero", 25, "Gelatos Proteicos", 28, 7), 4)) + (ROUND(L312,4) &gt; INDEX('Tabela de ingredientes'!$O$1:$V$30, SWITCH(B312, "Gelatos de Leite", 8, "Sorbets", 11, "Gelatos de Leite com Fruta", 14, "Chocolate base água", 17, "Vegano", 20, "Alcoólicos", 23, "Zero", 26, "Gelatos Proteicos", 29, 8), 4)) + (ROUND(M312,4) &lt; INDEX('Tabela de ingredientes'!$O$1:$V$30, SWITCH(B312, "Gelatos de Leite", 7, "Sorbets", 10, "Gelatos de Leite com Fruta", 13, "Chocolate base água", 16, "Vegano", 19, "Alcoólicos", 22, "Zero", 25, "Gelatos Proteicos", 28, 7), 5)) + (ROUND(M312,4) &gt; INDEX('Tabela de ingredientes'!$O$1:$V$30, SWITCH(B312, "Gelatos de Leite", 8, "Sorbets", 11, "Gelatos de Leite com Fruta", 14, "Chocolate base água", 17, "Vegano", 20, "Alcoólicos", 23, "Zero", 26, "Gelatos Proteicos", 29, 8), 5)) + (ROUND(N312,4) &lt; INDEX('Tabela de ingredientes'!$O$1:$V$30, SWITCH(B312, "Gelatos de Leite", 7, "Sorbets", 10, "Gelatos de Leite com Fruta", 13, "Chocolate base água", 16, "Vegano", 19, "Alcoólicos", 22, "Zero", 25, "Gelatos Proteicos", 28, 7), 6)) + (ROUND(N312,4) &gt; INDEX('Tabela de ingredientes'!$O$1:$V$30, SWITCH(B312, "Gelatos de Leite", 8, "Sorbets", 11, "Gelatos de Leite com Fruta", 14, "Chocolate base água", 17, "Vegano", 20, "Alcoólicos", 23, "Zero", 26, "Gelatos Proteicos", 29, 8), 6)) + (ROUND(O312,4) &lt; INDEX('Tabela de ingredientes'!$O$1:$V$30, SWITCH(B312, "Gelatos de Leite", 7, "Sorbets", 10, "Gelatos de Leite com Fruta", 13, "Chocolate base água", 16, "Vegano", 19, "Alcoólicos", 22, "Zero", 25, "Gelatos Proteicos", 28, 7), 7)) + (ROUND(O312,4) &gt; INDEX('Tabela de ingredientes'!$O$1:$V$30, SWITCH(B312, "Gelatos de Leite", 8, "Sorbets", 11, "Gelatos de Leite com Fruta", 14, "Chocolate base água", 17, "Vegano", 20, "Alcoólicos", 23, "Zero", 26, "Gelatos Proteicos", 29, 8), 7)) + (ROUND(P312,4) &lt; INDEX('Tabela de ingredientes'!$O$1:$V$30, SWITCH(B312, "Gelatos de Leite", 7, "Sorbets", 10, "Gelatos de Leite com Fruta", 13, "Chocolate base água", 16, "Vegano", 19, "Alcoólicos", 22, "Zero", 25, "Gelatos Proteicos", 28, 7), 8)) + (ROUND(P312,4) &gt; INDEX('Tabela de ingredientes'!$O$1:$V$30, SWITCH(B312, "Gelatos de Leite", 8, "Sorbets", 11, "Gelatos de Leite com Fruta", 14, "Chocolate base água", 17, "Vegano", 20, "Alcoólicos", 23, "Zero", 26, "Gelatos Proteicos", 29, 8), 8)) + IF(B312="Gelatos Proteicos", (ROUND(Q312,4)&lt;'Tabela de ingredientes'!$W$28)+(ROUND(Q312,4)&gt;'Tabela de ingredientes'!$W$29), 0) = 0, "Ok", "Revisar"))</f>
        <v/>
      </c>
    </row>
    <row r="313">
      <c r="A313" s="264"/>
      <c r="B313" s="264" t="s">
        <v>187</v>
      </c>
      <c r="C313" s="264" t="s">
        <v>187</v>
      </c>
      <c r="D313" s="264" t="s">
        <v>187</v>
      </c>
      <c r="E313" s="264" t="s">
        <v>187</v>
      </c>
      <c r="F313" s="264" t="s">
        <v>187</v>
      </c>
      <c r="G313" s="264" t="s">
        <v>187</v>
      </c>
      <c r="H313" s="264" t="s">
        <v>187</v>
      </c>
      <c r="I313" s="264" t="s">
        <v>187</v>
      </c>
      <c r="J313" s="264" t="s">
        <v>187</v>
      </c>
      <c r="K313" s="264" t="s">
        <v>187</v>
      </c>
      <c r="L313" s="264" t="s">
        <v>187</v>
      </c>
      <c r="M313" s="264" t="s">
        <v>187</v>
      </c>
      <c r="N313" s="264" t="s">
        <v>187</v>
      </c>
      <c r="O313" s="264" t="s">
        <v>187</v>
      </c>
      <c r="P313" s="264" t="s">
        <v>187</v>
      </c>
      <c r="Q313" s="264" t="s">
        <v>187</v>
      </c>
      <c r="R313" s="264" t="s">
        <v>187</v>
      </c>
      <c r="S313" s="97" t="str">
        <f t="array" ref="S313">IF(A313="","", IF( (ROUND(I313,4) &lt; INDEX('Tabela de ingredientes'!$O$1:$V$30, SWITCH(B313, "Gelatos de Leite", 7, "Sorbets", 10, "Gelatos de Leite com Fruta", 13, "Chocolate base água", 16, "Vegano", 19, "Alcoólicos", 22, "Zero", 25, "Gelatos Proteicos", 28, 7), 1)) + (ROUND(I313,4) &gt; INDEX('Tabela de ingredientes'!$O$1:$V$30, SWITCH(B313, "Gelatos de Leite", 8, "Sorbets", 11, "Gelatos de Leite com Fruta", 14, "Chocolate base água", 17, "Vegano", 20, "Alcoólicos", 23, "Zero", 26, "Gelatos Proteicos", 29, 8), 1)) + (ROUND(J313,4) &lt; INDEX('Tabela de ingredientes'!$O$1:$V$30, SWITCH(B313, "Gelatos de Leite", 7, "Sorbets", 10, "Gelatos de Leite com Fruta", 13, "Chocolate base água", 16, "Vegano", 19, "Alcoólicos", 22, "Zero", 25, "Gelatos Proteicos", 28, 7), 2)) + (ROUND(J313,4) &gt; INDEX('Tabela de ingredientes'!$O$1:$V$30, SWITCH(B313, "Gelatos de Leite", 8, "Sorbets", 11, "Gelatos de Leite com Fruta", 14, "Chocolate base água", 17, "Vegano", 20, "Alcoólicos", 23, "Zero", 26, "Gelatos Proteicos", 29, 8), 2)) + (ROUND(K313,4) &lt; INDEX('Tabela de ingredientes'!$O$1:$V$30, SWITCH(B313, "Gelatos de Leite", 7, "Sorbets", 10, "Gelatos de Leite com Fruta", 13, "Chocolate base água", 16, "Vegano", 19, "Alcoólicos", 22, "Zero", 25, "Gelatos Proteicos", 28, 7), 3)) + (ROUND(K313,4) &gt; INDEX('Tabela de ingredientes'!$O$1:$V$30, SWITCH(B313, "Gelatos de Leite", 8, "Sorbets", 11, "Gelatos de Leite com Fruta", 14, "Chocolate base água", 17, "Vegano", 20, "Alcoólicos", 23, "Zero", 26, "Gelatos Proteicos", 29, 8), 3)) + (ROUND(L313,4) &lt; INDEX('Tabela de ingredientes'!$O$1:$V$30, SWITCH(B313, "Gelatos de Leite", 7, "Sorbets", 10, "Gelatos de Leite com Fruta", 13, "Chocolate base água", 16, "Vegano", 19, "Alcoólicos", 22, "Zero", 25, "Gelatos Proteicos", 28, 7), 4)) + (ROUND(L313,4) &gt; INDEX('Tabela de ingredientes'!$O$1:$V$30, SWITCH(B313, "Gelatos de Leite", 8, "Sorbets", 11, "Gelatos de Leite com Fruta", 14, "Chocolate base água", 17, "Vegano", 20, "Alcoólicos", 23, "Zero", 26, "Gelatos Proteicos", 29, 8), 4)) + (ROUND(M313,4) &lt; INDEX('Tabela de ingredientes'!$O$1:$V$30, SWITCH(B313, "Gelatos de Leite", 7, "Sorbets", 10, "Gelatos de Leite com Fruta", 13, "Chocolate base água", 16, "Vegano", 19, "Alcoólicos", 22, "Zero", 25, "Gelatos Proteicos", 28, 7), 5)) + (ROUND(M313,4) &gt; INDEX('Tabela de ingredientes'!$O$1:$V$30, SWITCH(B313, "Gelatos de Leite", 8, "Sorbets", 11, "Gelatos de Leite com Fruta", 14, "Chocolate base água", 17, "Vegano", 20, "Alcoólicos", 23, "Zero", 26, "Gelatos Proteicos", 29, 8), 5)) + (ROUND(N313,4) &lt; INDEX('Tabela de ingredientes'!$O$1:$V$30, SWITCH(B313, "Gelatos de Leite", 7, "Sorbets", 10, "Gelatos de Leite com Fruta", 13, "Chocolate base água", 16, "Vegano", 19, "Alcoólicos", 22, "Zero", 25, "Gelatos Proteicos", 28, 7), 6)) + (ROUND(N313,4) &gt; INDEX('Tabela de ingredientes'!$O$1:$V$30, SWITCH(B313, "Gelatos de Leite", 8, "Sorbets", 11, "Gelatos de Leite com Fruta", 14, "Chocolate base água", 17, "Vegano", 20, "Alcoólicos", 23, "Zero", 26, "Gelatos Proteicos", 29, 8), 6)) + (ROUND(O313,4) &lt; INDEX('Tabela de ingredientes'!$O$1:$V$30, SWITCH(B313, "Gelatos de Leite", 7, "Sorbets", 10, "Gelatos de Leite com Fruta", 13, "Chocolate base água", 16, "Vegano", 19, "Alcoólicos", 22, "Zero", 25, "Gelatos Proteicos", 28, 7), 7)) + (ROUND(O313,4) &gt; INDEX('Tabela de ingredientes'!$O$1:$V$30, SWITCH(B313, "Gelatos de Leite", 8, "Sorbets", 11, "Gelatos de Leite com Fruta", 14, "Chocolate base água", 17, "Vegano", 20, "Alcoólicos", 23, "Zero", 26, "Gelatos Proteicos", 29, 8), 7)) + (ROUND(P313,4) &lt; INDEX('Tabela de ingredientes'!$O$1:$V$30, SWITCH(B313, "Gelatos de Leite", 7, "Sorbets", 10, "Gelatos de Leite com Fruta", 13, "Chocolate base água", 16, "Vegano", 19, "Alcoólicos", 22, "Zero", 25, "Gelatos Proteicos", 28, 7), 8)) + (ROUND(P313,4) &gt; INDEX('Tabela de ingredientes'!$O$1:$V$30, SWITCH(B313, "Gelatos de Leite", 8, "Sorbets", 11, "Gelatos de Leite com Fruta", 14, "Chocolate base água", 17, "Vegano", 20, "Alcoólicos", 23, "Zero", 26, "Gelatos Proteicos", 29, 8), 8)) + IF(B313="Gelatos Proteicos", (ROUND(Q313,4)&lt;'Tabela de ingredientes'!$W$28)+(ROUND(Q313,4)&gt;'Tabela de ingredientes'!$W$29), 0) = 0, "Ok", "Revisar"))</f>
        <v/>
      </c>
    </row>
    <row r="314">
      <c r="A314" s="264"/>
      <c r="B314" s="264" t="s">
        <v>187</v>
      </c>
      <c r="C314" s="264" t="s">
        <v>187</v>
      </c>
      <c r="D314" s="264" t="s">
        <v>187</v>
      </c>
      <c r="E314" s="264" t="s">
        <v>187</v>
      </c>
      <c r="F314" s="264" t="s">
        <v>187</v>
      </c>
      <c r="G314" s="264" t="s">
        <v>187</v>
      </c>
      <c r="H314" s="264" t="s">
        <v>187</v>
      </c>
      <c r="I314" s="264" t="s">
        <v>187</v>
      </c>
      <c r="J314" s="264" t="s">
        <v>187</v>
      </c>
      <c r="K314" s="264" t="s">
        <v>187</v>
      </c>
      <c r="L314" s="264" t="s">
        <v>187</v>
      </c>
      <c r="M314" s="264" t="s">
        <v>187</v>
      </c>
      <c r="N314" s="264" t="s">
        <v>187</v>
      </c>
      <c r="O314" s="264" t="s">
        <v>187</v>
      </c>
      <c r="P314" s="264" t="s">
        <v>187</v>
      </c>
      <c r="Q314" s="264" t="s">
        <v>187</v>
      </c>
      <c r="R314" s="264" t="s">
        <v>187</v>
      </c>
      <c r="S314" s="97" t="str">
        <f t="array" ref="S314">IF(A314="","", IF( (ROUND(I314,4) &lt; INDEX('Tabela de ingredientes'!$O$1:$V$30, SWITCH(B314, "Gelatos de Leite", 7, "Sorbets", 10, "Gelatos de Leite com Fruta", 13, "Chocolate base água", 16, "Vegano", 19, "Alcoólicos", 22, "Zero", 25, "Gelatos Proteicos", 28, 7), 1)) + (ROUND(I314,4) &gt; INDEX('Tabela de ingredientes'!$O$1:$V$30, SWITCH(B314, "Gelatos de Leite", 8, "Sorbets", 11, "Gelatos de Leite com Fruta", 14, "Chocolate base água", 17, "Vegano", 20, "Alcoólicos", 23, "Zero", 26, "Gelatos Proteicos", 29, 8), 1)) + (ROUND(J314,4) &lt; INDEX('Tabela de ingredientes'!$O$1:$V$30, SWITCH(B314, "Gelatos de Leite", 7, "Sorbets", 10, "Gelatos de Leite com Fruta", 13, "Chocolate base água", 16, "Vegano", 19, "Alcoólicos", 22, "Zero", 25, "Gelatos Proteicos", 28, 7), 2)) + (ROUND(J314,4) &gt; INDEX('Tabela de ingredientes'!$O$1:$V$30, SWITCH(B314, "Gelatos de Leite", 8, "Sorbets", 11, "Gelatos de Leite com Fruta", 14, "Chocolate base água", 17, "Vegano", 20, "Alcoólicos", 23, "Zero", 26, "Gelatos Proteicos", 29, 8), 2)) + (ROUND(K314,4) &lt; INDEX('Tabela de ingredientes'!$O$1:$V$30, SWITCH(B314, "Gelatos de Leite", 7, "Sorbets", 10, "Gelatos de Leite com Fruta", 13, "Chocolate base água", 16, "Vegano", 19, "Alcoólicos", 22, "Zero", 25, "Gelatos Proteicos", 28, 7), 3)) + (ROUND(K314,4) &gt; INDEX('Tabela de ingredientes'!$O$1:$V$30, SWITCH(B314, "Gelatos de Leite", 8, "Sorbets", 11, "Gelatos de Leite com Fruta", 14, "Chocolate base água", 17, "Vegano", 20, "Alcoólicos", 23, "Zero", 26, "Gelatos Proteicos", 29, 8), 3)) + (ROUND(L314,4) &lt; INDEX('Tabela de ingredientes'!$O$1:$V$30, SWITCH(B314, "Gelatos de Leite", 7, "Sorbets", 10, "Gelatos de Leite com Fruta", 13, "Chocolate base água", 16, "Vegano", 19, "Alcoólicos", 22, "Zero", 25, "Gelatos Proteicos", 28, 7), 4)) + (ROUND(L314,4) &gt; INDEX('Tabela de ingredientes'!$O$1:$V$30, SWITCH(B314, "Gelatos de Leite", 8, "Sorbets", 11, "Gelatos de Leite com Fruta", 14, "Chocolate base água", 17, "Vegano", 20, "Alcoólicos", 23, "Zero", 26, "Gelatos Proteicos", 29, 8), 4)) + (ROUND(M314,4) &lt; INDEX('Tabela de ingredientes'!$O$1:$V$30, SWITCH(B314, "Gelatos de Leite", 7, "Sorbets", 10, "Gelatos de Leite com Fruta", 13, "Chocolate base água", 16, "Vegano", 19, "Alcoólicos", 22, "Zero", 25, "Gelatos Proteicos", 28, 7), 5)) + (ROUND(M314,4) &gt; INDEX('Tabela de ingredientes'!$O$1:$V$30, SWITCH(B314, "Gelatos de Leite", 8, "Sorbets", 11, "Gelatos de Leite com Fruta", 14, "Chocolate base água", 17, "Vegano", 20, "Alcoólicos", 23, "Zero", 26, "Gelatos Proteicos", 29, 8), 5)) + (ROUND(N314,4) &lt; INDEX('Tabela de ingredientes'!$O$1:$V$30, SWITCH(B314, "Gelatos de Leite", 7, "Sorbets", 10, "Gelatos de Leite com Fruta", 13, "Chocolate base água", 16, "Vegano", 19, "Alcoólicos", 22, "Zero", 25, "Gelatos Proteicos", 28, 7), 6)) + (ROUND(N314,4) &gt; INDEX('Tabela de ingredientes'!$O$1:$V$30, SWITCH(B314, "Gelatos de Leite", 8, "Sorbets", 11, "Gelatos de Leite com Fruta", 14, "Chocolate base água", 17, "Vegano", 20, "Alcoólicos", 23, "Zero", 26, "Gelatos Proteicos", 29, 8), 6)) + (ROUND(O314,4) &lt; INDEX('Tabela de ingredientes'!$O$1:$V$30, SWITCH(B314, "Gelatos de Leite", 7, "Sorbets", 10, "Gelatos de Leite com Fruta", 13, "Chocolate base água", 16, "Vegano", 19, "Alcoólicos", 22, "Zero", 25, "Gelatos Proteicos", 28, 7), 7)) + (ROUND(O314,4) &gt; INDEX('Tabela de ingredientes'!$O$1:$V$30, SWITCH(B314, "Gelatos de Leite", 8, "Sorbets", 11, "Gelatos de Leite com Fruta", 14, "Chocolate base água", 17, "Vegano", 20, "Alcoólicos", 23, "Zero", 26, "Gelatos Proteicos", 29, 8), 7)) + (ROUND(P314,4) &lt; INDEX('Tabela de ingredientes'!$O$1:$V$30, SWITCH(B314, "Gelatos de Leite", 7, "Sorbets", 10, "Gelatos de Leite com Fruta", 13, "Chocolate base água", 16, "Vegano", 19, "Alcoólicos", 22, "Zero", 25, "Gelatos Proteicos", 28, 7), 8)) + (ROUND(P314,4) &gt; INDEX('Tabela de ingredientes'!$O$1:$V$30, SWITCH(B314, "Gelatos de Leite", 8, "Sorbets", 11, "Gelatos de Leite com Fruta", 14, "Chocolate base água", 17, "Vegano", 20, "Alcoólicos", 23, "Zero", 26, "Gelatos Proteicos", 29, 8), 8)) + IF(B314="Gelatos Proteicos", (ROUND(Q314,4)&lt;'Tabela de ingredientes'!$W$28)+(ROUND(Q314,4)&gt;'Tabela de ingredientes'!$W$29), 0) = 0, "Ok", "Revisar"))</f>
        <v/>
      </c>
    </row>
    <row r="315">
      <c r="A315" s="264"/>
      <c r="B315" s="264" t="s">
        <v>187</v>
      </c>
      <c r="C315" s="264" t="s">
        <v>187</v>
      </c>
      <c r="D315" s="264" t="s">
        <v>187</v>
      </c>
      <c r="E315" s="264" t="s">
        <v>187</v>
      </c>
      <c r="F315" s="264" t="s">
        <v>187</v>
      </c>
      <c r="G315" s="264" t="s">
        <v>187</v>
      </c>
      <c r="H315" s="264" t="s">
        <v>187</v>
      </c>
      <c r="I315" s="264" t="s">
        <v>187</v>
      </c>
      <c r="J315" s="264" t="s">
        <v>187</v>
      </c>
      <c r="K315" s="264" t="s">
        <v>187</v>
      </c>
      <c r="L315" s="264" t="s">
        <v>187</v>
      </c>
      <c r="M315" s="264" t="s">
        <v>187</v>
      </c>
      <c r="N315" s="264" t="s">
        <v>187</v>
      </c>
      <c r="O315" s="264" t="s">
        <v>187</v>
      </c>
      <c r="P315" s="264" t="s">
        <v>187</v>
      </c>
      <c r="Q315" s="264" t="s">
        <v>187</v>
      </c>
      <c r="R315" s="264" t="s">
        <v>187</v>
      </c>
      <c r="S315" s="97" t="str">
        <f t="array" ref="S315">IF(A315="","", IF( (ROUND(I315,4) &lt; INDEX('Tabela de ingredientes'!$O$1:$V$30, SWITCH(B315, "Gelatos de Leite", 7, "Sorbets", 10, "Gelatos de Leite com Fruta", 13, "Chocolate base água", 16, "Vegano", 19, "Alcoólicos", 22, "Zero", 25, "Gelatos Proteicos", 28, 7), 1)) + (ROUND(I315,4) &gt; INDEX('Tabela de ingredientes'!$O$1:$V$30, SWITCH(B315, "Gelatos de Leite", 8, "Sorbets", 11, "Gelatos de Leite com Fruta", 14, "Chocolate base água", 17, "Vegano", 20, "Alcoólicos", 23, "Zero", 26, "Gelatos Proteicos", 29, 8), 1)) + (ROUND(J315,4) &lt; INDEX('Tabela de ingredientes'!$O$1:$V$30, SWITCH(B315, "Gelatos de Leite", 7, "Sorbets", 10, "Gelatos de Leite com Fruta", 13, "Chocolate base água", 16, "Vegano", 19, "Alcoólicos", 22, "Zero", 25, "Gelatos Proteicos", 28, 7), 2)) + (ROUND(J315,4) &gt; INDEX('Tabela de ingredientes'!$O$1:$V$30, SWITCH(B315, "Gelatos de Leite", 8, "Sorbets", 11, "Gelatos de Leite com Fruta", 14, "Chocolate base água", 17, "Vegano", 20, "Alcoólicos", 23, "Zero", 26, "Gelatos Proteicos", 29, 8), 2)) + (ROUND(K315,4) &lt; INDEX('Tabela de ingredientes'!$O$1:$V$30, SWITCH(B315, "Gelatos de Leite", 7, "Sorbets", 10, "Gelatos de Leite com Fruta", 13, "Chocolate base água", 16, "Vegano", 19, "Alcoólicos", 22, "Zero", 25, "Gelatos Proteicos", 28, 7), 3)) + (ROUND(K315,4) &gt; INDEX('Tabela de ingredientes'!$O$1:$V$30, SWITCH(B315, "Gelatos de Leite", 8, "Sorbets", 11, "Gelatos de Leite com Fruta", 14, "Chocolate base água", 17, "Vegano", 20, "Alcoólicos", 23, "Zero", 26, "Gelatos Proteicos", 29, 8), 3)) + (ROUND(L315,4) &lt; INDEX('Tabela de ingredientes'!$O$1:$V$30, SWITCH(B315, "Gelatos de Leite", 7, "Sorbets", 10, "Gelatos de Leite com Fruta", 13, "Chocolate base água", 16, "Vegano", 19, "Alcoólicos", 22, "Zero", 25, "Gelatos Proteicos", 28, 7), 4)) + (ROUND(L315,4) &gt; INDEX('Tabela de ingredientes'!$O$1:$V$30, SWITCH(B315, "Gelatos de Leite", 8, "Sorbets", 11, "Gelatos de Leite com Fruta", 14, "Chocolate base água", 17, "Vegano", 20, "Alcoólicos", 23, "Zero", 26, "Gelatos Proteicos", 29, 8), 4)) + (ROUND(M315,4) &lt; INDEX('Tabela de ingredientes'!$O$1:$V$30, SWITCH(B315, "Gelatos de Leite", 7, "Sorbets", 10, "Gelatos de Leite com Fruta", 13, "Chocolate base água", 16, "Vegano", 19, "Alcoólicos", 22, "Zero", 25, "Gelatos Proteicos", 28, 7), 5)) + (ROUND(M315,4) &gt; INDEX('Tabela de ingredientes'!$O$1:$V$30, SWITCH(B315, "Gelatos de Leite", 8, "Sorbets", 11, "Gelatos de Leite com Fruta", 14, "Chocolate base água", 17, "Vegano", 20, "Alcoólicos", 23, "Zero", 26, "Gelatos Proteicos", 29, 8), 5)) + (ROUND(N315,4) &lt; INDEX('Tabela de ingredientes'!$O$1:$V$30, SWITCH(B315, "Gelatos de Leite", 7, "Sorbets", 10, "Gelatos de Leite com Fruta", 13, "Chocolate base água", 16, "Vegano", 19, "Alcoólicos", 22, "Zero", 25, "Gelatos Proteicos", 28, 7), 6)) + (ROUND(N315,4) &gt; INDEX('Tabela de ingredientes'!$O$1:$V$30, SWITCH(B315, "Gelatos de Leite", 8, "Sorbets", 11, "Gelatos de Leite com Fruta", 14, "Chocolate base água", 17, "Vegano", 20, "Alcoólicos", 23, "Zero", 26, "Gelatos Proteicos", 29, 8), 6)) + (ROUND(O315,4) &lt; INDEX('Tabela de ingredientes'!$O$1:$V$30, SWITCH(B315, "Gelatos de Leite", 7, "Sorbets", 10, "Gelatos de Leite com Fruta", 13, "Chocolate base água", 16, "Vegano", 19, "Alcoólicos", 22, "Zero", 25, "Gelatos Proteicos", 28, 7), 7)) + (ROUND(O315,4) &gt; INDEX('Tabela de ingredientes'!$O$1:$V$30, SWITCH(B315, "Gelatos de Leite", 8, "Sorbets", 11, "Gelatos de Leite com Fruta", 14, "Chocolate base água", 17, "Vegano", 20, "Alcoólicos", 23, "Zero", 26, "Gelatos Proteicos", 29, 8), 7)) + (ROUND(P315,4) &lt; INDEX('Tabela de ingredientes'!$O$1:$V$30, SWITCH(B315, "Gelatos de Leite", 7, "Sorbets", 10, "Gelatos de Leite com Fruta", 13, "Chocolate base água", 16, "Vegano", 19, "Alcoólicos", 22, "Zero", 25, "Gelatos Proteicos", 28, 7), 8)) + (ROUND(P315,4) &gt; INDEX('Tabela de ingredientes'!$O$1:$V$30, SWITCH(B315, "Gelatos de Leite", 8, "Sorbets", 11, "Gelatos de Leite com Fruta", 14, "Chocolate base água", 17, "Vegano", 20, "Alcoólicos", 23, "Zero", 26, "Gelatos Proteicos", 29, 8), 8)) + IF(B315="Gelatos Proteicos", (ROUND(Q315,4)&lt;'Tabela de ingredientes'!$W$28)+(ROUND(Q315,4)&gt;'Tabela de ingredientes'!$W$29), 0) = 0, "Ok", "Revisar"))</f>
        <v/>
      </c>
    </row>
    <row r="316">
      <c r="A316" s="264"/>
      <c r="B316" s="264" t="s">
        <v>187</v>
      </c>
      <c r="C316" s="264" t="s">
        <v>187</v>
      </c>
      <c r="D316" s="264" t="s">
        <v>187</v>
      </c>
      <c r="E316" s="264" t="s">
        <v>187</v>
      </c>
      <c r="F316" s="264" t="s">
        <v>187</v>
      </c>
      <c r="G316" s="264" t="s">
        <v>187</v>
      </c>
      <c r="H316" s="264" t="s">
        <v>187</v>
      </c>
      <c r="I316" s="264" t="s">
        <v>187</v>
      </c>
      <c r="J316" s="264" t="s">
        <v>187</v>
      </c>
      <c r="K316" s="264" t="s">
        <v>187</v>
      </c>
      <c r="L316" s="264" t="s">
        <v>187</v>
      </c>
      <c r="M316" s="264" t="s">
        <v>187</v>
      </c>
      <c r="N316" s="264" t="s">
        <v>187</v>
      </c>
      <c r="O316" s="264" t="s">
        <v>187</v>
      </c>
      <c r="P316" s="264" t="s">
        <v>187</v>
      </c>
      <c r="Q316" s="264" t="s">
        <v>187</v>
      </c>
      <c r="R316" s="264" t="s">
        <v>187</v>
      </c>
      <c r="S316" s="97" t="str">
        <f t="array" ref="S316">IF(A316="","", IF( (ROUND(I316,4) &lt; INDEX('Tabela de ingredientes'!$O$1:$V$30, SWITCH(B316, "Gelatos de Leite", 7, "Sorbets", 10, "Gelatos de Leite com Fruta", 13, "Chocolate base água", 16, "Vegano", 19, "Alcoólicos", 22, "Zero", 25, "Gelatos Proteicos", 28, 7), 1)) + (ROUND(I316,4) &gt; INDEX('Tabela de ingredientes'!$O$1:$V$30, SWITCH(B316, "Gelatos de Leite", 8, "Sorbets", 11, "Gelatos de Leite com Fruta", 14, "Chocolate base água", 17, "Vegano", 20, "Alcoólicos", 23, "Zero", 26, "Gelatos Proteicos", 29, 8), 1)) + (ROUND(J316,4) &lt; INDEX('Tabela de ingredientes'!$O$1:$V$30, SWITCH(B316, "Gelatos de Leite", 7, "Sorbets", 10, "Gelatos de Leite com Fruta", 13, "Chocolate base água", 16, "Vegano", 19, "Alcoólicos", 22, "Zero", 25, "Gelatos Proteicos", 28, 7), 2)) + (ROUND(J316,4) &gt; INDEX('Tabela de ingredientes'!$O$1:$V$30, SWITCH(B316, "Gelatos de Leite", 8, "Sorbets", 11, "Gelatos de Leite com Fruta", 14, "Chocolate base água", 17, "Vegano", 20, "Alcoólicos", 23, "Zero", 26, "Gelatos Proteicos", 29, 8), 2)) + (ROUND(K316,4) &lt; INDEX('Tabela de ingredientes'!$O$1:$V$30, SWITCH(B316, "Gelatos de Leite", 7, "Sorbets", 10, "Gelatos de Leite com Fruta", 13, "Chocolate base água", 16, "Vegano", 19, "Alcoólicos", 22, "Zero", 25, "Gelatos Proteicos", 28, 7), 3)) + (ROUND(K316,4) &gt; INDEX('Tabela de ingredientes'!$O$1:$V$30, SWITCH(B316, "Gelatos de Leite", 8, "Sorbets", 11, "Gelatos de Leite com Fruta", 14, "Chocolate base água", 17, "Vegano", 20, "Alcoólicos", 23, "Zero", 26, "Gelatos Proteicos", 29, 8), 3)) + (ROUND(L316,4) &lt; INDEX('Tabela de ingredientes'!$O$1:$V$30, SWITCH(B316, "Gelatos de Leite", 7, "Sorbets", 10, "Gelatos de Leite com Fruta", 13, "Chocolate base água", 16, "Vegano", 19, "Alcoólicos", 22, "Zero", 25, "Gelatos Proteicos", 28, 7), 4)) + (ROUND(L316,4) &gt; INDEX('Tabela de ingredientes'!$O$1:$V$30, SWITCH(B316, "Gelatos de Leite", 8, "Sorbets", 11, "Gelatos de Leite com Fruta", 14, "Chocolate base água", 17, "Vegano", 20, "Alcoólicos", 23, "Zero", 26, "Gelatos Proteicos", 29, 8), 4)) + (ROUND(M316,4) &lt; INDEX('Tabela de ingredientes'!$O$1:$V$30, SWITCH(B316, "Gelatos de Leite", 7, "Sorbets", 10, "Gelatos de Leite com Fruta", 13, "Chocolate base água", 16, "Vegano", 19, "Alcoólicos", 22, "Zero", 25, "Gelatos Proteicos", 28, 7), 5)) + (ROUND(M316,4) &gt; INDEX('Tabela de ingredientes'!$O$1:$V$30, SWITCH(B316, "Gelatos de Leite", 8, "Sorbets", 11, "Gelatos de Leite com Fruta", 14, "Chocolate base água", 17, "Vegano", 20, "Alcoólicos", 23, "Zero", 26, "Gelatos Proteicos", 29, 8), 5)) + (ROUND(N316,4) &lt; INDEX('Tabela de ingredientes'!$O$1:$V$30, SWITCH(B316, "Gelatos de Leite", 7, "Sorbets", 10, "Gelatos de Leite com Fruta", 13, "Chocolate base água", 16, "Vegano", 19, "Alcoólicos", 22, "Zero", 25, "Gelatos Proteicos", 28, 7), 6)) + (ROUND(N316,4) &gt; INDEX('Tabela de ingredientes'!$O$1:$V$30, SWITCH(B316, "Gelatos de Leite", 8, "Sorbets", 11, "Gelatos de Leite com Fruta", 14, "Chocolate base água", 17, "Vegano", 20, "Alcoólicos", 23, "Zero", 26, "Gelatos Proteicos", 29, 8), 6)) + (ROUND(O316,4) &lt; INDEX('Tabela de ingredientes'!$O$1:$V$30, SWITCH(B316, "Gelatos de Leite", 7, "Sorbets", 10, "Gelatos de Leite com Fruta", 13, "Chocolate base água", 16, "Vegano", 19, "Alcoólicos", 22, "Zero", 25, "Gelatos Proteicos", 28, 7), 7)) + (ROUND(O316,4) &gt; INDEX('Tabela de ingredientes'!$O$1:$V$30, SWITCH(B316, "Gelatos de Leite", 8, "Sorbets", 11, "Gelatos de Leite com Fruta", 14, "Chocolate base água", 17, "Vegano", 20, "Alcoólicos", 23, "Zero", 26, "Gelatos Proteicos", 29, 8), 7)) + (ROUND(P316,4) &lt; INDEX('Tabela de ingredientes'!$O$1:$V$30, SWITCH(B316, "Gelatos de Leite", 7, "Sorbets", 10, "Gelatos de Leite com Fruta", 13, "Chocolate base água", 16, "Vegano", 19, "Alcoólicos", 22, "Zero", 25, "Gelatos Proteicos", 28, 7), 8)) + (ROUND(P316,4) &gt; INDEX('Tabela de ingredientes'!$O$1:$V$30, SWITCH(B316, "Gelatos de Leite", 8, "Sorbets", 11, "Gelatos de Leite com Fruta", 14, "Chocolate base água", 17, "Vegano", 20, "Alcoólicos", 23, "Zero", 26, "Gelatos Proteicos", 29, 8), 8)) + IF(B316="Gelatos Proteicos", (ROUND(Q316,4)&lt;'Tabela de ingredientes'!$W$28)+(ROUND(Q316,4)&gt;'Tabela de ingredientes'!$W$29), 0) = 0, "Ok", "Revisar"))</f>
        <v/>
      </c>
    </row>
    <row r="317">
      <c r="A317" s="264"/>
      <c r="B317" s="264" t="s">
        <v>187</v>
      </c>
      <c r="C317" s="264" t="s">
        <v>187</v>
      </c>
      <c r="D317" s="264" t="s">
        <v>187</v>
      </c>
      <c r="E317" s="264" t="s">
        <v>187</v>
      </c>
      <c r="F317" s="264" t="s">
        <v>187</v>
      </c>
      <c r="G317" s="264" t="s">
        <v>187</v>
      </c>
      <c r="H317" s="264" t="s">
        <v>187</v>
      </c>
      <c r="I317" s="264" t="s">
        <v>187</v>
      </c>
      <c r="J317" s="264" t="s">
        <v>187</v>
      </c>
      <c r="K317" s="264" t="s">
        <v>187</v>
      </c>
      <c r="L317" s="264" t="s">
        <v>187</v>
      </c>
      <c r="M317" s="264" t="s">
        <v>187</v>
      </c>
      <c r="N317" s="264" t="s">
        <v>187</v>
      </c>
      <c r="O317" s="264" t="s">
        <v>187</v>
      </c>
      <c r="P317" s="264" t="s">
        <v>187</v>
      </c>
      <c r="Q317" s="264" t="s">
        <v>187</v>
      </c>
      <c r="R317" s="264" t="s">
        <v>187</v>
      </c>
      <c r="S317" s="97" t="str">
        <f t="array" ref="S317">IF(A317="","", IF( (ROUND(I317,4) &lt; INDEX('Tabela de ingredientes'!$O$1:$V$30, SWITCH(B317, "Gelatos de Leite", 7, "Sorbets", 10, "Gelatos de Leite com Fruta", 13, "Chocolate base água", 16, "Vegano", 19, "Alcoólicos", 22, "Zero", 25, "Gelatos Proteicos", 28, 7), 1)) + (ROUND(I317,4) &gt; INDEX('Tabela de ingredientes'!$O$1:$V$30, SWITCH(B317, "Gelatos de Leite", 8, "Sorbets", 11, "Gelatos de Leite com Fruta", 14, "Chocolate base água", 17, "Vegano", 20, "Alcoólicos", 23, "Zero", 26, "Gelatos Proteicos", 29, 8), 1)) + (ROUND(J317,4) &lt; INDEX('Tabela de ingredientes'!$O$1:$V$30, SWITCH(B317, "Gelatos de Leite", 7, "Sorbets", 10, "Gelatos de Leite com Fruta", 13, "Chocolate base água", 16, "Vegano", 19, "Alcoólicos", 22, "Zero", 25, "Gelatos Proteicos", 28, 7), 2)) + (ROUND(J317,4) &gt; INDEX('Tabela de ingredientes'!$O$1:$V$30, SWITCH(B317, "Gelatos de Leite", 8, "Sorbets", 11, "Gelatos de Leite com Fruta", 14, "Chocolate base água", 17, "Vegano", 20, "Alcoólicos", 23, "Zero", 26, "Gelatos Proteicos", 29, 8), 2)) + (ROUND(K317,4) &lt; INDEX('Tabela de ingredientes'!$O$1:$V$30, SWITCH(B317, "Gelatos de Leite", 7, "Sorbets", 10, "Gelatos de Leite com Fruta", 13, "Chocolate base água", 16, "Vegano", 19, "Alcoólicos", 22, "Zero", 25, "Gelatos Proteicos", 28, 7), 3)) + (ROUND(K317,4) &gt; INDEX('Tabela de ingredientes'!$O$1:$V$30, SWITCH(B317, "Gelatos de Leite", 8, "Sorbets", 11, "Gelatos de Leite com Fruta", 14, "Chocolate base água", 17, "Vegano", 20, "Alcoólicos", 23, "Zero", 26, "Gelatos Proteicos", 29, 8), 3)) + (ROUND(L317,4) &lt; INDEX('Tabela de ingredientes'!$O$1:$V$30, SWITCH(B317, "Gelatos de Leite", 7, "Sorbets", 10, "Gelatos de Leite com Fruta", 13, "Chocolate base água", 16, "Vegano", 19, "Alcoólicos", 22, "Zero", 25, "Gelatos Proteicos", 28, 7), 4)) + (ROUND(L317,4) &gt; INDEX('Tabela de ingredientes'!$O$1:$V$30, SWITCH(B317, "Gelatos de Leite", 8, "Sorbets", 11, "Gelatos de Leite com Fruta", 14, "Chocolate base água", 17, "Vegano", 20, "Alcoólicos", 23, "Zero", 26, "Gelatos Proteicos", 29, 8), 4)) + (ROUND(M317,4) &lt; INDEX('Tabela de ingredientes'!$O$1:$V$30, SWITCH(B317, "Gelatos de Leite", 7, "Sorbets", 10, "Gelatos de Leite com Fruta", 13, "Chocolate base água", 16, "Vegano", 19, "Alcoólicos", 22, "Zero", 25, "Gelatos Proteicos", 28, 7), 5)) + (ROUND(M317,4) &gt; INDEX('Tabela de ingredientes'!$O$1:$V$30, SWITCH(B317, "Gelatos de Leite", 8, "Sorbets", 11, "Gelatos de Leite com Fruta", 14, "Chocolate base água", 17, "Vegano", 20, "Alcoólicos", 23, "Zero", 26, "Gelatos Proteicos", 29, 8), 5)) + (ROUND(N317,4) &lt; INDEX('Tabela de ingredientes'!$O$1:$V$30, SWITCH(B317, "Gelatos de Leite", 7, "Sorbets", 10, "Gelatos de Leite com Fruta", 13, "Chocolate base água", 16, "Vegano", 19, "Alcoólicos", 22, "Zero", 25, "Gelatos Proteicos", 28, 7), 6)) + (ROUND(N317,4) &gt; INDEX('Tabela de ingredientes'!$O$1:$V$30, SWITCH(B317, "Gelatos de Leite", 8, "Sorbets", 11, "Gelatos de Leite com Fruta", 14, "Chocolate base água", 17, "Vegano", 20, "Alcoólicos", 23, "Zero", 26, "Gelatos Proteicos", 29, 8), 6)) + (ROUND(O317,4) &lt; INDEX('Tabela de ingredientes'!$O$1:$V$30, SWITCH(B317, "Gelatos de Leite", 7, "Sorbets", 10, "Gelatos de Leite com Fruta", 13, "Chocolate base água", 16, "Vegano", 19, "Alcoólicos", 22, "Zero", 25, "Gelatos Proteicos", 28, 7), 7)) + (ROUND(O317,4) &gt; INDEX('Tabela de ingredientes'!$O$1:$V$30, SWITCH(B317, "Gelatos de Leite", 8, "Sorbets", 11, "Gelatos de Leite com Fruta", 14, "Chocolate base água", 17, "Vegano", 20, "Alcoólicos", 23, "Zero", 26, "Gelatos Proteicos", 29, 8), 7)) + (ROUND(P317,4) &lt; INDEX('Tabela de ingredientes'!$O$1:$V$30, SWITCH(B317, "Gelatos de Leite", 7, "Sorbets", 10, "Gelatos de Leite com Fruta", 13, "Chocolate base água", 16, "Vegano", 19, "Alcoólicos", 22, "Zero", 25, "Gelatos Proteicos", 28, 7), 8)) + (ROUND(P317,4) &gt; INDEX('Tabela de ingredientes'!$O$1:$V$30, SWITCH(B317, "Gelatos de Leite", 8, "Sorbets", 11, "Gelatos de Leite com Fruta", 14, "Chocolate base água", 17, "Vegano", 20, "Alcoólicos", 23, "Zero", 26, "Gelatos Proteicos", 29, 8), 8)) + IF(B317="Gelatos Proteicos", (ROUND(Q317,4)&lt;'Tabela de ingredientes'!$W$28)+(ROUND(Q317,4)&gt;'Tabela de ingredientes'!$W$29), 0) = 0, "Ok", "Revisar"))</f>
        <v/>
      </c>
    </row>
    <row r="318">
      <c r="A318" s="264"/>
      <c r="B318" s="264" t="s">
        <v>187</v>
      </c>
      <c r="C318" s="264" t="s">
        <v>187</v>
      </c>
      <c r="D318" s="264" t="s">
        <v>187</v>
      </c>
      <c r="E318" s="264" t="s">
        <v>187</v>
      </c>
      <c r="F318" s="264" t="s">
        <v>187</v>
      </c>
      <c r="G318" s="264" t="s">
        <v>187</v>
      </c>
      <c r="H318" s="264" t="s">
        <v>187</v>
      </c>
      <c r="I318" s="264" t="s">
        <v>187</v>
      </c>
      <c r="J318" s="264" t="s">
        <v>187</v>
      </c>
      <c r="K318" s="264" t="s">
        <v>187</v>
      </c>
      <c r="L318" s="264" t="s">
        <v>187</v>
      </c>
      <c r="M318" s="264" t="s">
        <v>187</v>
      </c>
      <c r="N318" s="264" t="s">
        <v>187</v>
      </c>
      <c r="O318" s="264" t="s">
        <v>187</v>
      </c>
      <c r="P318" s="264" t="s">
        <v>187</v>
      </c>
      <c r="Q318" s="264" t="s">
        <v>187</v>
      </c>
      <c r="R318" s="264" t="s">
        <v>187</v>
      </c>
      <c r="S318" s="97" t="str">
        <f t="array" ref="S318">IF(A318="","", IF( (ROUND(I318,4) &lt; INDEX('Tabela de ingredientes'!$O$1:$V$30, SWITCH(B318, "Gelatos de Leite", 7, "Sorbets", 10, "Gelatos de Leite com Fruta", 13, "Chocolate base água", 16, "Vegano", 19, "Alcoólicos", 22, "Zero", 25, "Gelatos Proteicos", 28, 7), 1)) + (ROUND(I318,4) &gt; INDEX('Tabela de ingredientes'!$O$1:$V$30, SWITCH(B318, "Gelatos de Leite", 8, "Sorbets", 11, "Gelatos de Leite com Fruta", 14, "Chocolate base água", 17, "Vegano", 20, "Alcoólicos", 23, "Zero", 26, "Gelatos Proteicos", 29, 8), 1)) + (ROUND(J318,4) &lt; INDEX('Tabela de ingredientes'!$O$1:$V$30, SWITCH(B318, "Gelatos de Leite", 7, "Sorbets", 10, "Gelatos de Leite com Fruta", 13, "Chocolate base água", 16, "Vegano", 19, "Alcoólicos", 22, "Zero", 25, "Gelatos Proteicos", 28, 7), 2)) + (ROUND(J318,4) &gt; INDEX('Tabela de ingredientes'!$O$1:$V$30, SWITCH(B318, "Gelatos de Leite", 8, "Sorbets", 11, "Gelatos de Leite com Fruta", 14, "Chocolate base água", 17, "Vegano", 20, "Alcoólicos", 23, "Zero", 26, "Gelatos Proteicos", 29, 8), 2)) + (ROUND(K318,4) &lt; INDEX('Tabela de ingredientes'!$O$1:$V$30, SWITCH(B318, "Gelatos de Leite", 7, "Sorbets", 10, "Gelatos de Leite com Fruta", 13, "Chocolate base água", 16, "Vegano", 19, "Alcoólicos", 22, "Zero", 25, "Gelatos Proteicos", 28, 7), 3)) + (ROUND(K318,4) &gt; INDEX('Tabela de ingredientes'!$O$1:$V$30, SWITCH(B318, "Gelatos de Leite", 8, "Sorbets", 11, "Gelatos de Leite com Fruta", 14, "Chocolate base água", 17, "Vegano", 20, "Alcoólicos", 23, "Zero", 26, "Gelatos Proteicos", 29, 8), 3)) + (ROUND(L318,4) &lt; INDEX('Tabela de ingredientes'!$O$1:$V$30, SWITCH(B318, "Gelatos de Leite", 7, "Sorbets", 10, "Gelatos de Leite com Fruta", 13, "Chocolate base água", 16, "Vegano", 19, "Alcoólicos", 22, "Zero", 25, "Gelatos Proteicos", 28, 7), 4)) + (ROUND(L318,4) &gt; INDEX('Tabela de ingredientes'!$O$1:$V$30, SWITCH(B318, "Gelatos de Leite", 8, "Sorbets", 11, "Gelatos de Leite com Fruta", 14, "Chocolate base água", 17, "Vegano", 20, "Alcoólicos", 23, "Zero", 26, "Gelatos Proteicos", 29, 8), 4)) + (ROUND(M318,4) &lt; INDEX('Tabela de ingredientes'!$O$1:$V$30, SWITCH(B318, "Gelatos de Leite", 7, "Sorbets", 10, "Gelatos de Leite com Fruta", 13, "Chocolate base água", 16, "Vegano", 19, "Alcoólicos", 22, "Zero", 25, "Gelatos Proteicos", 28, 7), 5)) + (ROUND(M318,4) &gt; INDEX('Tabela de ingredientes'!$O$1:$V$30, SWITCH(B318, "Gelatos de Leite", 8, "Sorbets", 11, "Gelatos de Leite com Fruta", 14, "Chocolate base água", 17, "Vegano", 20, "Alcoólicos", 23, "Zero", 26, "Gelatos Proteicos", 29, 8), 5)) + (ROUND(N318,4) &lt; INDEX('Tabela de ingredientes'!$O$1:$V$30, SWITCH(B318, "Gelatos de Leite", 7, "Sorbets", 10, "Gelatos de Leite com Fruta", 13, "Chocolate base água", 16, "Vegano", 19, "Alcoólicos", 22, "Zero", 25, "Gelatos Proteicos", 28, 7), 6)) + (ROUND(N318,4) &gt; INDEX('Tabela de ingredientes'!$O$1:$V$30, SWITCH(B318, "Gelatos de Leite", 8, "Sorbets", 11, "Gelatos de Leite com Fruta", 14, "Chocolate base água", 17, "Vegano", 20, "Alcoólicos", 23, "Zero", 26, "Gelatos Proteicos", 29, 8), 6)) + (ROUND(O318,4) &lt; INDEX('Tabela de ingredientes'!$O$1:$V$30, SWITCH(B318, "Gelatos de Leite", 7, "Sorbets", 10, "Gelatos de Leite com Fruta", 13, "Chocolate base água", 16, "Vegano", 19, "Alcoólicos", 22, "Zero", 25, "Gelatos Proteicos", 28, 7), 7)) + (ROUND(O318,4) &gt; INDEX('Tabela de ingredientes'!$O$1:$V$30, SWITCH(B318, "Gelatos de Leite", 8, "Sorbets", 11, "Gelatos de Leite com Fruta", 14, "Chocolate base água", 17, "Vegano", 20, "Alcoólicos", 23, "Zero", 26, "Gelatos Proteicos", 29, 8), 7)) + (ROUND(P318,4) &lt; INDEX('Tabela de ingredientes'!$O$1:$V$30, SWITCH(B318, "Gelatos de Leite", 7, "Sorbets", 10, "Gelatos de Leite com Fruta", 13, "Chocolate base água", 16, "Vegano", 19, "Alcoólicos", 22, "Zero", 25, "Gelatos Proteicos", 28, 7), 8)) + (ROUND(P318,4) &gt; INDEX('Tabela de ingredientes'!$O$1:$V$30, SWITCH(B318, "Gelatos de Leite", 8, "Sorbets", 11, "Gelatos de Leite com Fruta", 14, "Chocolate base água", 17, "Vegano", 20, "Alcoólicos", 23, "Zero", 26, "Gelatos Proteicos", 29, 8), 8)) + IF(B318="Gelatos Proteicos", (ROUND(Q318,4)&lt;'Tabela de ingredientes'!$W$28)+(ROUND(Q318,4)&gt;'Tabela de ingredientes'!$W$29), 0) = 0, "Ok", "Revisar"))</f>
        <v/>
      </c>
    </row>
    <row r="319">
      <c r="A319" s="264"/>
      <c r="B319" s="264" t="s">
        <v>187</v>
      </c>
      <c r="C319" s="264" t="s">
        <v>187</v>
      </c>
      <c r="D319" s="264" t="s">
        <v>187</v>
      </c>
      <c r="E319" s="264" t="s">
        <v>187</v>
      </c>
      <c r="F319" s="264" t="s">
        <v>187</v>
      </c>
      <c r="G319" s="264" t="s">
        <v>187</v>
      </c>
      <c r="H319" s="264" t="s">
        <v>187</v>
      </c>
      <c r="I319" s="264" t="s">
        <v>187</v>
      </c>
      <c r="J319" s="264" t="s">
        <v>187</v>
      </c>
      <c r="K319" s="264" t="s">
        <v>187</v>
      </c>
      <c r="L319" s="264" t="s">
        <v>187</v>
      </c>
      <c r="M319" s="264" t="s">
        <v>187</v>
      </c>
      <c r="N319" s="264" t="s">
        <v>187</v>
      </c>
      <c r="O319" s="264" t="s">
        <v>187</v>
      </c>
      <c r="P319" s="264" t="s">
        <v>187</v>
      </c>
      <c r="Q319" s="264" t="s">
        <v>187</v>
      </c>
      <c r="R319" s="264" t="s">
        <v>187</v>
      </c>
      <c r="S319" s="97" t="str">
        <f t="array" ref="S319">IF(A319="","", IF( (ROUND(I319,4) &lt; INDEX('Tabela de ingredientes'!$O$1:$V$30, SWITCH(B319, "Gelatos de Leite", 7, "Sorbets", 10, "Gelatos de Leite com Fruta", 13, "Chocolate base água", 16, "Vegano", 19, "Alcoólicos", 22, "Zero", 25, "Gelatos Proteicos", 28, 7), 1)) + (ROUND(I319,4) &gt; INDEX('Tabela de ingredientes'!$O$1:$V$30, SWITCH(B319, "Gelatos de Leite", 8, "Sorbets", 11, "Gelatos de Leite com Fruta", 14, "Chocolate base água", 17, "Vegano", 20, "Alcoólicos", 23, "Zero", 26, "Gelatos Proteicos", 29, 8), 1)) + (ROUND(J319,4) &lt; INDEX('Tabela de ingredientes'!$O$1:$V$30, SWITCH(B319, "Gelatos de Leite", 7, "Sorbets", 10, "Gelatos de Leite com Fruta", 13, "Chocolate base água", 16, "Vegano", 19, "Alcoólicos", 22, "Zero", 25, "Gelatos Proteicos", 28, 7), 2)) + (ROUND(J319,4) &gt; INDEX('Tabela de ingredientes'!$O$1:$V$30, SWITCH(B319, "Gelatos de Leite", 8, "Sorbets", 11, "Gelatos de Leite com Fruta", 14, "Chocolate base água", 17, "Vegano", 20, "Alcoólicos", 23, "Zero", 26, "Gelatos Proteicos", 29, 8), 2)) + (ROUND(K319,4) &lt; INDEX('Tabela de ingredientes'!$O$1:$V$30, SWITCH(B319, "Gelatos de Leite", 7, "Sorbets", 10, "Gelatos de Leite com Fruta", 13, "Chocolate base água", 16, "Vegano", 19, "Alcoólicos", 22, "Zero", 25, "Gelatos Proteicos", 28, 7), 3)) + (ROUND(K319,4) &gt; INDEX('Tabela de ingredientes'!$O$1:$V$30, SWITCH(B319, "Gelatos de Leite", 8, "Sorbets", 11, "Gelatos de Leite com Fruta", 14, "Chocolate base água", 17, "Vegano", 20, "Alcoólicos", 23, "Zero", 26, "Gelatos Proteicos", 29, 8), 3)) + (ROUND(L319,4) &lt; INDEX('Tabela de ingredientes'!$O$1:$V$30, SWITCH(B319, "Gelatos de Leite", 7, "Sorbets", 10, "Gelatos de Leite com Fruta", 13, "Chocolate base água", 16, "Vegano", 19, "Alcoólicos", 22, "Zero", 25, "Gelatos Proteicos", 28, 7), 4)) + (ROUND(L319,4) &gt; INDEX('Tabela de ingredientes'!$O$1:$V$30, SWITCH(B319, "Gelatos de Leite", 8, "Sorbets", 11, "Gelatos de Leite com Fruta", 14, "Chocolate base água", 17, "Vegano", 20, "Alcoólicos", 23, "Zero", 26, "Gelatos Proteicos", 29, 8), 4)) + (ROUND(M319,4) &lt; INDEX('Tabela de ingredientes'!$O$1:$V$30, SWITCH(B319, "Gelatos de Leite", 7, "Sorbets", 10, "Gelatos de Leite com Fruta", 13, "Chocolate base água", 16, "Vegano", 19, "Alcoólicos", 22, "Zero", 25, "Gelatos Proteicos", 28, 7), 5)) + (ROUND(M319,4) &gt; INDEX('Tabela de ingredientes'!$O$1:$V$30, SWITCH(B319, "Gelatos de Leite", 8, "Sorbets", 11, "Gelatos de Leite com Fruta", 14, "Chocolate base água", 17, "Vegano", 20, "Alcoólicos", 23, "Zero", 26, "Gelatos Proteicos", 29, 8), 5)) + (ROUND(N319,4) &lt; INDEX('Tabela de ingredientes'!$O$1:$V$30, SWITCH(B319, "Gelatos de Leite", 7, "Sorbets", 10, "Gelatos de Leite com Fruta", 13, "Chocolate base água", 16, "Vegano", 19, "Alcoólicos", 22, "Zero", 25, "Gelatos Proteicos", 28, 7), 6)) + (ROUND(N319,4) &gt; INDEX('Tabela de ingredientes'!$O$1:$V$30, SWITCH(B319, "Gelatos de Leite", 8, "Sorbets", 11, "Gelatos de Leite com Fruta", 14, "Chocolate base água", 17, "Vegano", 20, "Alcoólicos", 23, "Zero", 26, "Gelatos Proteicos", 29, 8), 6)) + (ROUND(O319,4) &lt; INDEX('Tabela de ingredientes'!$O$1:$V$30, SWITCH(B319, "Gelatos de Leite", 7, "Sorbets", 10, "Gelatos de Leite com Fruta", 13, "Chocolate base água", 16, "Vegano", 19, "Alcoólicos", 22, "Zero", 25, "Gelatos Proteicos", 28, 7), 7)) + (ROUND(O319,4) &gt; INDEX('Tabela de ingredientes'!$O$1:$V$30, SWITCH(B319, "Gelatos de Leite", 8, "Sorbets", 11, "Gelatos de Leite com Fruta", 14, "Chocolate base água", 17, "Vegano", 20, "Alcoólicos", 23, "Zero", 26, "Gelatos Proteicos", 29, 8), 7)) + (ROUND(P319,4) &lt; INDEX('Tabela de ingredientes'!$O$1:$V$30, SWITCH(B319, "Gelatos de Leite", 7, "Sorbets", 10, "Gelatos de Leite com Fruta", 13, "Chocolate base água", 16, "Vegano", 19, "Alcoólicos", 22, "Zero", 25, "Gelatos Proteicos", 28, 7), 8)) + (ROUND(P319,4) &gt; INDEX('Tabela de ingredientes'!$O$1:$V$30, SWITCH(B319, "Gelatos de Leite", 8, "Sorbets", 11, "Gelatos de Leite com Fruta", 14, "Chocolate base água", 17, "Vegano", 20, "Alcoólicos", 23, "Zero", 26, "Gelatos Proteicos", 29, 8), 8)) + IF(B319="Gelatos Proteicos", (ROUND(Q319,4)&lt;'Tabela de ingredientes'!$W$28)+(ROUND(Q319,4)&gt;'Tabela de ingredientes'!$W$29), 0) = 0, "Ok", "Revisar"))</f>
        <v/>
      </c>
    </row>
    <row r="320">
      <c r="A320" s="264"/>
      <c r="B320" s="264" t="s">
        <v>187</v>
      </c>
      <c r="C320" s="264" t="s">
        <v>187</v>
      </c>
      <c r="D320" s="264" t="s">
        <v>187</v>
      </c>
      <c r="E320" s="264" t="s">
        <v>187</v>
      </c>
      <c r="F320" s="264" t="s">
        <v>187</v>
      </c>
      <c r="G320" s="264" t="s">
        <v>187</v>
      </c>
      <c r="H320" s="264" t="s">
        <v>187</v>
      </c>
      <c r="I320" s="264" t="s">
        <v>187</v>
      </c>
      <c r="J320" s="264" t="s">
        <v>187</v>
      </c>
      <c r="K320" s="264" t="s">
        <v>187</v>
      </c>
      <c r="L320" s="264" t="s">
        <v>187</v>
      </c>
      <c r="M320" s="264" t="s">
        <v>187</v>
      </c>
      <c r="N320" s="264" t="s">
        <v>187</v>
      </c>
      <c r="O320" s="264" t="s">
        <v>187</v>
      </c>
      <c r="P320" s="264" t="s">
        <v>187</v>
      </c>
      <c r="Q320" s="264" t="s">
        <v>187</v>
      </c>
      <c r="R320" s="264" t="s">
        <v>187</v>
      </c>
      <c r="S320" s="97" t="str">
        <f t="array" ref="S320">IF(A320="","", IF( (ROUND(I320,4) &lt; INDEX('Tabela de ingredientes'!$O$1:$V$30, SWITCH(B320, "Gelatos de Leite", 7, "Sorbets", 10, "Gelatos de Leite com Fruta", 13, "Chocolate base água", 16, "Vegano", 19, "Alcoólicos", 22, "Zero", 25, "Gelatos Proteicos", 28, 7), 1)) + (ROUND(I320,4) &gt; INDEX('Tabela de ingredientes'!$O$1:$V$30, SWITCH(B320, "Gelatos de Leite", 8, "Sorbets", 11, "Gelatos de Leite com Fruta", 14, "Chocolate base água", 17, "Vegano", 20, "Alcoólicos", 23, "Zero", 26, "Gelatos Proteicos", 29, 8), 1)) + (ROUND(J320,4) &lt; INDEX('Tabela de ingredientes'!$O$1:$V$30, SWITCH(B320, "Gelatos de Leite", 7, "Sorbets", 10, "Gelatos de Leite com Fruta", 13, "Chocolate base água", 16, "Vegano", 19, "Alcoólicos", 22, "Zero", 25, "Gelatos Proteicos", 28, 7), 2)) + (ROUND(J320,4) &gt; INDEX('Tabela de ingredientes'!$O$1:$V$30, SWITCH(B320, "Gelatos de Leite", 8, "Sorbets", 11, "Gelatos de Leite com Fruta", 14, "Chocolate base água", 17, "Vegano", 20, "Alcoólicos", 23, "Zero", 26, "Gelatos Proteicos", 29, 8), 2)) + (ROUND(K320,4) &lt; INDEX('Tabela de ingredientes'!$O$1:$V$30, SWITCH(B320, "Gelatos de Leite", 7, "Sorbets", 10, "Gelatos de Leite com Fruta", 13, "Chocolate base água", 16, "Vegano", 19, "Alcoólicos", 22, "Zero", 25, "Gelatos Proteicos", 28, 7), 3)) + (ROUND(K320,4) &gt; INDEX('Tabela de ingredientes'!$O$1:$V$30, SWITCH(B320, "Gelatos de Leite", 8, "Sorbets", 11, "Gelatos de Leite com Fruta", 14, "Chocolate base água", 17, "Vegano", 20, "Alcoólicos", 23, "Zero", 26, "Gelatos Proteicos", 29, 8), 3)) + (ROUND(L320,4) &lt; INDEX('Tabela de ingredientes'!$O$1:$V$30, SWITCH(B320, "Gelatos de Leite", 7, "Sorbets", 10, "Gelatos de Leite com Fruta", 13, "Chocolate base água", 16, "Vegano", 19, "Alcoólicos", 22, "Zero", 25, "Gelatos Proteicos", 28, 7), 4)) + (ROUND(L320,4) &gt; INDEX('Tabela de ingredientes'!$O$1:$V$30, SWITCH(B320, "Gelatos de Leite", 8, "Sorbets", 11, "Gelatos de Leite com Fruta", 14, "Chocolate base água", 17, "Vegano", 20, "Alcoólicos", 23, "Zero", 26, "Gelatos Proteicos", 29, 8), 4)) + (ROUND(M320,4) &lt; INDEX('Tabela de ingredientes'!$O$1:$V$30, SWITCH(B320, "Gelatos de Leite", 7, "Sorbets", 10, "Gelatos de Leite com Fruta", 13, "Chocolate base água", 16, "Vegano", 19, "Alcoólicos", 22, "Zero", 25, "Gelatos Proteicos", 28, 7), 5)) + (ROUND(M320,4) &gt; INDEX('Tabela de ingredientes'!$O$1:$V$30, SWITCH(B320, "Gelatos de Leite", 8, "Sorbets", 11, "Gelatos de Leite com Fruta", 14, "Chocolate base água", 17, "Vegano", 20, "Alcoólicos", 23, "Zero", 26, "Gelatos Proteicos", 29, 8), 5)) + (ROUND(N320,4) &lt; INDEX('Tabela de ingredientes'!$O$1:$V$30, SWITCH(B320, "Gelatos de Leite", 7, "Sorbets", 10, "Gelatos de Leite com Fruta", 13, "Chocolate base água", 16, "Vegano", 19, "Alcoólicos", 22, "Zero", 25, "Gelatos Proteicos", 28, 7), 6)) + (ROUND(N320,4) &gt; INDEX('Tabela de ingredientes'!$O$1:$V$30, SWITCH(B320, "Gelatos de Leite", 8, "Sorbets", 11, "Gelatos de Leite com Fruta", 14, "Chocolate base água", 17, "Vegano", 20, "Alcoólicos", 23, "Zero", 26, "Gelatos Proteicos", 29, 8), 6)) + (ROUND(O320,4) &lt; INDEX('Tabela de ingredientes'!$O$1:$V$30, SWITCH(B320, "Gelatos de Leite", 7, "Sorbets", 10, "Gelatos de Leite com Fruta", 13, "Chocolate base água", 16, "Vegano", 19, "Alcoólicos", 22, "Zero", 25, "Gelatos Proteicos", 28, 7), 7)) + (ROUND(O320,4) &gt; INDEX('Tabela de ingredientes'!$O$1:$V$30, SWITCH(B320, "Gelatos de Leite", 8, "Sorbets", 11, "Gelatos de Leite com Fruta", 14, "Chocolate base água", 17, "Vegano", 20, "Alcoólicos", 23, "Zero", 26, "Gelatos Proteicos", 29, 8), 7)) + (ROUND(P320,4) &lt; INDEX('Tabela de ingredientes'!$O$1:$V$30, SWITCH(B320, "Gelatos de Leite", 7, "Sorbets", 10, "Gelatos de Leite com Fruta", 13, "Chocolate base água", 16, "Vegano", 19, "Alcoólicos", 22, "Zero", 25, "Gelatos Proteicos", 28, 7), 8)) + (ROUND(P320,4) &gt; INDEX('Tabela de ingredientes'!$O$1:$V$30, SWITCH(B320, "Gelatos de Leite", 8, "Sorbets", 11, "Gelatos de Leite com Fruta", 14, "Chocolate base água", 17, "Vegano", 20, "Alcoólicos", 23, "Zero", 26, "Gelatos Proteicos", 29, 8), 8)) + IF(B320="Gelatos Proteicos", (ROUND(Q320,4)&lt;'Tabela de ingredientes'!$W$28)+(ROUND(Q320,4)&gt;'Tabela de ingredientes'!$W$29), 0) = 0, "Ok", "Revisar"))</f>
        <v/>
      </c>
    </row>
    <row r="321">
      <c r="A321" s="264"/>
      <c r="B321" s="264" t="s">
        <v>187</v>
      </c>
      <c r="C321" s="264" t="s">
        <v>187</v>
      </c>
      <c r="D321" s="264" t="s">
        <v>187</v>
      </c>
      <c r="E321" s="264" t="s">
        <v>187</v>
      </c>
      <c r="F321" s="264" t="s">
        <v>187</v>
      </c>
      <c r="G321" s="264" t="s">
        <v>187</v>
      </c>
      <c r="H321" s="264" t="s">
        <v>187</v>
      </c>
      <c r="I321" s="264" t="s">
        <v>187</v>
      </c>
      <c r="J321" s="264" t="s">
        <v>187</v>
      </c>
      <c r="K321" s="264" t="s">
        <v>187</v>
      </c>
      <c r="L321" s="264" t="s">
        <v>187</v>
      </c>
      <c r="M321" s="264" t="s">
        <v>187</v>
      </c>
      <c r="N321" s="264" t="s">
        <v>187</v>
      </c>
      <c r="O321" s="264" t="s">
        <v>187</v>
      </c>
      <c r="P321" s="264" t="s">
        <v>187</v>
      </c>
      <c r="Q321" s="264" t="s">
        <v>187</v>
      </c>
      <c r="R321" s="264" t="s">
        <v>187</v>
      </c>
      <c r="S321" s="97" t="str">
        <f t="array" ref="S321">IF(A321="","", IF( (ROUND(I321,4) &lt; INDEX('Tabela de ingredientes'!$O$1:$V$30, SWITCH(B321, "Gelatos de Leite", 7, "Sorbets", 10, "Gelatos de Leite com Fruta", 13, "Chocolate base água", 16, "Vegano", 19, "Alcoólicos", 22, "Zero", 25, "Gelatos Proteicos", 28, 7), 1)) + (ROUND(I321,4) &gt; INDEX('Tabela de ingredientes'!$O$1:$V$30, SWITCH(B321, "Gelatos de Leite", 8, "Sorbets", 11, "Gelatos de Leite com Fruta", 14, "Chocolate base água", 17, "Vegano", 20, "Alcoólicos", 23, "Zero", 26, "Gelatos Proteicos", 29, 8), 1)) + (ROUND(J321,4) &lt; INDEX('Tabela de ingredientes'!$O$1:$V$30, SWITCH(B321, "Gelatos de Leite", 7, "Sorbets", 10, "Gelatos de Leite com Fruta", 13, "Chocolate base água", 16, "Vegano", 19, "Alcoólicos", 22, "Zero", 25, "Gelatos Proteicos", 28, 7), 2)) + (ROUND(J321,4) &gt; INDEX('Tabela de ingredientes'!$O$1:$V$30, SWITCH(B321, "Gelatos de Leite", 8, "Sorbets", 11, "Gelatos de Leite com Fruta", 14, "Chocolate base água", 17, "Vegano", 20, "Alcoólicos", 23, "Zero", 26, "Gelatos Proteicos", 29, 8), 2)) + (ROUND(K321,4) &lt; INDEX('Tabela de ingredientes'!$O$1:$V$30, SWITCH(B321, "Gelatos de Leite", 7, "Sorbets", 10, "Gelatos de Leite com Fruta", 13, "Chocolate base água", 16, "Vegano", 19, "Alcoólicos", 22, "Zero", 25, "Gelatos Proteicos", 28, 7), 3)) + (ROUND(K321,4) &gt; INDEX('Tabela de ingredientes'!$O$1:$V$30, SWITCH(B321, "Gelatos de Leite", 8, "Sorbets", 11, "Gelatos de Leite com Fruta", 14, "Chocolate base água", 17, "Vegano", 20, "Alcoólicos", 23, "Zero", 26, "Gelatos Proteicos", 29, 8), 3)) + (ROUND(L321,4) &lt; INDEX('Tabela de ingredientes'!$O$1:$V$30, SWITCH(B321, "Gelatos de Leite", 7, "Sorbets", 10, "Gelatos de Leite com Fruta", 13, "Chocolate base água", 16, "Vegano", 19, "Alcoólicos", 22, "Zero", 25, "Gelatos Proteicos", 28, 7), 4)) + (ROUND(L321,4) &gt; INDEX('Tabela de ingredientes'!$O$1:$V$30, SWITCH(B321, "Gelatos de Leite", 8, "Sorbets", 11, "Gelatos de Leite com Fruta", 14, "Chocolate base água", 17, "Vegano", 20, "Alcoólicos", 23, "Zero", 26, "Gelatos Proteicos", 29, 8), 4)) + (ROUND(M321,4) &lt; INDEX('Tabela de ingredientes'!$O$1:$V$30, SWITCH(B321, "Gelatos de Leite", 7, "Sorbets", 10, "Gelatos de Leite com Fruta", 13, "Chocolate base água", 16, "Vegano", 19, "Alcoólicos", 22, "Zero", 25, "Gelatos Proteicos", 28, 7), 5)) + (ROUND(M321,4) &gt; INDEX('Tabela de ingredientes'!$O$1:$V$30, SWITCH(B321, "Gelatos de Leite", 8, "Sorbets", 11, "Gelatos de Leite com Fruta", 14, "Chocolate base água", 17, "Vegano", 20, "Alcoólicos", 23, "Zero", 26, "Gelatos Proteicos", 29, 8), 5)) + (ROUND(N321,4) &lt; INDEX('Tabela de ingredientes'!$O$1:$V$30, SWITCH(B321, "Gelatos de Leite", 7, "Sorbets", 10, "Gelatos de Leite com Fruta", 13, "Chocolate base água", 16, "Vegano", 19, "Alcoólicos", 22, "Zero", 25, "Gelatos Proteicos", 28, 7), 6)) + (ROUND(N321,4) &gt; INDEX('Tabela de ingredientes'!$O$1:$V$30, SWITCH(B321, "Gelatos de Leite", 8, "Sorbets", 11, "Gelatos de Leite com Fruta", 14, "Chocolate base água", 17, "Vegano", 20, "Alcoólicos", 23, "Zero", 26, "Gelatos Proteicos", 29, 8), 6)) + (ROUND(O321,4) &lt; INDEX('Tabela de ingredientes'!$O$1:$V$30, SWITCH(B321, "Gelatos de Leite", 7, "Sorbets", 10, "Gelatos de Leite com Fruta", 13, "Chocolate base água", 16, "Vegano", 19, "Alcoólicos", 22, "Zero", 25, "Gelatos Proteicos", 28, 7), 7)) + (ROUND(O321,4) &gt; INDEX('Tabela de ingredientes'!$O$1:$V$30, SWITCH(B321, "Gelatos de Leite", 8, "Sorbets", 11, "Gelatos de Leite com Fruta", 14, "Chocolate base água", 17, "Vegano", 20, "Alcoólicos", 23, "Zero", 26, "Gelatos Proteicos", 29, 8), 7)) + (ROUND(P321,4) &lt; INDEX('Tabela de ingredientes'!$O$1:$V$30, SWITCH(B321, "Gelatos de Leite", 7, "Sorbets", 10, "Gelatos de Leite com Fruta", 13, "Chocolate base água", 16, "Vegano", 19, "Alcoólicos", 22, "Zero", 25, "Gelatos Proteicos", 28, 7), 8)) + (ROUND(P321,4) &gt; INDEX('Tabela de ingredientes'!$O$1:$V$30, SWITCH(B321, "Gelatos de Leite", 8, "Sorbets", 11, "Gelatos de Leite com Fruta", 14, "Chocolate base água", 17, "Vegano", 20, "Alcoólicos", 23, "Zero", 26, "Gelatos Proteicos", 29, 8), 8)) + IF(B321="Gelatos Proteicos", (ROUND(Q321,4)&lt;'Tabela de ingredientes'!$W$28)+(ROUND(Q321,4)&gt;'Tabela de ingredientes'!$W$29), 0) = 0, "Ok", "Revisar"))</f>
        <v/>
      </c>
    </row>
    <row r="322">
      <c r="A322" s="264"/>
      <c r="B322" s="264" t="s">
        <v>187</v>
      </c>
      <c r="C322" s="264" t="s">
        <v>187</v>
      </c>
      <c r="D322" s="264" t="s">
        <v>187</v>
      </c>
      <c r="E322" s="264" t="s">
        <v>187</v>
      </c>
      <c r="F322" s="264" t="s">
        <v>187</v>
      </c>
      <c r="G322" s="264" t="s">
        <v>187</v>
      </c>
      <c r="H322" s="264" t="s">
        <v>187</v>
      </c>
      <c r="I322" s="264" t="s">
        <v>187</v>
      </c>
      <c r="J322" s="264" t="s">
        <v>187</v>
      </c>
      <c r="K322" s="264" t="s">
        <v>187</v>
      </c>
      <c r="L322" s="264" t="s">
        <v>187</v>
      </c>
      <c r="M322" s="264" t="s">
        <v>187</v>
      </c>
      <c r="N322" s="264" t="s">
        <v>187</v>
      </c>
      <c r="O322" s="264" t="s">
        <v>187</v>
      </c>
      <c r="P322" s="264" t="s">
        <v>187</v>
      </c>
      <c r="Q322" s="264" t="s">
        <v>187</v>
      </c>
      <c r="R322" s="264" t="s">
        <v>187</v>
      </c>
      <c r="S322" s="97" t="str">
        <f t="array" ref="S322">IF(A322="","", IF( (ROUND(I322,4) &lt; INDEX('Tabela de ingredientes'!$O$1:$V$30, SWITCH(B322, "Gelatos de Leite", 7, "Sorbets", 10, "Gelatos de Leite com Fruta", 13, "Chocolate base água", 16, "Vegano", 19, "Alcoólicos", 22, "Zero", 25, "Gelatos Proteicos", 28, 7), 1)) + (ROUND(I322,4) &gt; INDEX('Tabela de ingredientes'!$O$1:$V$30, SWITCH(B322, "Gelatos de Leite", 8, "Sorbets", 11, "Gelatos de Leite com Fruta", 14, "Chocolate base água", 17, "Vegano", 20, "Alcoólicos", 23, "Zero", 26, "Gelatos Proteicos", 29, 8), 1)) + (ROUND(J322,4) &lt; INDEX('Tabela de ingredientes'!$O$1:$V$30, SWITCH(B322, "Gelatos de Leite", 7, "Sorbets", 10, "Gelatos de Leite com Fruta", 13, "Chocolate base água", 16, "Vegano", 19, "Alcoólicos", 22, "Zero", 25, "Gelatos Proteicos", 28, 7), 2)) + (ROUND(J322,4) &gt; INDEX('Tabela de ingredientes'!$O$1:$V$30, SWITCH(B322, "Gelatos de Leite", 8, "Sorbets", 11, "Gelatos de Leite com Fruta", 14, "Chocolate base água", 17, "Vegano", 20, "Alcoólicos", 23, "Zero", 26, "Gelatos Proteicos", 29, 8), 2)) + (ROUND(K322,4) &lt; INDEX('Tabela de ingredientes'!$O$1:$V$30, SWITCH(B322, "Gelatos de Leite", 7, "Sorbets", 10, "Gelatos de Leite com Fruta", 13, "Chocolate base água", 16, "Vegano", 19, "Alcoólicos", 22, "Zero", 25, "Gelatos Proteicos", 28, 7), 3)) + (ROUND(K322,4) &gt; INDEX('Tabela de ingredientes'!$O$1:$V$30, SWITCH(B322, "Gelatos de Leite", 8, "Sorbets", 11, "Gelatos de Leite com Fruta", 14, "Chocolate base água", 17, "Vegano", 20, "Alcoólicos", 23, "Zero", 26, "Gelatos Proteicos", 29, 8), 3)) + (ROUND(L322,4) &lt; INDEX('Tabela de ingredientes'!$O$1:$V$30, SWITCH(B322, "Gelatos de Leite", 7, "Sorbets", 10, "Gelatos de Leite com Fruta", 13, "Chocolate base água", 16, "Vegano", 19, "Alcoólicos", 22, "Zero", 25, "Gelatos Proteicos", 28, 7), 4)) + (ROUND(L322,4) &gt; INDEX('Tabela de ingredientes'!$O$1:$V$30, SWITCH(B322, "Gelatos de Leite", 8, "Sorbets", 11, "Gelatos de Leite com Fruta", 14, "Chocolate base água", 17, "Vegano", 20, "Alcoólicos", 23, "Zero", 26, "Gelatos Proteicos", 29, 8), 4)) + (ROUND(M322,4) &lt; INDEX('Tabela de ingredientes'!$O$1:$V$30, SWITCH(B322, "Gelatos de Leite", 7, "Sorbets", 10, "Gelatos de Leite com Fruta", 13, "Chocolate base água", 16, "Vegano", 19, "Alcoólicos", 22, "Zero", 25, "Gelatos Proteicos", 28, 7), 5)) + (ROUND(M322,4) &gt; INDEX('Tabela de ingredientes'!$O$1:$V$30, SWITCH(B322, "Gelatos de Leite", 8, "Sorbets", 11, "Gelatos de Leite com Fruta", 14, "Chocolate base água", 17, "Vegano", 20, "Alcoólicos", 23, "Zero", 26, "Gelatos Proteicos", 29, 8), 5)) + (ROUND(N322,4) &lt; INDEX('Tabela de ingredientes'!$O$1:$V$30, SWITCH(B322, "Gelatos de Leite", 7, "Sorbets", 10, "Gelatos de Leite com Fruta", 13, "Chocolate base água", 16, "Vegano", 19, "Alcoólicos", 22, "Zero", 25, "Gelatos Proteicos", 28, 7), 6)) + (ROUND(N322,4) &gt; INDEX('Tabela de ingredientes'!$O$1:$V$30, SWITCH(B322, "Gelatos de Leite", 8, "Sorbets", 11, "Gelatos de Leite com Fruta", 14, "Chocolate base água", 17, "Vegano", 20, "Alcoólicos", 23, "Zero", 26, "Gelatos Proteicos", 29, 8), 6)) + (ROUND(O322,4) &lt; INDEX('Tabela de ingredientes'!$O$1:$V$30, SWITCH(B322, "Gelatos de Leite", 7, "Sorbets", 10, "Gelatos de Leite com Fruta", 13, "Chocolate base água", 16, "Vegano", 19, "Alcoólicos", 22, "Zero", 25, "Gelatos Proteicos", 28, 7), 7)) + (ROUND(O322,4) &gt; INDEX('Tabela de ingredientes'!$O$1:$V$30, SWITCH(B322, "Gelatos de Leite", 8, "Sorbets", 11, "Gelatos de Leite com Fruta", 14, "Chocolate base água", 17, "Vegano", 20, "Alcoólicos", 23, "Zero", 26, "Gelatos Proteicos", 29, 8), 7)) + (ROUND(P322,4) &lt; INDEX('Tabela de ingredientes'!$O$1:$V$30, SWITCH(B322, "Gelatos de Leite", 7, "Sorbets", 10, "Gelatos de Leite com Fruta", 13, "Chocolate base água", 16, "Vegano", 19, "Alcoólicos", 22, "Zero", 25, "Gelatos Proteicos", 28, 7), 8)) + (ROUND(P322,4) &gt; INDEX('Tabela de ingredientes'!$O$1:$V$30, SWITCH(B322, "Gelatos de Leite", 8, "Sorbets", 11, "Gelatos de Leite com Fruta", 14, "Chocolate base água", 17, "Vegano", 20, "Alcoólicos", 23, "Zero", 26, "Gelatos Proteicos", 29, 8), 8)) + IF(B322="Gelatos Proteicos", (ROUND(Q322,4)&lt;'Tabela de ingredientes'!$W$28)+(ROUND(Q322,4)&gt;'Tabela de ingredientes'!$W$29), 0) = 0, "Ok", "Revisar"))</f>
        <v/>
      </c>
    </row>
    <row r="323">
      <c r="A323" s="264"/>
      <c r="B323" s="264" t="s">
        <v>187</v>
      </c>
      <c r="C323" s="264" t="s">
        <v>187</v>
      </c>
      <c r="D323" s="264" t="s">
        <v>187</v>
      </c>
      <c r="E323" s="264" t="s">
        <v>187</v>
      </c>
      <c r="F323" s="264" t="s">
        <v>187</v>
      </c>
      <c r="G323" s="264" t="s">
        <v>187</v>
      </c>
      <c r="H323" s="264" t="s">
        <v>187</v>
      </c>
      <c r="I323" s="264" t="s">
        <v>187</v>
      </c>
      <c r="J323" s="264" t="s">
        <v>187</v>
      </c>
      <c r="K323" s="264" t="s">
        <v>187</v>
      </c>
      <c r="L323" s="264" t="s">
        <v>187</v>
      </c>
      <c r="M323" s="264" t="s">
        <v>187</v>
      </c>
      <c r="N323" s="264" t="s">
        <v>187</v>
      </c>
      <c r="O323" s="264" t="s">
        <v>187</v>
      </c>
      <c r="P323" s="264" t="s">
        <v>187</v>
      </c>
      <c r="Q323" s="264" t="s">
        <v>187</v>
      </c>
      <c r="R323" s="264" t="s">
        <v>187</v>
      </c>
      <c r="S323" s="97" t="str">
        <f t="array" ref="S323">IF(A323="","", IF( (ROUND(I323,4) &lt; INDEX('Tabela de ingredientes'!$O$1:$V$30, SWITCH(B323, "Gelatos de Leite", 7, "Sorbets", 10, "Gelatos de Leite com Fruta", 13, "Chocolate base água", 16, "Vegano", 19, "Alcoólicos", 22, "Zero", 25, "Gelatos Proteicos", 28, 7), 1)) + (ROUND(I323,4) &gt; INDEX('Tabela de ingredientes'!$O$1:$V$30, SWITCH(B323, "Gelatos de Leite", 8, "Sorbets", 11, "Gelatos de Leite com Fruta", 14, "Chocolate base água", 17, "Vegano", 20, "Alcoólicos", 23, "Zero", 26, "Gelatos Proteicos", 29, 8), 1)) + (ROUND(J323,4) &lt; INDEX('Tabela de ingredientes'!$O$1:$V$30, SWITCH(B323, "Gelatos de Leite", 7, "Sorbets", 10, "Gelatos de Leite com Fruta", 13, "Chocolate base água", 16, "Vegano", 19, "Alcoólicos", 22, "Zero", 25, "Gelatos Proteicos", 28, 7), 2)) + (ROUND(J323,4) &gt; INDEX('Tabela de ingredientes'!$O$1:$V$30, SWITCH(B323, "Gelatos de Leite", 8, "Sorbets", 11, "Gelatos de Leite com Fruta", 14, "Chocolate base água", 17, "Vegano", 20, "Alcoólicos", 23, "Zero", 26, "Gelatos Proteicos", 29, 8), 2)) + (ROUND(K323,4) &lt; INDEX('Tabela de ingredientes'!$O$1:$V$30, SWITCH(B323, "Gelatos de Leite", 7, "Sorbets", 10, "Gelatos de Leite com Fruta", 13, "Chocolate base água", 16, "Vegano", 19, "Alcoólicos", 22, "Zero", 25, "Gelatos Proteicos", 28, 7), 3)) + (ROUND(K323,4) &gt; INDEX('Tabela de ingredientes'!$O$1:$V$30, SWITCH(B323, "Gelatos de Leite", 8, "Sorbets", 11, "Gelatos de Leite com Fruta", 14, "Chocolate base água", 17, "Vegano", 20, "Alcoólicos", 23, "Zero", 26, "Gelatos Proteicos", 29, 8), 3)) + (ROUND(L323,4) &lt; INDEX('Tabela de ingredientes'!$O$1:$V$30, SWITCH(B323, "Gelatos de Leite", 7, "Sorbets", 10, "Gelatos de Leite com Fruta", 13, "Chocolate base água", 16, "Vegano", 19, "Alcoólicos", 22, "Zero", 25, "Gelatos Proteicos", 28, 7), 4)) + (ROUND(L323,4) &gt; INDEX('Tabela de ingredientes'!$O$1:$V$30, SWITCH(B323, "Gelatos de Leite", 8, "Sorbets", 11, "Gelatos de Leite com Fruta", 14, "Chocolate base água", 17, "Vegano", 20, "Alcoólicos", 23, "Zero", 26, "Gelatos Proteicos", 29, 8), 4)) + (ROUND(M323,4) &lt; INDEX('Tabela de ingredientes'!$O$1:$V$30, SWITCH(B323, "Gelatos de Leite", 7, "Sorbets", 10, "Gelatos de Leite com Fruta", 13, "Chocolate base água", 16, "Vegano", 19, "Alcoólicos", 22, "Zero", 25, "Gelatos Proteicos", 28, 7), 5)) + (ROUND(M323,4) &gt; INDEX('Tabela de ingredientes'!$O$1:$V$30, SWITCH(B323, "Gelatos de Leite", 8, "Sorbets", 11, "Gelatos de Leite com Fruta", 14, "Chocolate base água", 17, "Vegano", 20, "Alcoólicos", 23, "Zero", 26, "Gelatos Proteicos", 29, 8), 5)) + (ROUND(N323,4) &lt; INDEX('Tabela de ingredientes'!$O$1:$V$30, SWITCH(B323, "Gelatos de Leite", 7, "Sorbets", 10, "Gelatos de Leite com Fruta", 13, "Chocolate base água", 16, "Vegano", 19, "Alcoólicos", 22, "Zero", 25, "Gelatos Proteicos", 28, 7), 6)) + (ROUND(N323,4) &gt; INDEX('Tabela de ingredientes'!$O$1:$V$30, SWITCH(B323, "Gelatos de Leite", 8, "Sorbets", 11, "Gelatos de Leite com Fruta", 14, "Chocolate base água", 17, "Vegano", 20, "Alcoólicos", 23, "Zero", 26, "Gelatos Proteicos", 29, 8), 6)) + (ROUND(O323,4) &lt; INDEX('Tabela de ingredientes'!$O$1:$V$30, SWITCH(B323, "Gelatos de Leite", 7, "Sorbets", 10, "Gelatos de Leite com Fruta", 13, "Chocolate base água", 16, "Vegano", 19, "Alcoólicos", 22, "Zero", 25, "Gelatos Proteicos", 28, 7), 7)) + (ROUND(O323,4) &gt; INDEX('Tabela de ingredientes'!$O$1:$V$30, SWITCH(B323, "Gelatos de Leite", 8, "Sorbets", 11, "Gelatos de Leite com Fruta", 14, "Chocolate base água", 17, "Vegano", 20, "Alcoólicos", 23, "Zero", 26, "Gelatos Proteicos", 29, 8), 7)) + (ROUND(P323,4) &lt; INDEX('Tabela de ingredientes'!$O$1:$V$30, SWITCH(B323, "Gelatos de Leite", 7, "Sorbets", 10, "Gelatos de Leite com Fruta", 13, "Chocolate base água", 16, "Vegano", 19, "Alcoólicos", 22, "Zero", 25, "Gelatos Proteicos", 28, 7), 8)) + (ROUND(P323,4) &gt; INDEX('Tabela de ingredientes'!$O$1:$V$30, SWITCH(B323, "Gelatos de Leite", 8, "Sorbets", 11, "Gelatos de Leite com Fruta", 14, "Chocolate base água", 17, "Vegano", 20, "Alcoólicos", 23, "Zero", 26, "Gelatos Proteicos", 29, 8), 8)) + IF(B323="Gelatos Proteicos", (ROUND(Q323,4)&lt;'Tabela de ingredientes'!$W$28)+(ROUND(Q323,4)&gt;'Tabela de ingredientes'!$W$29), 0) = 0, "Ok", "Revisar"))</f>
        <v/>
      </c>
    </row>
    <row r="324">
      <c r="A324" s="264"/>
      <c r="B324" s="264" t="s">
        <v>187</v>
      </c>
      <c r="C324" s="264" t="s">
        <v>187</v>
      </c>
      <c r="D324" s="264" t="s">
        <v>187</v>
      </c>
      <c r="E324" s="264" t="s">
        <v>187</v>
      </c>
      <c r="F324" s="264" t="s">
        <v>187</v>
      </c>
      <c r="G324" s="264" t="s">
        <v>187</v>
      </c>
      <c r="H324" s="264" t="s">
        <v>187</v>
      </c>
      <c r="I324" s="264" t="s">
        <v>187</v>
      </c>
      <c r="J324" s="264" t="s">
        <v>187</v>
      </c>
      <c r="K324" s="264" t="s">
        <v>187</v>
      </c>
      <c r="L324" s="264" t="s">
        <v>187</v>
      </c>
      <c r="M324" s="264" t="s">
        <v>187</v>
      </c>
      <c r="N324" s="264" t="s">
        <v>187</v>
      </c>
      <c r="O324" s="264" t="s">
        <v>187</v>
      </c>
      <c r="P324" s="264" t="s">
        <v>187</v>
      </c>
      <c r="Q324" s="264" t="s">
        <v>187</v>
      </c>
      <c r="R324" s="264" t="s">
        <v>187</v>
      </c>
      <c r="S324" s="97" t="str">
        <f t="array" ref="S324">IF(A324="","", IF( (ROUND(I324,4) &lt; INDEX('Tabela de ingredientes'!$O$1:$V$30, SWITCH(B324, "Gelatos de Leite", 7, "Sorbets", 10, "Gelatos de Leite com Fruta", 13, "Chocolate base água", 16, "Vegano", 19, "Alcoólicos", 22, "Zero", 25, "Gelatos Proteicos", 28, 7), 1)) + (ROUND(I324,4) &gt; INDEX('Tabela de ingredientes'!$O$1:$V$30, SWITCH(B324, "Gelatos de Leite", 8, "Sorbets", 11, "Gelatos de Leite com Fruta", 14, "Chocolate base água", 17, "Vegano", 20, "Alcoólicos", 23, "Zero", 26, "Gelatos Proteicos", 29, 8), 1)) + (ROUND(J324,4) &lt; INDEX('Tabela de ingredientes'!$O$1:$V$30, SWITCH(B324, "Gelatos de Leite", 7, "Sorbets", 10, "Gelatos de Leite com Fruta", 13, "Chocolate base água", 16, "Vegano", 19, "Alcoólicos", 22, "Zero", 25, "Gelatos Proteicos", 28, 7), 2)) + (ROUND(J324,4) &gt; INDEX('Tabela de ingredientes'!$O$1:$V$30, SWITCH(B324, "Gelatos de Leite", 8, "Sorbets", 11, "Gelatos de Leite com Fruta", 14, "Chocolate base água", 17, "Vegano", 20, "Alcoólicos", 23, "Zero", 26, "Gelatos Proteicos", 29, 8), 2)) + (ROUND(K324,4) &lt; INDEX('Tabela de ingredientes'!$O$1:$V$30, SWITCH(B324, "Gelatos de Leite", 7, "Sorbets", 10, "Gelatos de Leite com Fruta", 13, "Chocolate base água", 16, "Vegano", 19, "Alcoólicos", 22, "Zero", 25, "Gelatos Proteicos", 28, 7), 3)) + (ROUND(K324,4) &gt; INDEX('Tabela de ingredientes'!$O$1:$V$30, SWITCH(B324, "Gelatos de Leite", 8, "Sorbets", 11, "Gelatos de Leite com Fruta", 14, "Chocolate base água", 17, "Vegano", 20, "Alcoólicos", 23, "Zero", 26, "Gelatos Proteicos", 29, 8), 3)) + (ROUND(L324,4) &lt; INDEX('Tabela de ingredientes'!$O$1:$V$30, SWITCH(B324, "Gelatos de Leite", 7, "Sorbets", 10, "Gelatos de Leite com Fruta", 13, "Chocolate base água", 16, "Vegano", 19, "Alcoólicos", 22, "Zero", 25, "Gelatos Proteicos", 28, 7), 4)) + (ROUND(L324,4) &gt; INDEX('Tabela de ingredientes'!$O$1:$V$30, SWITCH(B324, "Gelatos de Leite", 8, "Sorbets", 11, "Gelatos de Leite com Fruta", 14, "Chocolate base água", 17, "Vegano", 20, "Alcoólicos", 23, "Zero", 26, "Gelatos Proteicos", 29, 8), 4)) + (ROUND(M324,4) &lt; INDEX('Tabela de ingredientes'!$O$1:$V$30, SWITCH(B324, "Gelatos de Leite", 7, "Sorbets", 10, "Gelatos de Leite com Fruta", 13, "Chocolate base água", 16, "Vegano", 19, "Alcoólicos", 22, "Zero", 25, "Gelatos Proteicos", 28, 7), 5)) + (ROUND(M324,4) &gt; INDEX('Tabela de ingredientes'!$O$1:$V$30, SWITCH(B324, "Gelatos de Leite", 8, "Sorbets", 11, "Gelatos de Leite com Fruta", 14, "Chocolate base água", 17, "Vegano", 20, "Alcoólicos", 23, "Zero", 26, "Gelatos Proteicos", 29, 8), 5)) + (ROUND(N324,4) &lt; INDEX('Tabela de ingredientes'!$O$1:$V$30, SWITCH(B324, "Gelatos de Leite", 7, "Sorbets", 10, "Gelatos de Leite com Fruta", 13, "Chocolate base água", 16, "Vegano", 19, "Alcoólicos", 22, "Zero", 25, "Gelatos Proteicos", 28, 7), 6)) + (ROUND(N324,4) &gt; INDEX('Tabela de ingredientes'!$O$1:$V$30, SWITCH(B324, "Gelatos de Leite", 8, "Sorbets", 11, "Gelatos de Leite com Fruta", 14, "Chocolate base água", 17, "Vegano", 20, "Alcoólicos", 23, "Zero", 26, "Gelatos Proteicos", 29, 8), 6)) + (ROUND(O324,4) &lt; INDEX('Tabela de ingredientes'!$O$1:$V$30, SWITCH(B324, "Gelatos de Leite", 7, "Sorbets", 10, "Gelatos de Leite com Fruta", 13, "Chocolate base água", 16, "Vegano", 19, "Alcoólicos", 22, "Zero", 25, "Gelatos Proteicos", 28, 7), 7)) + (ROUND(O324,4) &gt; INDEX('Tabela de ingredientes'!$O$1:$V$30, SWITCH(B324, "Gelatos de Leite", 8, "Sorbets", 11, "Gelatos de Leite com Fruta", 14, "Chocolate base água", 17, "Vegano", 20, "Alcoólicos", 23, "Zero", 26, "Gelatos Proteicos", 29, 8), 7)) + (ROUND(P324,4) &lt; INDEX('Tabela de ingredientes'!$O$1:$V$30, SWITCH(B324, "Gelatos de Leite", 7, "Sorbets", 10, "Gelatos de Leite com Fruta", 13, "Chocolate base água", 16, "Vegano", 19, "Alcoólicos", 22, "Zero", 25, "Gelatos Proteicos", 28, 7), 8)) + (ROUND(P324,4) &gt; INDEX('Tabela de ingredientes'!$O$1:$V$30, SWITCH(B324, "Gelatos de Leite", 8, "Sorbets", 11, "Gelatos de Leite com Fruta", 14, "Chocolate base água", 17, "Vegano", 20, "Alcoólicos", 23, "Zero", 26, "Gelatos Proteicos", 29, 8), 8)) + IF(B324="Gelatos Proteicos", (ROUND(Q324,4)&lt;'Tabela de ingredientes'!$W$28)+(ROUND(Q324,4)&gt;'Tabela de ingredientes'!$W$29), 0) = 0, "Ok", "Revisar"))</f>
        <v/>
      </c>
    </row>
    <row r="325">
      <c r="A325" s="264"/>
      <c r="B325" s="264" t="s">
        <v>187</v>
      </c>
      <c r="C325" s="264" t="s">
        <v>187</v>
      </c>
      <c r="D325" s="264" t="s">
        <v>187</v>
      </c>
      <c r="E325" s="264" t="s">
        <v>187</v>
      </c>
      <c r="F325" s="264" t="s">
        <v>187</v>
      </c>
      <c r="G325" s="264" t="s">
        <v>187</v>
      </c>
      <c r="H325" s="264" t="s">
        <v>187</v>
      </c>
      <c r="I325" s="264" t="s">
        <v>187</v>
      </c>
      <c r="J325" s="264" t="s">
        <v>187</v>
      </c>
      <c r="K325" s="264" t="s">
        <v>187</v>
      </c>
      <c r="L325" s="264" t="s">
        <v>187</v>
      </c>
      <c r="M325" s="264" t="s">
        <v>187</v>
      </c>
      <c r="N325" s="264" t="s">
        <v>187</v>
      </c>
      <c r="O325" s="264" t="s">
        <v>187</v>
      </c>
      <c r="P325" s="264" t="s">
        <v>187</v>
      </c>
      <c r="Q325" s="264" t="s">
        <v>187</v>
      </c>
      <c r="R325" s="264" t="s">
        <v>187</v>
      </c>
      <c r="S325" s="97" t="str">
        <f t="array" ref="S325">IF(A325="","", IF( (ROUND(I325,4) &lt; INDEX('Tabela de ingredientes'!$O$1:$V$30, SWITCH(B325, "Gelatos de Leite", 7, "Sorbets", 10, "Gelatos de Leite com Fruta", 13, "Chocolate base água", 16, "Vegano", 19, "Alcoólicos", 22, "Zero", 25, "Gelatos Proteicos", 28, 7), 1)) + (ROUND(I325,4) &gt; INDEX('Tabela de ingredientes'!$O$1:$V$30, SWITCH(B325, "Gelatos de Leite", 8, "Sorbets", 11, "Gelatos de Leite com Fruta", 14, "Chocolate base água", 17, "Vegano", 20, "Alcoólicos", 23, "Zero", 26, "Gelatos Proteicos", 29, 8), 1)) + (ROUND(J325,4) &lt; INDEX('Tabela de ingredientes'!$O$1:$V$30, SWITCH(B325, "Gelatos de Leite", 7, "Sorbets", 10, "Gelatos de Leite com Fruta", 13, "Chocolate base água", 16, "Vegano", 19, "Alcoólicos", 22, "Zero", 25, "Gelatos Proteicos", 28, 7), 2)) + (ROUND(J325,4) &gt; INDEX('Tabela de ingredientes'!$O$1:$V$30, SWITCH(B325, "Gelatos de Leite", 8, "Sorbets", 11, "Gelatos de Leite com Fruta", 14, "Chocolate base água", 17, "Vegano", 20, "Alcoólicos", 23, "Zero", 26, "Gelatos Proteicos", 29, 8), 2)) + (ROUND(K325,4) &lt; INDEX('Tabela de ingredientes'!$O$1:$V$30, SWITCH(B325, "Gelatos de Leite", 7, "Sorbets", 10, "Gelatos de Leite com Fruta", 13, "Chocolate base água", 16, "Vegano", 19, "Alcoólicos", 22, "Zero", 25, "Gelatos Proteicos", 28, 7), 3)) + (ROUND(K325,4) &gt; INDEX('Tabela de ingredientes'!$O$1:$V$30, SWITCH(B325, "Gelatos de Leite", 8, "Sorbets", 11, "Gelatos de Leite com Fruta", 14, "Chocolate base água", 17, "Vegano", 20, "Alcoólicos", 23, "Zero", 26, "Gelatos Proteicos", 29, 8), 3)) + (ROUND(L325,4) &lt; INDEX('Tabela de ingredientes'!$O$1:$V$30, SWITCH(B325, "Gelatos de Leite", 7, "Sorbets", 10, "Gelatos de Leite com Fruta", 13, "Chocolate base água", 16, "Vegano", 19, "Alcoólicos", 22, "Zero", 25, "Gelatos Proteicos", 28, 7), 4)) + (ROUND(L325,4) &gt; INDEX('Tabela de ingredientes'!$O$1:$V$30, SWITCH(B325, "Gelatos de Leite", 8, "Sorbets", 11, "Gelatos de Leite com Fruta", 14, "Chocolate base água", 17, "Vegano", 20, "Alcoólicos", 23, "Zero", 26, "Gelatos Proteicos", 29, 8), 4)) + (ROUND(M325,4) &lt; INDEX('Tabela de ingredientes'!$O$1:$V$30, SWITCH(B325, "Gelatos de Leite", 7, "Sorbets", 10, "Gelatos de Leite com Fruta", 13, "Chocolate base água", 16, "Vegano", 19, "Alcoólicos", 22, "Zero", 25, "Gelatos Proteicos", 28, 7), 5)) + (ROUND(M325,4) &gt; INDEX('Tabela de ingredientes'!$O$1:$V$30, SWITCH(B325, "Gelatos de Leite", 8, "Sorbets", 11, "Gelatos de Leite com Fruta", 14, "Chocolate base água", 17, "Vegano", 20, "Alcoólicos", 23, "Zero", 26, "Gelatos Proteicos", 29, 8), 5)) + (ROUND(N325,4) &lt; INDEX('Tabela de ingredientes'!$O$1:$V$30, SWITCH(B325, "Gelatos de Leite", 7, "Sorbets", 10, "Gelatos de Leite com Fruta", 13, "Chocolate base água", 16, "Vegano", 19, "Alcoólicos", 22, "Zero", 25, "Gelatos Proteicos", 28, 7), 6)) + (ROUND(N325,4) &gt; INDEX('Tabela de ingredientes'!$O$1:$V$30, SWITCH(B325, "Gelatos de Leite", 8, "Sorbets", 11, "Gelatos de Leite com Fruta", 14, "Chocolate base água", 17, "Vegano", 20, "Alcoólicos", 23, "Zero", 26, "Gelatos Proteicos", 29, 8), 6)) + (ROUND(O325,4) &lt; INDEX('Tabela de ingredientes'!$O$1:$V$30, SWITCH(B325, "Gelatos de Leite", 7, "Sorbets", 10, "Gelatos de Leite com Fruta", 13, "Chocolate base água", 16, "Vegano", 19, "Alcoólicos", 22, "Zero", 25, "Gelatos Proteicos", 28, 7), 7)) + (ROUND(O325,4) &gt; INDEX('Tabela de ingredientes'!$O$1:$V$30, SWITCH(B325, "Gelatos de Leite", 8, "Sorbets", 11, "Gelatos de Leite com Fruta", 14, "Chocolate base água", 17, "Vegano", 20, "Alcoólicos", 23, "Zero", 26, "Gelatos Proteicos", 29, 8), 7)) + (ROUND(P325,4) &lt; INDEX('Tabela de ingredientes'!$O$1:$V$30, SWITCH(B325, "Gelatos de Leite", 7, "Sorbets", 10, "Gelatos de Leite com Fruta", 13, "Chocolate base água", 16, "Vegano", 19, "Alcoólicos", 22, "Zero", 25, "Gelatos Proteicos", 28, 7), 8)) + (ROUND(P325,4) &gt; INDEX('Tabela de ingredientes'!$O$1:$V$30, SWITCH(B325, "Gelatos de Leite", 8, "Sorbets", 11, "Gelatos de Leite com Fruta", 14, "Chocolate base água", 17, "Vegano", 20, "Alcoólicos", 23, "Zero", 26, "Gelatos Proteicos", 29, 8), 8)) + IF(B325="Gelatos Proteicos", (ROUND(Q325,4)&lt;'Tabela de ingredientes'!$W$28)+(ROUND(Q325,4)&gt;'Tabela de ingredientes'!$W$29), 0) = 0, "Ok", "Revisar"))</f>
        <v/>
      </c>
    </row>
    <row r="326">
      <c r="A326" s="264"/>
      <c r="B326" s="264" t="s">
        <v>187</v>
      </c>
      <c r="C326" s="264" t="s">
        <v>187</v>
      </c>
      <c r="D326" s="264" t="s">
        <v>187</v>
      </c>
      <c r="E326" s="264" t="s">
        <v>187</v>
      </c>
      <c r="F326" s="264" t="s">
        <v>187</v>
      </c>
      <c r="G326" s="264" t="s">
        <v>187</v>
      </c>
      <c r="H326" s="264" t="s">
        <v>187</v>
      </c>
      <c r="I326" s="264" t="s">
        <v>187</v>
      </c>
      <c r="J326" s="264" t="s">
        <v>187</v>
      </c>
      <c r="K326" s="264" t="s">
        <v>187</v>
      </c>
      <c r="L326" s="264" t="s">
        <v>187</v>
      </c>
      <c r="M326" s="264" t="s">
        <v>187</v>
      </c>
      <c r="N326" s="264" t="s">
        <v>187</v>
      </c>
      <c r="O326" s="264" t="s">
        <v>187</v>
      </c>
      <c r="P326" s="264" t="s">
        <v>187</v>
      </c>
      <c r="Q326" s="264" t="s">
        <v>187</v>
      </c>
      <c r="R326" s="264" t="s">
        <v>187</v>
      </c>
      <c r="S326" s="97" t="str">
        <f t="array" ref="S326">IF(A326="","", IF( (ROUND(I326,4) &lt; INDEX('Tabela de ingredientes'!$O$1:$V$30, SWITCH(B326, "Gelatos de Leite", 7, "Sorbets", 10, "Gelatos de Leite com Fruta", 13, "Chocolate base água", 16, "Vegano", 19, "Alcoólicos", 22, "Zero", 25, "Gelatos Proteicos", 28, 7), 1)) + (ROUND(I326,4) &gt; INDEX('Tabela de ingredientes'!$O$1:$V$30, SWITCH(B326, "Gelatos de Leite", 8, "Sorbets", 11, "Gelatos de Leite com Fruta", 14, "Chocolate base água", 17, "Vegano", 20, "Alcoólicos", 23, "Zero", 26, "Gelatos Proteicos", 29, 8), 1)) + (ROUND(J326,4) &lt; INDEX('Tabela de ingredientes'!$O$1:$V$30, SWITCH(B326, "Gelatos de Leite", 7, "Sorbets", 10, "Gelatos de Leite com Fruta", 13, "Chocolate base água", 16, "Vegano", 19, "Alcoólicos", 22, "Zero", 25, "Gelatos Proteicos", 28, 7), 2)) + (ROUND(J326,4) &gt; INDEX('Tabela de ingredientes'!$O$1:$V$30, SWITCH(B326, "Gelatos de Leite", 8, "Sorbets", 11, "Gelatos de Leite com Fruta", 14, "Chocolate base água", 17, "Vegano", 20, "Alcoólicos", 23, "Zero", 26, "Gelatos Proteicos", 29, 8), 2)) + (ROUND(K326,4) &lt; INDEX('Tabela de ingredientes'!$O$1:$V$30, SWITCH(B326, "Gelatos de Leite", 7, "Sorbets", 10, "Gelatos de Leite com Fruta", 13, "Chocolate base água", 16, "Vegano", 19, "Alcoólicos", 22, "Zero", 25, "Gelatos Proteicos", 28, 7), 3)) + (ROUND(K326,4) &gt; INDEX('Tabela de ingredientes'!$O$1:$V$30, SWITCH(B326, "Gelatos de Leite", 8, "Sorbets", 11, "Gelatos de Leite com Fruta", 14, "Chocolate base água", 17, "Vegano", 20, "Alcoólicos", 23, "Zero", 26, "Gelatos Proteicos", 29, 8), 3)) + (ROUND(L326,4) &lt; INDEX('Tabela de ingredientes'!$O$1:$V$30, SWITCH(B326, "Gelatos de Leite", 7, "Sorbets", 10, "Gelatos de Leite com Fruta", 13, "Chocolate base água", 16, "Vegano", 19, "Alcoólicos", 22, "Zero", 25, "Gelatos Proteicos", 28, 7), 4)) + (ROUND(L326,4) &gt; INDEX('Tabela de ingredientes'!$O$1:$V$30, SWITCH(B326, "Gelatos de Leite", 8, "Sorbets", 11, "Gelatos de Leite com Fruta", 14, "Chocolate base água", 17, "Vegano", 20, "Alcoólicos", 23, "Zero", 26, "Gelatos Proteicos", 29, 8), 4)) + (ROUND(M326,4) &lt; INDEX('Tabela de ingredientes'!$O$1:$V$30, SWITCH(B326, "Gelatos de Leite", 7, "Sorbets", 10, "Gelatos de Leite com Fruta", 13, "Chocolate base água", 16, "Vegano", 19, "Alcoólicos", 22, "Zero", 25, "Gelatos Proteicos", 28, 7), 5)) + (ROUND(M326,4) &gt; INDEX('Tabela de ingredientes'!$O$1:$V$30, SWITCH(B326, "Gelatos de Leite", 8, "Sorbets", 11, "Gelatos de Leite com Fruta", 14, "Chocolate base água", 17, "Vegano", 20, "Alcoólicos", 23, "Zero", 26, "Gelatos Proteicos", 29, 8), 5)) + (ROUND(N326,4) &lt; INDEX('Tabela de ingredientes'!$O$1:$V$30, SWITCH(B326, "Gelatos de Leite", 7, "Sorbets", 10, "Gelatos de Leite com Fruta", 13, "Chocolate base água", 16, "Vegano", 19, "Alcoólicos", 22, "Zero", 25, "Gelatos Proteicos", 28, 7), 6)) + (ROUND(N326,4) &gt; INDEX('Tabela de ingredientes'!$O$1:$V$30, SWITCH(B326, "Gelatos de Leite", 8, "Sorbets", 11, "Gelatos de Leite com Fruta", 14, "Chocolate base água", 17, "Vegano", 20, "Alcoólicos", 23, "Zero", 26, "Gelatos Proteicos", 29, 8), 6)) + (ROUND(O326,4) &lt; INDEX('Tabela de ingredientes'!$O$1:$V$30, SWITCH(B326, "Gelatos de Leite", 7, "Sorbets", 10, "Gelatos de Leite com Fruta", 13, "Chocolate base água", 16, "Vegano", 19, "Alcoólicos", 22, "Zero", 25, "Gelatos Proteicos", 28, 7), 7)) + (ROUND(O326,4) &gt; INDEX('Tabela de ingredientes'!$O$1:$V$30, SWITCH(B326, "Gelatos de Leite", 8, "Sorbets", 11, "Gelatos de Leite com Fruta", 14, "Chocolate base água", 17, "Vegano", 20, "Alcoólicos", 23, "Zero", 26, "Gelatos Proteicos", 29, 8), 7)) + (ROUND(P326,4) &lt; INDEX('Tabela de ingredientes'!$O$1:$V$30, SWITCH(B326, "Gelatos de Leite", 7, "Sorbets", 10, "Gelatos de Leite com Fruta", 13, "Chocolate base água", 16, "Vegano", 19, "Alcoólicos", 22, "Zero", 25, "Gelatos Proteicos", 28, 7), 8)) + (ROUND(P326,4) &gt; INDEX('Tabela de ingredientes'!$O$1:$V$30, SWITCH(B326, "Gelatos de Leite", 8, "Sorbets", 11, "Gelatos de Leite com Fruta", 14, "Chocolate base água", 17, "Vegano", 20, "Alcoólicos", 23, "Zero", 26, "Gelatos Proteicos", 29, 8), 8)) + IF(B326="Gelatos Proteicos", (ROUND(Q326,4)&lt;'Tabela de ingredientes'!$W$28)+(ROUND(Q326,4)&gt;'Tabela de ingredientes'!$W$29), 0) = 0, "Ok", "Revisar"))</f>
        <v/>
      </c>
    </row>
    <row r="327">
      <c r="A327" s="264"/>
      <c r="B327" s="264" t="s">
        <v>187</v>
      </c>
      <c r="C327" s="264" t="s">
        <v>187</v>
      </c>
      <c r="D327" s="264" t="s">
        <v>187</v>
      </c>
      <c r="E327" s="264" t="s">
        <v>187</v>
      </c>
      <c r="F327" s="264" t="s">
        <v>187</v>
      </c>
      <c r="G327" s="264" t="s">
        <v>187</v>
      </c>
      <c r="H327" s="264" t="s">
        <v>187</v>
      </c>
      <c r="I327" s="264" t="s">
        <v>187</v>
      </c>
      <c r="J327" s="264" t="s">
        <v>187</v>
      </c>
      <c r="K327" s="264" t="s">
        <v>187</v>
      </c>
      <c r="L327" s="264" t="s">
        <v>187</v>
      </c>
      <c r="M327" s="264" t="s">
        <v>187</v>
      </c>
      <c r="N327" s="264" t="s">
        <v>187</v>
      </c>
      <c r="O327" s="264" t="s">
        <v>187</v>
      </c>
      <c r="P327" s="264" t="s">
        <v>187</v>
      </c>
      <c r="Q327" s="264" t="s">
        <v>187</v>
      </c>
      <c r="R327" s="264" t="s">
        <v>187</v>
      </c>
      <c r="S327" s="97" t="str">
        <f t="array" ref="S327">IF(A327="","", IF( (ROUND(I327,4) &lt; INDEX('Tabela de ingredientes'!$O$1:$V$30, SWITCH(B327, "Gelatos de Leite", 7, "Sorbets", 10, "Gelatos de Leite com Fruta", 13, "Chocolate base água", 16, "Vegano", 19, "Alcoólicos", 22, "Zero", 25, "Gelatos Proteicos", 28, 7), 1)) + (ROUND(I327,4) &gt; INDEX('Tabela de ingredientes'!$O$1:$V$30, SWITCH(B327, "Gelatos de Leite", 8, "Sorbets", 11, "Gelatos de Leite com Fruta", 14, "Chocolate base água", 17, "Vegano", 20, "Alcoólicos", 23, "Zero", 26, "Gelatos Proteicos", 29, 8), 1)) + (ROUND(J327,4) &lt; INDEX('Tabela de ingredientes'!$O$1:$V$30, SWITCH(B327, "Gelatos de Leite", 7, "Sorbets", 10, "Gelatos de Leite com Fruta", 13, "Chocolate base água", 16, "Vegano", 19, "Alcoólicos", 22, "Zero", 25, "Gelatos Proteicos", 28, 7), 2)) + (ROUND(J327,4) &gt; INDEX('Tabela de ingredientes'!$O$1:$V$30, SWITCH(B327, "Gelatos de Leite", 8, "Sorbets", 11, "Gelatos de Leite com Fruta", 14, "Chocolate base água", 17, "Vegano", 20, "Alcoólicos", 23, "Zero", 26, "Gelatos Proteicos", 29, 8), 2)) + (ROUND(K327,4) &lt; INDEX('Tabela de ingredientes'!$O$1:$V$30, SWITCH(B327, "Gelatos de Leite", 7, "Sorbets", 10, "Gelatos de Leite com Fruta", 13, "Chocolate base água", 16, "Vegano", 19, "Alcoólicos", 22, "Zero", 25, "Gelatos Proteicos", 28, 7), 3)) + (ROUND(K327,4) &gt; INDEX('Tabela de ingredientes'!$O$1:$V$30, SWITCH(B327, "Gelatos de Leite", 8, "Sorbets", 11, "Gelatos de Leite com Fruta", 14, "Chocolate base água", 17, "Vegano", 20, "Alcoólicos", 23, "Zero", 26, "Gelatos Proteicos", 29, 8), 3)) + (ROUND(L327,4) &lt; INDEX('Tabela de ingredientes'!$O$1:$V$30, SWITCH(B327, "Gelatos de Leite", 7, "Sorbets", 10, "Gelatos de Leite com Fruta", 13, "Chocolate base água", 16, "Vegano", 19, "Alcoólicos", 22, "Zero", 25, "Gelatos Proteicos", 28, 7), 4)) + (ROUND(L327,4) &gt; INDEX('Tabela de ingredientes'!$O$1:$V$30, SWITCH(B327, "Gelatos de Leite", 8, "Sorbets", 11, "Gelatos de Leite com Fruta", 14, "Chocolate base água", 17, "Vegano", 20, "Alcoólicos", 23, "Zero", 26, "Gelatos Proteicos", 29, 8), 4)) + (ROUND(M327,4) &lt; INDEX('Tabela de ingredientes'!$O$1:$V$30, SWITCH(B327, "Gelatos de Leite", 7, "Sorbets", 10, "Gelatos de Leite com Fruta", 13, "Chocolate base água", 16, "Vegano", 19, "Alcoólicos", 22, "Zero", 25, "Gelatos Proteicos", 28, 7), 5)) + (ROUND(M327,4) &gt; INDEX('Tabela de ingredientes'!$O$1:$V$30, SWITCH(B327, "Gelatos de Leite", 8, "Sorbets", 11, "Gelatos de Leite com Fruta", 14, "Chocolate base água", 17, "Vegano", 20, "Alcoólicos", 23, "Zero", 26, "Gelatos Proteicos", 29, 8), 5)) + (ROUND(N327,4) &lt; INDEX('Tabela de ingredientes'!$O$1:$V$30, SWITCH(B327, "Gelatos de Leite", 7, "Sorbets", 10, "Gelatos de Leite com Fruta", 13, "Chocolate base água", 16, "Vegano", 19, "Alcoólicos", 22, "Zero", 25, "Gelatos Proteicos", 28, 7), 6)) + (ROUND(N327,4) &gt; INDEX('Tabela de ingredientes'!$O$1:$V$30, SWITCH(B327, "Gelatos de Leite", 8, "Sorbets", 11, "Gelatos de Leite com Fruta", 14, "Chocolate base água", 17, "Vegano", 20, "Alcoólicos", 23, "Zero", 26, "Gelatos Proteicos", 29, 8), 6)) + (ROUND(O327,4) &lt; INDEX('Tabela de ingredientes'!$O$1:$V$30, SWITCH(B327, "Gelatos de Leite", 7, "Sorbets", 10, "Gelatos de Leite com Fruta", 13, "Chocolate base água", 16, "Vegano", 19, "Alcoólicos", 22, "Zero", 25, "Gelatos Proteicos", 28, 7), 7)) + (ROUND(O327,4) &gt; INDEX('Tabela de ingredientes'!$O$1:$V$30, SWITCH(B327, "Gelatos de Leite", 8, "Sorbets", 11, "Gelatos de Leite com Fruta", 14, "Chocolate base água", 17, "Vegano", 20, "Alcoólicos", 23, "Zero", 26, "Gelatos Proteicos", 29, 8), 7)) + (ROUND(P327,4) &lt; INDEX('Tabela de ingredientes'!$O$1:$V$30, SWITCH(B327, "Gelatos de Leite", 7, "Sorbets", 10, "Gelatos de Leite com Fruta", 13, "Chocolate base água", 16, "Vegano", 19, "Alcoólicos", 22, "Zero", 25, "Gelatos Proteicos", 28, 7), 8)) + (ROUND(P327,4) &gt; INDEX('Tabela de ingredientes'!$O$1:$V$30, SWITCH(B327, "Gelatos de Leite", 8, "Sorbets", 11, "Gelatos de Leite com Fruta", 14, "Chocolate base água", 17, "Vegano", 20, "Alcoólicos", 23, "Zero", 26, "Gelatos Proteicos", 29, 8), 8)) + IF(B327="Gelatos Proteicos", (ROUND(Q327,4)&lt;'Tabela de ingredientes'!$W$28)+(ROUND(Q327,4)&gt;'Tabela de ingredientes'!$W$29), 0) = 0, "Ok", "Revisar"))</f>
        <v/>
      </c>
    </row>
    <row r="328">
      <c r="A328" s="264"/>
      <c r="B328" s="264" t="s">
        <v>187</v>
      </c>
      <c r="C328" s="264" t="s">
        <v>187</v>
      </c>
      <c r="D328" s="264" t="s">
        <v>187</v>
      </c>
      <c r="E328" s="264" t="s">
        <v>187</v>
      </c>
      <c r="F328" s="264" t="s">
        <v>187</v>
      </c>
      <c r="G328" s="264" t="s">
        <v>187</v>
      </c>
      <c r="H328" s="264" t="s">
        <v>187</v>
      </c>
      <c r="I328" s="264" t="s">
        <v>187</v>
      </c>
      <c r="J328" s="264" t="s">
        <v>187</v>
      </c>
      <c r="K328" s="264" t="s">
        <v>187</v>
      </c>
      <c r="L328" s="264" t="s">
        <v>187</v>
      </c>
      <c r="M328" s="264" t="s">
        <v>187</v>
      </c>
      <c r="N328" s="264" t="s">
        <v>187</v>
      </c>
      <c r="O328" s="264" t="s">
        <v>187</v>
      </c>
      <c r="P328" s="264" t="s">
        <v>187</v>
      </c>
      <c r="Q328" s="264" t="s">
        <v>187</v>
      </c>
      <c r="R328" s="264" t="s">
        <v>187</v>
      </c>
      <c r="S328" s="97" t="str">
        <f t="array" ref="S328">IF(A328="","", IF( (ROUND(I328,4) &lt; INDEX('Tabela de ingredientes'!$O$1:$V$30, SWITCH(B328, "Gelatos de Leite", 7, "Sorbets", 10, "Gelatos de Leite com Fruta", 13, "Chocolate base água", 16, "Vegano", 19, "Alcoólicos", 22, "Zero", 25, "Gelatos Proteicos", 28, 7), 1)) + (ROUND(I328,4) &gt; INDEX('Tabela de ingredientes'!$O$1:$V$30, SWITCH(B328, "Gelatos de Leite", 8, "Sorbets", 11, "Gelatos de Leite com Fruta", 14, "Chocolate base água", 17, "Vegano", 20, "Alcoólicos", 23, "Zero", 26, "Gelatos Proteicos", 29, 8), 1)) + (ROUND(J328,4) &lt; INDEX('Tabela de ingredientes'!$O$1:$V$30, SWITCH(B328, "Gelatos de Leite", 7, "Sorbets", 10, "Gelatos de Leite com Fruta", 13, "Chocolate base água", 16, "Vegano", 19, "Alcoólicos", 22, "Zero", 25, "Gelatos Proteicos", 28, 7), 2)) + (ROUND(J328,4) &gt; INDEX('Tabela de ingredientes'!$O$1:$V$30, SWITCH(B328, "Gelatos de Leite", 8, "Sorbets", 11, "Gelatos de Leite com Fruta", 14, "Chocolate base água", 17, "Vegano", 20, "Alcoólicos", 23, "Zero", 26, "Gelatos Proteicos", 29, 8), 2)) + (ROUND(K328,4) &lt; INDEX('Tabela de ingredientes'!$O$1:$V$30, SWITCH(B328, "Gelatos de Leite", 7, "Sorbets", 10, "Gelatos de Leite com Fruta", 13, "Chocolate base água", 16, "Vegano", 19, "Alcoólicos", 22, "Zero", 25, "Gelatos Proteicos", 28, 7), 3)) + (ROUND(K328,4) &gt; INDEX('Tabela de ingredientes'!$O$1:$V$30, SWITCH(B328, "Gelatos de Leite", 8, "Sorbets", 11, "Gelatos de Leite com Fruta", 14, "Chocolate base água", 17, "Vegano", 20, "Alcoólicos", 23, "Zero", 26, "Gelatos Proteicos", 29, 8), 3)) + (ROUND(L328,4) &lt; INDEX('Tabela de ingredientes'!$O$1:$V$30, SWITCH(B328, "Gelatos de Leite", 7, "Sorbets", 10, "Gelatos de Leite com Fruta", 13, "Chocolate base água", 16, "Vegano", 19, "Alcoólicos", 22, "Zero", 25, "Gelatos Proteicos", 28, 7), 4)) + (ROUND(L328,4) &gt; INDEX('Tabela de ingredientes'!$O$1:$V$30, SWITCH(B328, "Gelatos de Leite", 8, "Sorbets", 11, "Gelatos de Leite com Fruta", 14, "Chocolate base água", 17, "Vegano", 20, "Alcoólicos", 23, "Zero", 26, "Gelatos Proteicos", 29, 8), 4)) + (ROUND(M328,4) &lt; INDEX('Tabela de ingredientes'!$O$1:$V$30, SWITCH(B328, "Gelatos de Leite", 7, "Sorbets", 10, "Gelatos de Leite com Fruta", 13, "Chocolate base água", 16, "Vegano", 19, "Alcoólicos", 22, "Zero", 25, "Gelatos Proteicos", 28, 7), 5)) + (ROUND(M328,4) &gt; INDEX('Tabela de ingredientes'!$O$1:$V$30, SWITCH(B328, "Gelatos de Leite", 8, "Sorbets", 11, "Gelatos de Leite com Fruta", 14, "Chocolate base água", 17, "Vegano", 20, "Alcoólicos", 23, "Zero", 26, "Gelatos Proteicos", 29, 8), 5)) + (ROUND(N328,4) &lt; INDEX('Tabela de ingredientes'!$O$1:$V$30, SWITCH(B328, "Gelatos de Leite", 7, "Sorbets", 10, "Gelatos de Leite com Fruta", 13, "Chocolate base água", 16, "Vegano", 19, "Alcoólicos", 22, "Zero", 25, "Gelatos Proteicos", 28, 7), 6)) + (ROUND(N328,4) &gt; INDEX('Tabela de ingredientes'!$O$1:$V$30, SWITCH(B328, "Gelatos de Leite", 8, "Sorbets", 11, "Gelatos de Leite com Fruta", 14, "Chocolate base água", 17, "Vegano", 20, "Alcoólicos", 23, "Zero", 26, "Gelatos Proteicos", 29, 8), 6)) + (ROUND(O328,4) &lt; INDEX('Tabela de ingredientes'!$O$1:$V$30, SWITCH(B328, "Gelatos de Leite", 7, "Sorbets", 10, "Gelatos de Leite com Fruta", 13, "Chocolate base água", 16, "Vegano", 19, "Alcoólicos", 22, "Zero", 25, "Gelatos Proteicos", 28, 7), 7)) + (ROUND(O328,4) &gt; INDEX('Tabela de ingredientes'!$O$1:$V$30, SWITCH(B328, "Gelatos de Leite", 8, "Sorbets", 11, "Gelatos de Leite com Fruta", 14, "Chocolate base água", 17, "Vegano", 20, "Alcoólicos", 23, "Zero", 26, "Gelatos Proteicos", 29, 8), 7)) + (ROUND(P328,4) &lt; INDEX('Tabela de ingredientes'!$O$1:$V$30, SWITCH(B328, "Gelatos de Leite", 7, "Sorbets", 10, "Gelatos de Leite com Fruta", 13, "Chocolate base água", 16, "Vegano", 19, "Alcoólicos", 22, "Zero", 25, "Gelatos Proteicos", 28, 7), 8)) + (ROUND(P328,4) &gt; INDEX('Tabela de ingredientes'!$O$1:$V$30, SWITCH(B328, "Gelatos de Leite", 8, "Sorbets", 11, "Gelatos de Leite com Fruta", 14, "Chocolate base água", 17, "Vegano", 20, "Alcoólicos", 23, "Zero", 26, "Gelatos Proteicos", 29, 8), 8)) + IF(B328="Gelatos Proteicos", (ROUND(Q328,4)&lt;'Tabela de ingredientes'!$W$28)+(ROUND(Q328,4)&gt;'Tabela de ingredientes'!$W$29), 0) = 0, "Ok", "Revisar"))</f>
        <v/>
      </c>
    </row>
    <row r="329">
      <c r="A329" s="264"/>
      <c r="B329" s="264" t="s">
        <v>187</v>
      </c>
      <c r="C329" s="264" t="s">
        <v>187</v>
      </c>
      <c r="D329" s="264" t="s">
        <v>187</v>
      </c>
      <c r="E329" s="264" t="s">
        <v>187</v>
      </c>
      <c r="F329" s="264" t="s">
        <v>187</v>
      </c>
      <c r="G329" s="264" t="s">
        <v>187</v>
      </c>
      <c r="H329" s="264" t="s">
        <v>187</v>
      </c>
      <c r="I329" s="264" t="s">
        <v>187</v>
      </c>
      <c r="J329" s="264" t="s">
        <v>187</v>
      </c>
      <c r="K329" s="264" t="s">
        <v>187</v>
      </c>
      <c r="L329" s="264" t="s">
        <v>187</v>
      </c>
      <c r="M329" s="264" t="s">
        <v>187</v>
      </c>
      <c r="N329" s="264" t="s">
        <v>187</v>
      </c>
      <c r="O329" s="264" t="s">
        <v>187</v>
      </c>
      <c r="P329" s="264" t="s">
        <v>187</v>
      </c>
      <c r="Q329" s="264" t="s">
        <v>187</v>
      </c>
      <c r="R329" s="264" t="s">
        <v>187</v>
      </c>
      <c r="S329" s="97" t="str">
        <f t="array" ref="S329">IF(A329="","", IF( (ROUND(I329,4) &lt; INDEX('Tabela de ingredientes'!$O$1:$V$30, SWITCH(B329, "Gelatos de Leite", 7, "Sorbets", 10, "Gelatos de Leite com Fruta", 13, "Chocolate base água", 16, "Vegano", 19, "Alcoólicos", 22, "Zero", 25, "Gelatos Proteicos", 28, 7), 1)) + (ROUND(I329,4) &gt; INDEX('Tabela de ingredientes'!$O$1:$V$30, SWITCH(B329, "Gelatos de Leite", 8, "Sorbets", 11, "Gelatos de Leite com Fruta", 14, "Chocolate base água", 17, "Vegano", 20, "Alcoólicos", 23, "Zero", 26, "Gelatos Proteicos", 29, 8), 1)) + (ROUND(J329,4) &lt; INDEX('Tabela de ingredientes'!$O$1:$V$30, SWITCH(B329, "Gelatos de Leite", 7, "Sorbets", 10, "Gelatos de Leite com Fruta", 13, "Chocolate base água", 16, "Vegano", 19, "Alcoólicos", 22, "Zero", 25, "Gelatos Proteicos", 28, 7), 2)) + (ROUND(J329,4) &gt; INDEX('Tabela de ingredientes'!$O$1:$V$30, SWITCH(B329, "Gelatos de Leite", 8, "Sorbets", 11, "Gelatos de Leite com Fruta", 14, "Chocolate base água", 17, "Vegano", 20, "Alcoólicos", 23, "Zero", 26, "Gelatos Proteicos", 29, 8), 2)) + (ROUND(K329,4) &lt; INDEX('Tabela de ingredientes'!$O$1:$V$30, SWITCH(B329, "Gelatos de Leite", 7, "Sorbets", 10, "Gelatos de Leite com Fruta", 13, "Chocolate base água", 16, "Vegano", 19, "Alcoólicos", 22, "Zero", 25, "Gelatos Proteicos", 28, 7), 3)) + (ROUND(K329,4) &gt; INDEX('Tabela de ingredientes'!$O$1:$V$30, SWITCH(B329, "Gelatos de Leite", 8, "Sorbets", 11, "Gelatos de Leite com Fruta", 14, "Chocolate base água", 17, "Vegano", 20, "Alcoólicos", 23, "Zero", 26, "Gelatos Proteicos", 29, 8), 3)) + (ROUND(L329,4) &lt; INDEX('Tabela de ingredientes'!$O$1:$V$30, SWITCH(B329, "Gelatos de Leite", 7, "Sorbets", 10, "Gelatos de Leite com Fruta", 13, "Chocolate base água", 16, "Vegano", 19, "Alcoólicos", 22, "Zero", 25, "Gelatos Proteicos", 28, 7), 4)) + (ROUND(L329,4) &gt; INDEX('Tabela de ingredientes'!$O$1:$V$30, SWITCH(B329, "Gelatos de Leite", 8, "Sorbets", 11, "Gelatos de Leite com Fruta", 14, "Chocolate base água", 17, "Vegano", 20, "Alcoólicos", 23, "Zero", 26, "Gelatos Proteicos", 29, 8), 4)) + (ROUND(M329,4) &lt; INDEX('Tabela de ingredientes'!$O$1:$V$30, SWITCH(B329, "Gelatos de Leite", 7, "Sorbets", 10, "Gelatos de Leite com Fruta", 13, "Chocolate base água", 16, "Vegano", 19, "Alcoólicos", 22, "Zero", 25, "Gelatos Proteicos", 28, 7), 5)) + (ROUND(M329,4) &gt; INDEX('Tabela de ingredientes'!$O$1:$V$30, SWITCH(B329, "Gelatos de Leite", 8, "Sorbets", 11, "Gelatos de Leite com Fruta", 14, "Chocolate base água", 17, "Vegano", 20, "Alcoólicos", 23, "Zero", 26, "Gelatos Proteicos", 29, 8), 5)) + (ROUND(N329,4) &lt; INDEX('Tabela de ingredientes'!$O$1:$V$30, SWITCH(B329, "Gelatos de Leite", 7, "Sorbets", 10, "Gelatos de Leite com Fruta", 13, "Chocolate base água", 16, "Vegano", 19, "Alcoólicos", 22, "Zero", 25, "Gelatos Proteicos", 28, 7), 6)) + (ROUND(N329,4) &gt; INDEX('Tabela de ingredientes'!$O$1:$V$30, SWITCH(B329, "Gelatos de Leite", 8, "Sorbets", 11, "Gelatos de Leite com Fruta", 14, "Chocolate base água", 17, "Vegano", 20, "Alcoólicos", 23, "Zero", 26, "Gelatos Proteicos", 29, 8), 6)) + (ROUND(O329,4) &lt; INDEX('Tabela de ingredientes'!$O$1:$V$30, SWITCH(B329, "Gelatos de Leite", 7, "Sorbets", 10, "Gelatos de Leite com Fruta", 13, "Chocolate base água", 16, "Vegano", 19, "Alcoólicos", 22, "Zero", 25, "Gelatos Proteicos", 28, 7), 7)) + (ROUND(O329,4) &gt; INDEX('Tabela de ingredientes'!$O$1:$V$30, SWITCH(B329, "Gelatos de Leite", 8, "Sorbets", 11, "Gelatos de Leite com Fruta", 14, "Chocolate base água", 17, "Vegano", 20, "Alcoólicos", 23, "Zero", 26, "Gelatos Proteicos", 29, 8), 7)) + (ROUND(P329,4) &lt; INDEX('Tabela de ingredientes'!$O$1:$V$30, SWITCH(B329, "Gelatos de Leite", 7, "Sorbets", 10, "Gelatos de Leite com Fruta", 13, "Chocolate base água", 16, "Vegano", 19, "Alcoólicos", 22, "Zero", 25, "Gelatos Proteicos", 28, 7), 8)) + (ROUND(P329,4) &gt; INDEX('Tabela de ingredientes'!$O$1:$V$30, SWITCH(B329, "Gelatos de Leite", 8, "Sorbets", 11, "Gelatos de Leite com Fruta", 14, "Chocolate base água", 17, "Vegano", 20, "Alcoólicos", 23, "Zero", 26, "Gelatos Proteicos", 29, 8), 8)) + IF(B329="Gelatos Proteicos", (ROUND(Q329,4)&lt;'Tabela de ingredientes'!$W$28)+(ROUND(Q329,4)&gt;'Tabela de ingredientes'!$W$29), 0) = 0, "Ok", "Revisar"))</f>
        <v/>
      </c>
    </row>
    <row r="330">
      <c r="A330" s="264"/>
      <c r="B330" s="264" t="s">
        <v>187</v>
      </c>
      <c r="C330" s="264" t="s">
        <v>187</v>
      </c>
      <c r="D330" s="264" t="s">
        <v>187</v>
      </c>
      <c r="E330" s="264" t="s">
        <v>187</v>
      </c>
      <c r="F330" s="264" t="s">
        <v>187</v>
      </c>
      <c r="G330" s="264" t="s">
        <v>187</v>
      </c>
      <c r="H330" s="264" t="s">
        <v>187</v>
      </c>
      <c r="I330" s="264" t="s">
        <v>187</v>
      </c>
      <c r="J330" s="264" t="s">
        <v>187</v>
      </c>
      <c r="K330" s="264" t="s">
        <v>187</v>
      </c>
      <c r="L330" s="264" t="s">
        <v>187</v>
      </c>
      <c r="M330" s="264" t="s">
        <v>187</v>
      </c>
      <c r="N330" s="264" t="s">
        <v>187</v>
      </c>
      <c r="O330" s="264" t="s">
        <v>187</v>
      </c>
      <c r="P330" s="264" t="s">
        <v>187</v>
      </c>
      <c r="Q330" s="264" t="s">
        <v>187</v>
      </c>
      <c r="R330" s="264" t="s">
        <v>187</v>
      </c>
      <c r="S330" s="97" t="str">
        <f t="array" ref="S330">IF(A330="","", IF( (ROUND(I330,4) &lt; INDEX('Tabela de ingredientes'!$O$1:$V$30, SWITCH(B330, "Gelatos de Leite", 7, "Sorbets", 10, "Gelatos de Leite com Fruta", 13, "Chocolate base água", 16, "Vegano", 19, "Alcoólicos", 22, "Zero", 25, "Gelatos Proteicos", 28, 7), 1)) + (ROUND(I330,4) &gt; INDEX('Tabela de ingredientes'!$O$1:$V$30, SWITCH(B330, "Gelatos de Leite", 8, "Sorbets", 11, "Gelatos de Leite com Fruta", 14, "Chocolate base água", 17, "Vegano", 20, "Alcoólicos", 23, "Zero", 26, "Gelatos Proteicos", 29, 8), 1)) + (ROUND(J330,4) &lt; INDEX('Tabela de ingredientes'!$O$1:$V$30, SWITCH(B330, "Gelatos de Leite", 7, "Sorbets", 10, "Gelatos de Leite com Fruta", 13, "Chocolate base água", 16, "Vegano", 19, "Alcoólicos", 22, "Zero", 25, "Gelatos Proteicos", 28, 7), 2)) + (ROUND(J330,4) &gt; INDEX('Tabela de ingredientes'!$O$1:$V$30, SWITCH(B330, "Gelatos de Leite", 8, "Sorbets", 11, "Gelatos de Leite com Fruta", 14, "Chocolate base água", 17, "Vegano", 20, "Alcoólicos", 23, "Zero", 26, "Gelatos Proteicos", 29, 8), 2)) + (ROUND(K330,4) &lt; INDEX('Tabela de ingredientes'!$O$1:$V$30, SWITCH(B330, "Gelatos de Leite", 7, "Sorbets", 10, "Gelatos de Leite com Fruta", 13, "Chocolate base água", 16, "Vegano", 19, "Alcoólicos", 22, "Zero", 25, "Gelatos Proteicos", 28, 7), 3)) + (ROUND(K330,4) &gt; INDEX('Tabela de ingredientes'!$O$1:$V$30, SWITCH(B330, "Gelatos de Leite", 8, "Sorbets", 11, "Gelatos de Leite com Fruta", 14, "Chocolate base água", 17, "Vegano", 20, "Alcoólicos", 23, "Zero", 26, "Gelatos Proteicos", 29, 8), 3)) + (ROUND(L330,4) &lt; INDEX('Tabela de ingredientes'!$O$1:$V$30, SWITCH(B330, "Gelatos de Leite", 7, "Sorbets", 10, "Gelatos de Leite com Fruta", 13, "Chocolate base água", 16, "Vegano", 19, "Alcoólicos", 22, "Zero", 25, "Gelatos Proteicos", 28, 7), 4)) + (ROUND(L330,4) &gt; INDEX('Tabela de ingredientes'!$O$1:$V$30, SWITCH(B330, "Gelatos de Leite", 8, "Sorbets", 11, "Gelatos de Leite com Fruta", 14, "Chocolate base água", 17, "Vegano", 20, "Alcoólicos", 23, "Zero", 26, "Gelatos Proteicos", 29, 8), 4)) + (ROUND(M330,4) &lt; INDEX('Tabela de ingredientes'!$O$1:$V$30, SWITCH(B330, "Gelatos de Leite", 7, "Sorbets", 10, "Gelatos de Leite com Fruta", 13, "Chocolate base água", 16, "Vegano", 19, "Alcoólicos", 22, "Zero", 25, "Gelatos Proteicos", 28, 7), 5)) + (ROUND(M330,4) &gt; INDEX('Tabela de ingredientes'!$O$1:$V$30, SWITCH(B330, "Gelatos de Leite", 8, "Sorbets", 11, "Gelatos de Leite com Fruta", 14, "Chocolate base água", 17, "Vegano", 20, "Alcoólicos", 23, "Zero", 26, "Gelatos Proteicos", 29, 8), 5)) + (ROUND(N330,4) &lt; INDEX('Tabela de ingredientes'!$O$1:$V$30, SWITCH(B330, "Gelatos de Leite", 7, "Sorbets", 10, "Gelatos de Leite com Fruta", 13, "Chocolate base água", 16, "Vegano", 19, "Alcoólicos", 22, "Zero", 25, "Gelatos Proteicos", 28, 7), 6)) + (ROUND(N330,4) &gt; INDEX('Tabela de ingredientes'!$O$1:$V$30, SWITCH(B330, "Gelatos de Leite", 8, "Sorbets", 11, "Gelatos de Leite com Fruta", 14, "Chocolate base água", 17, "Vegano", 20, "Alcoólicos", 23, "Zero", 26, "Gelatos Proteicos", 29, 8), 6)) + (ROUND(O330,4) &lt; INDEX('Tabela de ingredientes'!$O$1:$V$30, SWITCH(B330, "Gelatos de Leite", 7, "Sorbets", 10, "Gelatos de Leite com Fruta", 13, "Chocolate base água", 16, "Vegano", 19, "Alcoólicos", 22, "Zero", 25, "Gelatos Proteicos", 28, 7), 7)) + (ROUND(O330,4) &gt; INDEX('Tabela de ingredientes'!$O$1:$V$30, SWITCH(B330, "Gelatos de Leite", 8, "Sorbets", 11, "Gelatos de Leite com Fruta", 14, "Chocolate base água", 17, "Vegano", 20, "Alcoólicos", 23, "Zero", 26, "Gelatos Proteicos", 29, 8), 7)) + (ROUND(P330,4) &lt; INDEX('Tabela de ingredientes'!$O$1:$V$30, SWITCH(B330, "Gelatos de Leite", 7, "Sorbets", 10, "Gelatos de Leite com Fruta", 13, "Chocolate base água", 16, "Vegano", 19, "Alcoólicos", 22, "Zero", 25, "Gelatos Proteicos", 28, 7), 8)) + (ROUND(P330,4) &gt; INDEX('Tabela de ingredientes'!$O$1:$V$30, SWITCH(B330, "Gelatos de Leite", 8, "Sorbets", 11, "Gelatos de Leite com Fruta", 14, "Chocolate base água", 17, "Vegano", 20, "Alcoólicos", 23, "Zero", 26, "Gelatos Proteicos", 29, 8), 8)) + IF(B330="Gelatos Proteicos", (ROUND(Q330,4)&lt;'Tabela de ingredientes'!$W$28)+(ROUND(Q330,4)&gt;'Tabela de ingredientes'!$W$29), 0) = 0, "Ok", "Revisar"))</f>
        <v/>
      </c>
    </row>
    <row r="331">
      <c r="A331" s="264"/>
      <c r="B331" s="264" t="s">
        <v>187</v>
      </c>
      <c r="C331" s="264" t="s">
        <v>187</v>
      </c>
      <c r="D331" s="264" t="s">
        <v>187</v>
      </c>
      <c r="E331" s="264" t="s">
        <v>187</v>
      </c>
      <c r="F331" s="264" t="s">
        <v>187</v>
      </c>
      <c r="G331" s="264" t="s">
        <v>187</v>
      </c>
      <c r="H331" s="264" t="s">
        <v>187</v>
      </c>
      <c r="I331" s="264" t="s">
        <v>187</v>
      </c>
      <c r="J331" s="264" t="s">
        <v>187</v>
      </c>
      <c r="K331" s="264" t="s">
        <v>187</v>
      </c>
      <c r="L331" s="264" t="s">
        <v>187</v>
      </c>
      <c r="M331" s="264" t="s">
        <v>187</v>
      </c>
      <c r="N331" s="264" t="s">
        <v>187</v>
      </c>
      <c r="O331" s="264" t="s">
        <v>187</v>
      </c>
      <c r="P331" s="264" t="s">
        <v>187</v>
      </c>
      <c r="Q331" s="264" t="s">
        <v>187</v>
      </c>
      <c r="R331" s="264" t="s">
        <v>187</v>
      </c>
      <c r="S331" s="97" t="str">
        <f t="array" ref="S331">IF(A331="","", IF( (ROUND(I331,4) &lt; INDEX('Tabela de ingredientes'!$O$1:$V$30, SWITCH(B331, "Gelatos de Leite", 7, "Sorbets", 10, "Gelatos de Leite com Fruta", 13, "Chocolate base água", 16, "Vegano", 19, "Alcoólicos", 22, "Zero", 25, "Gelatos Proteicos", 28, 7), 1)) + (ROUND(I331,4) &gt; INDEX('Tabela de ingredientes'!$O$1:$V$30, SWITCH(B331, "Gelatos de Leite", 8, "Sorbets", 11, "Gelatos de Leite com Fruta", 14, "Chocolate base água", 17, "Vegano", 20, "Alcoólicos", 23, "Zero", 26, "Gelatos Proteicos", 29, 8), 1)) + (ROUND(J331,4) &lt; INDEX('Tabela de ingredientes'!$O$1:$V$30, SWITCH(B331, "Gelatos de Leite", 7, "Sorbets", 10, "Gelatos de Leite com Fruta", 13, "Chocolate base água", 16, "Vegano", 19, "Alcoólicos", 22, "Zero", 25, "Gelatos Proteicos", 28, 7), 2)) + (ROUND(J331,4) &gt; INDEX('Tabela de ingredientes'!$O$1:$V$30, SWITCH(B331, "Gelatos de Leite", 8, "Sorbets", 11, "Gelatos de Leite com Fruta", 14, "Chocolate base água", 17, "Vegano", 20, "Alcoólicos", 23, "Zero", 26, "Gelatos Proteicos", 29, 8), 2)) + (ROUND(K331,4) &lt; INDEX('Tabela de ingredientes'!$O$1:$V$30, SWITCH(B331, "Gelatos de Leite", 7, "Sorbets", 10, "Gelatos de Leite com Fruta", 13, "Chocolate base água", 16, "Vegano", 19, "Alcoólicos", 22, "Zero", 25, "Gelatos Proteicos", 28, 7), 3)) + (ROUND(K331,4) &gt; INDEX('Tabela de ingredientes'!$O$1:$V$30, SWITCH(B331, "Gelatos de Leite", 8, "Sorbets", 11, "Gelatos de Leite com Fruta", 14, "Chocolate base água", 17, "Vegano", 20, "Alcoólicos", 23, "Zero", 26, "Gelatos Proteicos", 29, 8), 3)) + (ROUND(L331,4) &lt; INDEX('Tabela de ingredientes'!$O$1:$V$30, SWITCH(B331, "Gelatos de Leite", 7, "Sorbets", 10, "Gelatos de Leite com Fruta", 13, "Chocolate base água", 16, "Vegano", 19, "Alcoólicos", 22, "Zero", 25, "Gelatos Proteicos", 28, 7), 4)) + (ROUND(L331,4) &gt; INDEX('Tabela de ingredientes'!$O$1:$V$30, SWITCH(B331, "Gelatos de Leite", 8, "Sorbets", 11, "Gelatos de Leite com Fruta", 14, "Chocolate base água", 17, "Vegano", 20, "Alcoólicos", 23, "Zero", 26, "Gelatos Proteicos", 29, 8), 4)) + (ROUND(M331,4) &lt; INDEX('Tabela de ingredientes'!$O$1:$V$30, SWITCH(B331, "Gelatos de Leite", 7, "Sorbets", 10, "Gelatos de Leite com Fruta", 13, "Chocolate base água", 16, "Vegano", 19, "Alcoólicos", 22, "Zero", 25, "Gelatos Proteicos", 28, 7), 5)) + (ROUND(M331,4) &gt; INDEX('Tabela de ingredientes'!$O$1:$V$30, SWITCH(B331, "Gelatos de Leite", 8, "Sorbets", 11, "Gelatos de Leite com Fruta", 14, "Chocolate base água", 17, "Vegano", 20, "Alcoólicos", 23, "Zero", 26, "Gelatos Proteicos", 29, 8), 5)) + (ROUND(N331,4) &lt; INDEX('Tabela de ingredientes'!$O$1:$V$30, SWITCH(B331, "Gelatos de Leite", 7, "Sorbets", 10, "Gelatos de Leite com Fruta", 13, "Chocolate base água", 16, "Vegano", 19, "Alcoólicos", 22, "Zero", 25, "Gelatos Proteicos", 28, 7), 6)) + (ROUND(N331,4) &gt; INDEX('Tabela de ingredientes'!$O$1:$V$30, SWITCH(B331, "Gelatos de Leite", 8, "Sorbets", 11, "Gelatos de Leite com Fruta", 14, "Chocolate base água", 17, "Vegano", 20, "Alcoólicos", 23, "Zero", 26, "Gelatos Proteicos", 29, 8), 6)) + (ROUND(O331,4) &lt; INDEX('Tabela de ingredientes'!$O$1:$V$30, SWITCH(B331, "Gelatos de Leite", 7, "Sorbets", 10, "Gelatos de Leite com Fruta", 13, "Chocolate base água", 16, "Vegano", 19, "Alcoólicos", 22, "Zero", 25, "Gelatos Proteicos", 28, 7), 7)) + (ROUND(O331,4) &gt; INDEX('Tabela de ingredientes'!$O$1:$V$30, SWITCH(B331, "Gelatos de Leite", 8, "Sorbets", 11, "Gelatos de Leite com Fruta", 14, "Chocolate base água", 17, "Vegano", 20, "Alcoólicos", 23, "Zero", 26, "Gelatos Proteicos", 29, 8), 7)) + (ROUND(P331,4) &lt; INDEX('Tabela de ingredientes'!$O$1:$V$30, SWITCH(B331, "Gelatos de Leite", 7, "Sorbets", 10, "Gelatos de Leite com Fruta", 13, "Chocolate base água", 16, "Vegano", 19, "Alcoólicos", 22, "Zero", 25, "Gelatos Proteicos", 28, 7), 8)) + (ROUND(P331,4) &gt; INDEX('Tabela de ingredientes'!$O$1:$V$30, SWITCH(B331, "Gelatos de Leite", 8, "Sorbets", 11, "Gelatos de Leite com Fruta", 14, "Chocolate base água", 17, "Vegano", 20, "Alcoólicos", 23, "Zero", 26, "Gelatos Proteicos", 29, 8), 8)) + IF(B331="Gelatos Proteicos", (ROUND(Q331,4)&lt;'Tabela de ingredientes'!$W$28)+(ROUND(Q331,4)&gt;'Tabela de ingredientes'!$W$29), 0) = 0, "Ok", "Revisar"))</f>
        <v/>
      </c>
    </row>
    <row r="332">
      <c r="A332" s="264"/>
      <c r="B332" s="264" t="s">
        <v>187</v>
      </c>
      <c r="C332" s="264" t="s">
        <v>187</v>
      </c>
      <c r="D332" s="264" t="s">
        <v>187</v>
      </c>
      <c r="E332" s="264" t="s">
        <v>187</v>
      </c>
      <c r="F332" s="264" t="s">
        <v>187</v>
      </c>
      <c r="G332" s="264" t="s">
        <v>187</v>
      </c>
      <c r="H332" s="264" t="s">
        <v>187</v>
      </c>
      <c r="I332" s="264" t="s">
        <v>187</v>
      </c>
      <c r="J332" s="264" t="s">
        <v>187</v>
      </c>
      <c r="K332" s="264" t="s">
        <v>187</v>
      </c>
      <c r="L332" s="264" t="s">
        <v>187</v>
      </c>
      <c r="M332" s="264" t="s">
        <v>187</v>
      </c>
      <c r="N332" s="264" t="s">
        <v>187</v>
      </c>
      <c r="O332" s="264" t="s">
        <v>187</v>
      </c>
      <c r="P332" s="264" t="s">
        <v>187</v>
      </c>
      <c r="Q332" s="264" t="s">
        <v>187</v>
      </c>
      <c r="R332" s="264" t="s">
        <v>187</v>
      </c>
      <c r="S332" s="97" t="str">
        <f t="array" ref="S332">IF(A332="","", IF( (ROUND(I332,4) &lt; INDEX('Tabela de ingredientes'!$O$1:$V$30, SWITCH(B332, "Gelatos de Leite", 7, "Sorbets", 10, "Gelatos de Leite com Fruta", 13, "Chocolate base água", 16, "Vegano", 19, "Alcoólicos", 22, "Zero", 25, "Gelatos Proteicos", 28, 7), 1)) + (ROUND(I332,4) &gt; INDEX('Tabela de ingredientes'!$O$1:$V$30, SWITCH(B332, "Gelatos de Leite", 8, "Sorbets", 11, "Gelatos de Leite com Fruta", 14, "Chocolate base água", 17, "Vegano", 20, "Alcoólicos", 23, "Zero", 26, "Gelatos Proteicos", 29, 8), 1)) + (ROUND(J332,4) &lt; INDEX('Tabela de ingredientes'!$O$1:$V$30, SWITCH(B332, "Gelatos de Leite", 7, "Sorbets", 10, "Gelatos de Leite com Fruta", 13, "Chocolate base água", 16, "Vegano", 19, "Alcoólicos", 22, "Zero", 25, "Gelatos Proteicos", 28, 7), 2)) + (ROUND(J332,4) &gt; INDEX('Tabela de ingredientes'!$O$1:$V$30, SWITCH(B332, "Gelatos de Leite", 8, "Sorbets", 11, "Gelatos de Leite com Fruta", 14, "Chocolate base água", 17, "Vegano", 20, "Alcoólicos", 23, "Zero", 26, "Gelatos Proteicos", 29, 8), 2)) + (ROUND(K332,4) &lt; INDEX('Tabela de ingredientes'!$O$1:$V$30, SWITCH(B332, "Gelatos de Leite", 7, "Sorbets", 10, "Gelatos de Leite com Fruta", 13, "Chocolate base água", 16, "Vegano", 19, "Alcoólicos", 22, "Zero", 25, "Gelatos Proteicos", 28, 7), 3)) + (ROUND(K332,4) &gt; INDEX('Tabela de ingredientes'!$O$1:$V$30, SWITCH(B332, "Gelatos de Leite", 8, "Sorbets", 11, "Gelatos de Leite com Fruta", 14, "Chocolate base água", 17, "Vegano", 20, "Alcoólicos", 23, "Zero", 26, "Gelatos Proteicos", 29, 8), 3)) + (ROUND(L332,4) &lt; INDEX('Tabela de ingredientes'!$O$1:$V$30, SWITCH(B332, "Gelatos de Leite", 7, "Sorbets", 10, "Gelatos de Leite com Fruta", 13, "Chocolate base água", 16, "Vegano", 19, "Alcoólicos", 22, "Zero", 25, "Gelatos Proteicos", 28, 7), 4)) + (ROUND(L332,4) &gt; INDEX('Tabela de ingredientes'!$O$1:$V$30, SWITCH(B332, "Gelatos de Leite", 8, "Sorbets", 11, "Gelatos de Leite com Fruta", 14, "Chocolate base água", 17, "Vegano", 20, "Alcoólicos", 23, "Zero", 26, "Gelatos Proteicos", 29, 8), 4)) + (ROUND(M332,4) &lt; INDEX('Tabela de ingredientes'!$O$1:$V$30, SWITCH(B332, "Gelatos de Leite", 7, "Sorbets", 10, "Gelatos de Leite com Fruta", 13, "Chocolate base água", 16, "Vegano", 19, "Alcoólicos", 22, "Zero", 25, "Gelatos Proteicos", 28, 7), 5)) + (ROUND(M332,4) &gt; INDEX('Tabela de ingredientes'!$O$1:$V$30, SWITCH(B332, "Gelatos de Leite", 8, "Sorbets", 11, "Gelatos de Leite com Fruta", 14, "Chocolate base água", 17, "Vegano", 20, "Alcoólicos", 23, "Zero", 26, "Gelatos Proteicos", 29, 8), 5)) + (ROUND(N332,4) &lt; INDEX('Tabela de ingredientes'!$O$1:$V$30, SWITCH(B332, "Gelatos de Leite", 7, "Sorbets", 10, "Gelatos de Leite com Fruta", 13, "Chocolate base água", 16, "Vegano", 19, "Alcoólicos", 22, "Zero", 25, "Gelatos Proteicos", 28, 7), 6)) + (ROUND(N332,4) &gt; INDEX('Tabela de ingredientes'!$O$1:$V$30, SWITCH(B332, "Gelatos de Leite", 8, "Sorbets", 11, "Gelatos de Leite com Fruta", 14, "Chocolate base água", 17, "Vegano", 20, "Alcoólicos", 23, "Zero", 26, "Gelatos Proteicos", 29, 8), 6)) + (ROUND(O332,4) &lt; INDEX('Tabela de ingredientes'!$O$1:$V$30, SWITCH(B332, "Gelatos de Leite", 7, "Sorbets", 10, "Gelatos de Leite com Fruta", 13, "Chocolate base água", 16, "Vegano", 19, "Alcoólicos", 22, "Zero", 25, "Gelatos Proteicos", 28, 7), 7)) + (ROUND(O332,4) &gt; INDEX('Tabela de ingredientes'!$O$1:$V$30, SWITCH(B332, "Gelatos de Leite", 8, "Sorbets", 11, "Gelatos de Leite com Fruta", 14, "Chocolate base água", 17, "Vegano", 20, "Alcoólicos", 23, "Zero", 26, "Gelatos Proteicos", 29, 8), 7)) + (ROUND(P332,4) &lt; INDEX('Tabela de ingredientes'!$O$1:$V$30, SWITCH(B332, "Gelatos de Leite", 7, "Sorbets", 10, "Gelatos de Leite com Fruta", 13, "Chocolate base água", 16, "Vegano", 19, "Alcoólicos", 22, "Zero", 25, "Gelatos Proteicos", 28, 7), 8)) + (ROUND(P332,4) &gt; INDEX('Tabela de ingredientes'!$O$1:$V$30, SWITCH(B332, "Gelatos de Leite", 8, "Sorbets", 11, "Gelatos de Leite com Fruta", 14, "Chocolate base água", 17, "Vegano", 20, "Alcoólicos", 23, "Zero", 26, "Gelatos Proteicos", 29, 8), 8)) + IF(B332="Gelatos Proteicos", (ROUND(Q332,4)&lt;'Tabela de ingredientes'!$W$28)+(ROUND(Q332,4)&gt;'Tabela de ingredientes'!$W$29), 0) = 0, "Ok", "Revisar"))</f>
        <v/>
      </c>
    </row>
    <row r="333">
      <c r="A333" s="264"/>
      <c r="B333" s="264" t="s">
        <v>187</v>
      </c>
      <c r="C333" s="264" t="s">
        <v>187</v>
      </c>
      <c r="D333" s="264" t="s">
        <v>187</v>
      </c>
      <c r="E333" s="264" t="s">
        <v>187</v>
      </c>
      <c r="F333" s="264" t="s">
        <v>187</v>
      </c>
      <c r="G333" s="264" t="s">
        <v>187</v>
      </c>
      <c r="H333" s="264" t="s">
        <v>187</v>
      </c>
      <c r="I333" s="264" t="s">
        <v>187</v>
      </c>
      <c r="J333" s="264" t="s">
        <v>187</v>
      </c>
      <c r="K333" s="264" t="s">
        <v>187</v>
      </c>
      <c r="L333" s="264" t="s">
        <v>187</v>
      </c>
      <c r="M333" s="264" t="s">
        <v>187</v>
      </c>
      <c r="N333" s="264" t="s">
        <v>187</v>
      </c>
      <c r="O333" s="264" t="s">
        <v>187</v>
      </c>
      <c r="P333" s="264" t="s">
        <v>187</v>
      </c>
      <c r="Q333" s="264" t="s">
        <v>187</v>
      </c>
      <c r="R333" s="264" t="s">
        <v>187</v>
      </c>
      <c r="S333" s="97" t="str">
        <f t="array" ref="S333">IF(A333="","", IF( (ROUND(I333,4) &lt; INDEX('Tabela de ingredientes'!$O$1:$V$30, SWITCH(B333, "Gelatos de Leite", 7, "Sorbets", 10, "Gelatos de Leite com Fruta", 13, "Chocolate base água", 16, "Vegano", 19, "Alcoólicos", 22, "Zero", 25, "Gelatos Proteicos", 28, 7), 1)) + (ROUND(I333,4) &gt; INDEX('Tabela de ingredientes'!$O$1:$V$30, SWITCH(B333, "Gelatos de Leite", 8, "Sorbets", 11, "Gelatos de Leite com Fruta", 14, "Chocolate base água", 17, "Vegano", 20, "Alcoólicos", 23, "Zero", 26, "Gelatos Proteicos", 29, 8), 1)) + (ROUND(J333,4) &lt; INDEX('Tabela de ingredientes'!$O$1:$V$30, SWITCH(B333, "Gelatos de Leite", 7, "Sorbets", 10, "Gelatos de Leite com Fruta", 13, "Chocolate base água", 16, "Vegano", 19, "Alcoólicos", 22, "Zero", 25, "Gelatos Proteicos", 28, 7), 2)) + (ROUND(J333,4) &gt; INDEX('Tabela de ingredientes'!$O$1:$V$30, SWITCH(B333, "Gelatos de Leite", 8, "Sorbets", 11, "Gelatos de Leite com Fruta", 14, "Chocolate base água", 17, "Vegano", 20, "Alcoólicos", 23, "Zero", 26, "Gelatos Proteicos", 29, 8), 2)) + (ROUND(K333,4) &lt; INDEX('Tabela de ingredientes'!$O$1:$V$30, SWITCH(B333, "Gelatos de Leite", 7, "Sorbets", 10, "Gelatos de Leite com Fruta", 13, "Chocolate base água", 16, "Vegano", 19, "Alcoólicos", 22, "Zero", 25, "Gelatos Proteicos", 28, 7), 3)) + (ROUND(K333,4) &gt; INDEX('Tabela de ingredientes'!$O$1:$V$30, SWITCH(B333, "Gelatos de Leite", 8, "Sorbets", 11, "Gelatos de Leite com Fruta", 14, "Chocolate base água", 17, "Vegano", 20, "Alcoólicos", 23, "Zero", 26, "Gelatos Proteicos", 29, 8), 3)) + (ROUND(L333,4) &lt; INDEX('Tabela de ingredientes'!$O$1:$V$30, SWITCH(B333, "Gelatos de Leite", 7, "Sorbets", 10, "Gelatos de Leite com Fruta", 13, "Chocolate base água", 16, "Vegano", 19, "Alcoólicos", 22, "Zero", 25, "Gelatos Proteicos", 28, 7), 4)) + (ROUND(L333,4) &gt; INDEX('Tabela de ingredientes'!$O$1:$V$30, SWITCH(B333, "Gelatos de Leite", 8, "Sorbets", 11, "Gelatos de Leite com Fruta", 14, "Chocolate base água", 17, "Vegano", 20, "Alcoólicos", 23, "Zero", 26, "Gelatos Proteicos", 29, 8), 4)) + (ROUND(M333,4) &lt; INDEX('Tabela de ingredientes'!$O$1:$V$30, SWITCH(B333, "Gelatos de Leite", 7, "Sorbets", 10, "Gelatos de Leite com Fruta", 13, "Chocolate base água", 16, "Vegano", 19, "Alcoólicos", 22, "Zero", 25, "Gelatos Proteicos", 28, 7), 5)) + (ROUND(M333,4) &gt; INDEX('Tabela de ingredientes'!$O$1:$V$30, SWITCH(B333, "Gelatos de Leite", 8, "Sorbets", 11, "Gelatos de Leite com Fruta", 14, "Chocolate base água", 17, "Vegano", 20, "Alcoólicos", 23, "Zero", 26, "Gelatos Proteicos", 29, 8), 5)) + (ROUND(N333,4) &lt; INDEX('Tabela de ingredientes'!$O$1:$V$30, SWITCH(B333, "Gelatos de Leite", 7, "Sorbets", 10, "Gelatos de Leite com Fruta", 13, "Chocolate base água", 16, "Vegano", 19, "Alcoólicos", 22, "Zero", 25, "Gelatos Proteicos", 28, 7), 6)) + (ROUND(N333,4) &gt; INDEX('Tabela de ingredientes'!$O$1:$V$30, SWITCH(B333, "Gelatos de Leite", 8, "Sorbets", 11, "Gelatos de Leite com Fruta", 14, "Chocolate base água", 17, "Vegano", 20, "Alcoólicos", 23, "Zero", 26, "Gelatos Proteicos", 29, 8), 6)) + (ROUND(O333,4) &lt; INDEX('Tabela de ingredientes'!$O$1:$V$30, SWITCH(B333, "Gelatos de Leite", 7, "Sorbets", 10, "Gelatos de Leite com Fruta", 13, "Chocolate base água", 16, "Vegano", 19, "Alcoólicos", 22, "Zero", 25, "Gelatos Proteicos", 28, 7), 7)) + (ROUND(O333,4) &gt; INDEX('Tabela de ingredientes'!$O$1:$V$30, SWITCH(B333, "Gelatos de Leite", 8, "Sorbets", 11, "Gelatos de Leite com Fruta", 14, "Chocolate base água", 17, "Vegano", 20, "Alcoólicos", 23, "Zero", 26, "Gelatos Proteicos", 29, 8), 7)) + (ROUND(P333,4) &lt; INDEX('Tabela de ingredientes'!$O$1:$V$30, SWITCH(B333, "Gelatos de Leite", 7, "Sorbets", 10, "Gelatos de Leite com Fruta", 13, "Chocolate base água", 16, "Vegano", 19, "Alcoólicos", 22, "Zero", 25, "Gelatos Proteicos", 28, 7), 8)) + (ROUND(P333,4) &gt; INDEX('Tabela de ingredientes'!$O$1:$V$30, SWITCH(B333, "Gelatos de Leite", 8, "Sorbets", 11, "Gelatos de Leite com Fruta", 14, "Chocolate base água", 17, "Vegano", 20, "Alcoólicos", 23, "Zero", 26, "Gelatos Proteicos", 29, 8), 8)) + IF(B333="Gelatos Proteicos", (ROUND(Q333,4)&lt;'Tabela de ingredientes'!$W$28)+(ROUND(Q333,4)&gt;'Tabela de ingredientes'!$W$29), 0) = 0, "Ok", "Revisar"))</f>
        <v/>
      </c>
    </row>
    <row r="334">
      <c r="A334" s="264"/>
      <c r="B334" s="264" t="s">
        <v>187</v>
      </c>
      <c r="C334" s="264" t="s">
        <v>187</v>
      </c>
      <c r="D334" s="264" t="s">
        <v>187</v>
      </c>
      <c r="E334" s="264" t="s">
        <v>187</v>
      </c>
      <c r="F334" s="264" t="s">
        <v>187</v>
      </c>
      <c r="G334" s="264" t="s">
        <v>187</v>
      </c>
      <c r="H334" s="264" t="s">
        <v>187</v>
      </c>
      <c r="I334" s="264" t="s">
        <v>187</v>
      </c>
      <c r="J334" s="264" t="s">
        <v>187</v>
      </c>
      <c r="K334" s="264" t="s">
        <v>187</v>
      </c>
      <c r="L334" s="264" t="s">
        <v>187</v>
      </c>
      <c r="M334" s="264" t="s">
        <v>187</v>
      </c>
      <c r="N334" s="264" t="s">
        <v>187</v>
      </c>
      <c r="O334" s="264" t="s">
        <v>187</v>
      </c>
      <c r="P334" s="264" t="s">
        <v>187</v>
      </c>
      <c r="Q334" s="264" t="s">
        <v>187</v>
      </c>
      <c r="R334" s="264" t="s">
        <v>187</v>
      </c>
      <c r="S334" s="97" t="str">
        <f t="array" ref="S334">IF(A334="","", IF( (ROUND(I334,4) &lt; INDEX('Tabela de ingredientes'!$O$1:$V$30, SWITCH(B334, "Gelatos de Leite", 7, "Sorbets", 10, "Gelatos de Leite com Fruta", 13, "Chocolate base água", 16, "Vegano", 19, "Alcoólicos", 22, "Zero", 25, "Gelatos Proteicos", 28, 7), 1)) + (ROUND(I334,4) &gt; INDEX('Tabela de ingredientes'!$O$1:$V$30, SWITCH(B334, "Gelatos de Leite", 8, "Sorbets", 11, "Gelatos de Leite com Fruta", 14, "Chocolate base água", 17, "Vegano", 20, "Alcoólicos", 23, "Zero", 26, "Gelatos Proteicos", 29, 8), 1)) + (ROUND(J334,4) &lt; INDEX('Tabela de ingredientes'!$O$1:$V$30, SWITCH(B334, "Gelatos de Leite", 7, "Sorbets", 10, "Gelatos de Leite com Fruta", 13, "Chocolate base água", 16, "Vegano", 19, "Alcoólicos", 22, "Zero", 25, "Gelatos Proteicos", 28, 7), 2)) + (ROUND(J334,4) &gt; INDEX('Tabela de ingredientes'!$O$1:$V$30, SWITCH(B334, "Gelatos de Leite", 8, "Sorbets", 11, "Gelatos de Leite com Fruta", 14, "Chocolate base água", 17, "Vegano", 20, "Alcoólicos", 23, "Zero", 26, "Gelatos Proteicos", 29, 8), 2)) + (ROUND(K334,4) &lt; INDEX('Tabela de ingredientes'!$O$1:$V$30, SWITCH(B334, "Gelatos de Leite", 7, "Sorbets", 10, "Gelatos de Leite com Fruta", 13, "Chocolate base água", 16, "Vegano", 19, "Alcoólicos", 22, "Zero", 25, "Gelatos Proteicos", 28, 7), 3)) + (ROUND(K334,4) &gt; INDEX('Tabela de ingredientes'!$O$1:$V$30, SWITCH(B334, "Gelatos de Leite", 8, "Sorbets", 11, "Gelatos de Leite com Fruta", 14, "Chocolate base água", 17, "Vegano", 20, "Alcoólicos", 23, "Zero", 26, "Gelatos Proteicos", 29, 8), 3)) + (ROUND(L334,4) &lt; INDEX('Tabela de ingredientes'!$O$1:$V$30, SWITCH(B334, "Gelatos de Leite", 7, "Sorbets", 10, "Gelatos de Leite com Fruta", 13, "Chocolate base água", 16, "Vegano", 19, "Alcoólicos", 22, "Zero", 25, "Gelatos Proteicos", 28, 7), 4)) + (ROUND(L334,4) &gt; INDEX('Tabela de ingredientes'!$O$1:$V$30, SWITCH(B334, "Gelatos de Leite", 8, "Sorbets", 11, "Gelatos de Leite com Fruta", 14, "Chocolate base água", 17, "Vegano", 20, "Alcoólicos", 23, "Zero", 26, "Gelatos Proteicos", 29, 8), 4)) + (ROUND(M334,4) &lt; INDEX('Tabela de ingredientes'!$O$1:$V$30, SWITCH(B334, "Gelatos de Leite", 7, "Sorbets", 10, "Gelatos de Leite com Fruta", 13, "Chocolate base água", 16, "Vegano", 19, "Alcoólicos", 22, "Zero", 25, "Gelatos Proteicos", 28, 7), 5)) + (ROUND(M334,4) &gt; INDEX('Tabela de ingredientes'!$O$1:$V$30, SWITCH(B334, "Gelatos de Leite", 8, "Sorbets", 11, "Gelatos de Leite com Fruta", 14, "Chocolate base água", 17, "Vegano", 20, "Alcoólicos", 23, "Zero", 26, "Gelatos Proteicos", 29, 8), 5)) + (ROUND(N334,4) &lt; INDEX('Tabela de ingredientes'!$O$1:$V$30, SWITCH(B334, "Gelatos de Leite", 7, "Sorbets", 10, "Gelatos de Leite com Fruta", 13, "Chocolate base água", 16, "Vegano", 19, "Alcoólicos", 22, "Zero", 25, "Gelatos Proteicos", 28, 7), 6)) + (ROUND(N334,4) &gt; INDEX('Tabela de ingredientes'!$O$1:$V$30, SWITCH(B334, "Gelatos de Leite", 8, "Sorbets", 11, "Gelatos de Leite com Fruta", 14, "Chocolate base água", 17, "Vegano", 20, "Alcoólicos", 23, "Zero", 26, "Gelatos Proteicos", 29, 8), 6)) + (ROUND(O334,4) &lt; INDEX('Tabela de ingredientes'!$O$1:$V$30, SWITCH(B334, "Gelatos de Leite", 7, "Sorbets", 10, "Gelatos de Leite com Fruta", 13, "Chocolate base água", 16, "Vegano", 19, "Alcoólicos", 22, "Zero", 25, "Gelatos Proteicos", 28, 7), 7)) + (ROUND(O334,4) &gt; INDEX('Tabela de ingredientes'!$O$1:$V$30, SWITCH(B334, "Gelatos de Leite", 8, "Sorbets", 11, "Gelatos de Leite com Fruta", 14, "Chocolate base água", 17, "Vegano", 20, "Alcoólicos", 23, "Zero", 26, "Gelatos Proteicos", 29, 8), 7)) + (ROUND(P334,4) &lt; INDEX('Tabela de ingredientes'!$O$1:$V$30, SWITCH(B334, "Gelatos de Leite", 7, "Sorbets", 10, "Gelatos de Leite com Fruta", 13, "Chocolate base água", 16, "Vegano", 19, "Alcoólicos", 22, "Zero", 25, "Gelatos Proteicos", 28, 7), 8)) + (ROUND(P334,4) &gt; INDEX('Tabela de ingredientes'!$O$1:$V$30, SWITCH(B334, "Gelatos de Leite", 8, "Sorbets", 11, "Gelatos de Leite com Fruta", 14, "Chocolate base água", 17, "Vegano", 20, "Alcoólicos", 23, "Zero", 26, "Gelatos Proteicos", 29, 8), 8)) + IF(B334="Gelatos Proteicos", (ROUND(Q334,4)&lt;'Tabela de ingredientes'!$W$28)+(ROUND(Q334,4)&gt;'Tabela de ingredientes'!$W$29), 0) = 0, "Ok", "Revisar"))</f>
        <v/>
      </c>
    </row>
    <row r="335">
      <c r="A335" s="264"/>
      <c r="B335" s="264" t="s">
        <v>187</v>
      </c>
      <c r="C335" s="264" t="s">
        <v>187</v>
      </c>
      <c r="D335" s="264" t="s">
        <v>187</v>
      </c>
      <c r="E335" s="264" t="s">
        <v>187</v>
      </c>
      <c r="F335" s="264" t="s">
        <v>187</v>
      </c>
      <c r="G335" s="264" t="s">
        <v>187</v>
      </c>
      <c r="H335" s="264" t="s">
        <v>187</v>
      </c>
      <c r="I335" s="264" t="s">
        <v>187</v>
      </c>
      <c r="J335" s="264" t="s">
        <v>187</v>
      </c>
      <c r="K335" s="264" t="s">
        <v>187</v>
      </c>
      <c r="L335" s="264" t="s">
        <v>187</v>
      </c>
      <c r="M335" s="264" t="s">
        <v>187</v>
      </c>
      <c r="N335" s="264" t="s">
        <v>187</v>
      </c>
      <c r="O335" s="264" t="s">
        <v>187</v>
      </c>
      <c r="P335" s="264" t="s">
        <v>187</v>
      </c>
      <c r="Q335" s="264" t="s">
        <v>187</v>
      </c>
      <c r="R335" s="264" t="s">
        <v>187</v>
      </c>
      <c r="S335" s="97" t="str">
        <f t="array" ref="S335">IF(A335="","", IF( (ROUND(I335,4) &lt; INDEX('Tabela de ingredientes'!$O$1:$V$30, SWITCH(B335, "Gelatos de Leite", 7, "Sorbets", 10, "Gelatos de Leite com Fruta", 13, "Chocolate base água", 16, "Vegano", 19, "Alcoólicos", 22, "Zero", 25, "Gelatos Proteicos", 28, 7), 1)) + (ROUND(I335,4) &gt; INDEX('Tabela de ingredientes'!$O$1:$V$30, SWITCH(B335, "Gelatos de Leite", 8, "Sorbets", 11, "Gelatos de Leite com Fruta", 14, "Chocolate base água", 17, "Vegano", 20, "Alcoólicos", 23, "Zero", 26, "Gelatos Proteicos", 29, 8), 1)) + (ROUND(J335,4) &lt; INDEX('Tabela de ingredientes'!$O$1:$V$30, SWITCH(B335, "Gelatos de Leite", 7, "Sorbets", 10, "Gelatos de Leite com Fruta", 13, "Chocolate base água", 16, "Vegano", 19, "Alcoólicos", 22, "Zero", 25, "Gelatos Proteicos", 28, 7), 2)) + (ROUND(J335,4) &gt; INDEX('Tabela de ingredientes'!$O$1:$V$30, SWITCH(B335, "Gelatos de Leite", 8, "Sorbets", 11, "Gelatos de Leite com Fruta", 14, "Chocolate base água", 17, "Vegano", 20, "Alcoólicos", 23, "Zero", 26, "Gelatos Proteicos", 29, 8), 2)) + (ROUND(K335,4) &lt; INDEX('Tabela de ingredientes'!$O$1:$V$30, SWITCH(B335, "Gelatos de Leite", 7, "Sorbets", 10, "Gelatos de Leite com Fruta", 13, "Chocolate base água", 16, "Vegano", 19, "Alcoólicos", 22, "Zero", 25, "Gelatos Proteicos", 28, 7), 3)) + (ROUND(K335,4) &gt; INDEX('Tabela de ingredientes'!$O$1:$V$30, SWITCH(B335, "Gelatos de Leite", 8, "Sorbets", 11, "Gelatos de Leite com Fruta", 14, "Chocolate base água", 17, "Vegano", 20, "Alcoólicos", 23, "Zero", 26, "Gelatos Proteicos", 29, 8), 3)) + (ROUND(L335,4) &lt; INDEX('Tabela de ingredientes'!$O$1:$V$30, SWITCH(B335, "Gelatos de Leite", 7, "Sorbets", 10, "Gelatos de Leite com Fruta", 13, "Chocolate base água", 16, "Vegano", 19, "Alcoólicos", 22, "Zero", 25, "Gelatos Proteicos", 28, 7), 4)) + (ROUND(L335,4) &gt; INDEX('Tabela de ingredientes'!$O$1:$V$30, SWITCH(B335, "Gelatos de Leite", 8, "Sorbets", 11, "Gelatos de Leite com Fruta", 14, "Chocolate base água", 17, "Vegano", 20, "Alcoólicos", 23, "Zero", 26, "Gelatos Proteicos", 29, 8), 4)) + (ROUND(M335,4) &lt; INDEX('Tabela de ingredientes'!$O$1:$V$30, SWITCH(B335, "Gelatos de Leite", 7, "Sorbets", 10, "Gelatos de Leite com Fruta", 13, "Chocolate base água", 16, "Vegano", 19, "Alcoólicos", 22, "Zero", 25, "Gelatos Proteicos", 28, 7), 5)) + (ROUND(M335,4) &gt; INDEX('Tabela de ingredientes'!$O$1:$V$30, SWITCH(B335, "Gelatos de Leite", 8, "Sorbets", 11, "Gelatos de Leite com Fruta", 14, "Chocolate base água", 17, "Vegano", 20, "Alcoólicos", 23, "Zero", 26, "Gelatos Proteicos", 29, 8), 5)) + (ROUND(N335,4) &lt; INDEX('Tabela de ingredientes'!$O$1:$V$30, SWITCH(B335, "Gelatos de Leite", 7, "Sorbets", 10, "Gelatos de Leite com Fruta", 13, "Chocolate base água", 16, "Vegano", 19, "Alcoólicos", 22, "Zero", 25, "Gelatos Proteicos", 28, 7), 6)) + (ROUND(N335,4) &gt; INDEX('Tabela de ingredientes'!$O$1:$V$30, SWITCH(B335, "Gelatos de Leite", 8, "Sorbets", 11, "Gelatos de Leite com Fruta", 14, "Chocolate base água", 17, "Vegano", 20, "Alcoólicos", 23, "Zero", 26, "Gelatos Proteicos", 29, 8), 6)) + (ROUND(O335,4) &lt; INDEX('Tabela de ingredientes'!$O$1:$V$30, SWITCH(B335, "Gelatos de Leite", 7, "Sorbets", 10, "Gelatos de Leite com Fruta", 13, "Chocolate base água", 16, "Vegano", 19, "Alcoólicos", 22, "Zero", 25, "Gelatos Proteicos", 28, 7), 7)) + (ROUND(O335,4) &gt; INDEX('Tabela de ingredientes'!$O$1:$V$30, SWITCH(B335, "Gelatos de Leite", 8, "Sorbets", 11, "Gelatos de Leite com Fruta", 14, "Chocolate base água", 17, "Vegano", 20, "Alcoólicos", 23, "Zero", 26, "Gelatos Proteicos", 29, 8), 7)) + (ROUND(P335,4) &lt; INDEX('Tabela de ingredientes'!$O$1:$V$30, SWITCH(B335, "Gelatos de Leite", 7, "Sorbets", 10, "Gelatos de Leite com Fruta", 13, "Chocolate base água", 16, "Vegano", 19, "Alcoólicos", 22, "Zero", 25, "Gelatos Proteicos", 28, 7), 8)) + (ROUND(P335,4) &gt; INDEX('Tabela de ingredientes'!$O$1:$V$30, SWITCH(B335, "Gelatos de Leite", 8, "Sorbets", 11, "Gelatos de Leite com Fruta", 14, "Chocolate base água", 17, "Vegano", 20, "Alcoólicos", 23, "Zero", 26, "Gelatos Proteicos", 29, 8), 8)) + IF(B335="Gelatos Proteicos", (ROUND(Q335,4)&lt;'Tabela de ingredientes'!$W$28)+(ROUND(Q335,4)&gt;'Tabela de ingredientes'!$W$29), 0) = 0, "Ok", "Revisar"))</f>
        <v/>
      </c>
    </row>
    <row r="336">
      <c r="A336" s="264"/>
      <c r="B336" s="264" t="s">
        <v>187</v>
      </c>
      <c r="C336" s="264" t="s">
        <v>187</v>
      </c>
      <c r="D336" s="264" t="s">
        <v>187</v>
      </c>
      <c r="E336" s="264" t="s">
        <v>187</v>
      </c>
      <c r="F336" s="264" t="s">
        <v>187</v>
      </c>
      <c r="G336" s="264" t="s">
        <v>187</v>
      </c>
      <c r="H336" s="264" t="s">
        <v>187</v>
      </c>
      <c r="I336" s="264" t="s">
        <v>187</v>
      </c>
      <c r="J336" s="264" t="s">
        <v>187</v>
      </c>
      <c r="K336" s="264" t="s">
        <v>187</v>
      </c>
      <c r="L336" s="264" t="s">
        <v>187</v>
      </c>
      <c r="M336" s="264" t="s">
        <v>187</v>
      </c>
      <c r="N336" s="264" t="s">
        <v>187</v>
      </c>
      <c r="O336" s="264" t="s">
        <v>187</v>
      </c>
      <c r="P336" s="264" t="s">
        <v>187</v>
      </c>
      <c r="Q336" s="264" t="s">
        <v>187</v>
      </c>
      <c r="R336" s="264" t="s">
        <v>187</v>
      </c>
      <c r="S336" s="97" t="str">
        <f t="array" ref="S336">IF(A336="","", IF( (ROUND(I336,4) &lt; INDEX('Tabela de ingredientes'!$O$1:$V$30, SWITCH(B336, "Gelatos de Leite", 7, "Sorbets", 10, "Gelatos de Leite com Fruta", 13, "Chocolate base água", 16, "Vegano", 19, "Alcoólicos", 22, "Zero", 25, "Gelatos Proteicos", 28, 7), 1)) + (ROUND(I336,4) &gt; INDEX('Tabela de ingredientes'!$O$1:$V$30, SWITCH(B336, "Gelatos de Leite", 8, "Sorbets", 11, "Gelatos de Leite com Fruta", 14, "Chocolate base água", 17, "Vegano", 20, "Alcoólicos", 23, "Zero", 26, "Gelatos Proteicos", 29, 8), 1)) + (ROUND(J336,4) &lt; INDEX('Tabela de ingredientes'!$O$1:$V$30, SWITCH(B336, "Gelatos de Leite", 7, "Sorbets", 10, "Gelatos de Leite com Fruta", 13, "Chocolate base água", 16, "Vegano", 19, "Alcoólicos", 22, "Zero", 25, "Gelatos Proteicos", 28, 7), 2)) + (ROUND(J336,4) &gt; INDEX('Tabela de ingredientes'!$O$1:$V$30, SWITCH(B336, "Gelatos de Leite", 8, "Sorbets", 11, "Gelatos de Leite com Fruta", 14, "Chocolate base água", 17, "Vegano", 20, "Alcoólicos", 23, "Zero", 26, "Gelatos Proteicos", 29, 8), 2)) + (ROUND(K336,4) &lt; INDEX('Tabela de ingredientes'!$O$1:$V$30, SWITCH(B336, "Gelatos de Leite", 7, "Sorbets", 10, "Gelatos de Leite com Fruta", 13, "Chocolate base água", 16, "Vegano", 19, "Alcoólicos", 22, "Zero", 25, "Gelatos Proteicos", 28, 7), 3)) + (ROUND(K336,4) &gt; INDEX('Tabela de ingredientes'!$O$1:$V$30, SWITCH(B336, "Gelatos de Leite", 8, "Sorbets", 11, "Gelatos de Leite com Fruta", 14, "Chocolate base água", 17, "Vegano", 20, "Alcoólicos", 23, "Zero", 26, "Gelatos Proteicos", 29, 8), 3)) + (ROUND(L336,4) &lt; INDEX('Tabela de ingredientes'!$O$1:$V$30, SWITCH(B336, "Gelatos de Leite", 7, "Sorbets", 10, "Gelatos de Leite com Fruta", 13, "Chocolate base água", 16, "Vegano", 19, "Alcoólicos", 22, "Zero", 25, "Gelatos Proteicos", 28, 7), 4)) + (ROUND(L336,4) &gt; INDEX('Tabela de ingredientes'!$O$1:$V$30, SWITCH(B336, "Gelatos de Leite", 8, "Sorbets", 11, "Gelatos de Leite com Fruta", 14, "Chocolate base água", 17, "Vegano", 20, "Alcoólicos", 23, "Zero", 26, "Gelatos Proteicos", 29, 8), 4)) + (ROUND(M336,4) &lt; INDEX('Tabela de ingredientes'!$O$1:$V$30, SWITCH(B336, "Gelatos de Leite", 7, "Sorbets", 10, "Gelatos de Leite com Fruta", 13, "Chocolate base água", 16, "Vegano", 19, "Alcoólicos", 22, "Zero", 25, "Gelatos Proteicos", 28, 7), 5)) + (ROUND(M336,4) &gt; INDEX('Tabela de ingredientes'!$O$1:$V$30, SWITCH(B336, "Gelatos de Leite", 8, "Sorbets", 11, "Gelatos de Leite com Fruta", 14, "Chocolate base água", 17, "Vegano", 20, "Alcoólicos", 23, "Zero", 26, "Gelatos Proteicos", 29, 8), 5)) + (ROUND(N336,4) &lt; INDEX('Tabela de ingredientes'!$O$1:$V$30, SWITCH(B336, "Gelatos de Leite", 7, "Sorbets", 10, "Gelatos de Leite com Fruta", 13, "Chocolate base água", 16, "Vegano", 19, "Alcoólicos", 22, "Zero", 25, "Gelatos Proteicos", 28, 7), 6)) + (ROUND(N336,4) &gt; INDEX('Tabela de ingredientes'!$O$1:$V$30, SWITCH(B336, "Gelatos de Leite", 8, "Sorbets", 11, "Gelatos de Leite com Fruta", 14, "Chocolate base água", 17, "Vegano", 20, "Alcoólicos", 23, "Zero", 26, "Gelatos Proteicos", 29, 8), 6)) + (ROUND(O336,4) &lt; INDEX('Tabela de ingredientes'!$O$1:$V$30, SWITCH(B336, "Gelatos de Leite", 7, "Sorbets", 10, "Gelatos de Leite com Fruta", 13, "Chocolate base água", 16, "Vegano", 19, "Alcoólicos", 22, "Zero", 25, "Gelatos Proteicos", 28, 7), 7)) + (ROUND(O336,4) &gt; INDEX('Tabela de ingredientes'!$O$1:$V$30, SWITCH(B336, "Gelatos de Leite", 8, "Sorbets", 11, "Gelatos de Leite com Fruta", 14, "Chocolate base água", 17, "Vegano", 20, "Alcoólicos", 23, "Zero", 26, "Gelatos Proteicos", 29, 8), 7)) + (ROUND(P336,4) &lt; INDEX('Tabela de ingredientes'!$O$1:$V$30, SWITCH(B336, "Gelatos de Leite", 7, "Sorbets", 10, "Gelatos de Leite com Fruta", 13, "Chocolate base água", 16, "Vegano", 19, "Alcoólicos", 22, "Zero", 25, "Gelatos Proteicos", 28, 7), 8)) + (ROUND(P336,4) &gt; INDEX('Tabela de ingredientes'!$O$1:$V$30, SWITCH(B336, "Gelatos de Leite", 8, "Sorbets", 11, "Gelatos de Leite com Fruta", 14, "Chocolate base água", 17, "Vegano", 20, "Alcoólicos", 23, "Zero", 26, "Gelatos Proteicos", 29, 8), 8)) + IF(B336="Gelatos Proteicos", (ROUND(Q336,4)&lt;'Tabela de ingredientes'!$W$28)+(ROUND(Q336,4)&gt;'Tabela de ingredientes'!$W$29), 0) = 0, "Ok", "Revisar"))</f>
        <v/>
      </c>
    </row>
    <row r="337">
      <c r="A337" s="264"/>
      <c r="B337" s="264" t="s">
        <v>187</v>
      </c>
      <c r="C337" s="264" t="s">
        <v>187</v>
      </c>
      <c r="D337" s="264" t="s">
        <v>187</v>
      </c>
      <c r="E337" s="264" t="s">
        <v>187</v>
      </c>
      <c r="F337" s="264" t="s">
        <v>187</v>
      </c>
      <c r="G337" s="264" t="s">
        <v>187</v>
      </c>
      <c r="H337" s="264" t="s">
        <v>187</v>
      </c>
      <c r="I337" s="264" t="s">
        <v>187</v>
      </c>
      <c r="J337" s="264" t="s">
        <v>187</v>
      </c>
      <c r="K337" s="264" t="s">
        <v>187</v>
      </c>
      <c r="L337" s="264" t="s">
        <v>187</v>
      </c>
      <c r="M337" s="264" t="s">
        <v>187</v>
      </c>
      <c r="N337" s="264" t="s">
        <v>187</v>
      </c>
      <c r="O337" s="264" t="s">
        <v>187</v>
      </c>
      <c r="P337" s="264" t="s">
        <v>187</v>
      </c>
      <c r="Q337" s="264" t="s">
        <v>187</v>
      </c>
      <c r="R337" s="264" t="s">
        <v>187</v>
      </c>
      <c r="S337" s="97" t="str">
        <f t="array" ref="S337">IF(A337="","", IF( (ROUND(I337,4) &lt; INDEX('Tabela de ingredientes'!$O$1:$V$30, SWITCH(B337, "Gelatos de Leite", 7, "Sorbets", 10, "Gelatos de Leite com Fruta", 13, "Chocolate base água", 16, "Vegano", 19, "Alcoólicos", 22, "Zero", 25, "Gelatos Proteicos", 28, 7), 1)) + (ROUND(I337,4) &gt; INDEX('Tabela de ingredientes'!$O$1:$V$30, SWITCH(B337, "Gelatos de Leite", 8, "Sorbets", 11, "Gelatos de Leite com Fruta", 14, "Chocolate base água", 17, "Vegano", 20, "Alcoólicos", 23, "Zero", 26, "Gelatos Proteicos", 29, 8), 1)) + (ROUND(J337,4) &lt; INDEX('Tabela de ingredientes'!$O$1:$V$30, SWITCH(B337, "Gelatos de Leite", 7, "Sorbets", 10, "Gelatos de Leite com Fruta", 13, "Chocolate base água", 16, "Vegano", 19, "Alcoólicos", 22, "Zero", 25, "Gelatos Proteicos", 28, 7), 2)) + (ROUND(J337,4) &gt; INDEX('Tabela de ingredientes'!$O$1:$V$30, SWITCH(B337, "Gelatos de Leite", 8, "Sorbets", 11, "Gelatos de Leite com Fruta", 14, "Chocolate base água", 17, "Vegano", 20, "Alcoólicos", 23, "Zero", 26, "Gelatos Proteicos", 29, 8), 2)) + (ROUND(K337,4) &lt; INDEX('Tabela de ingredientes'!$O$1:$V$30, SWITCH(B337, "Gelatos de Leite", 7, "Sorbets", 10, "Gelatos de Leite com Fruta", 13, "Chocolate base água", 16, "Vegano", 19, "Alcoólicos", 22, "Zero", 25, "Gelatos Proteicos", 28, 7), 3)) + (ROUND(K337,4) &gt; INDEX('Tabela de ingredientes'!$O$1:$V$30, SWITCH(B337, "Gelatos de Leite", 8, "Sorbets", 11, "Gelatos de Leite com Fruta", 14, "Chocolate base água", 17, "Vegano", 20, "Alcoólicos", 23, "Zero", 26, "Gelatos Proteicos", 29, 8), 3)) + (ROUND(L337,4) &lt; INDEX('Tabela de ingredientes'!$O$1:$V$30, SWITCH(B337, "Gelatos de Leite", 7, "Sorbets", 10, "Gelatos de Leite com Fruta", 13, "Chocolate base água", 16, "Vegano", 19, "Alcoólicos", 22, "Zero", 25, "Gelatos Proteicos", 28, 7), 4)) + (ROUND(L337,4) &gt; INDEX('Tabela de ingredientes'!$O$1:$V$30, SWITCH(B337, "Gelatos de Leite", 8, "Sorbets", 11, "Gelatos de Leite com Fruta", 14, "Chocolate base água", 17, "Vegano", 20, "Alcoólicos", 23, "Zero", 26, "Gelatos Proteicos", 29, 8), 4)) + (ROUND(M337,4) &lt; INDEX('Tabela de ingredientes'!$O$1:$V$30, SWITCH(B337, "Gelatos de Leite", 7, "Sorbets", 10, "Gelatos de Leite com Fruta", 13, "Chocolate base água", 16, "Vegano", 19, "Alcoólicos", 22, "Zero", 25, "Gelatos Proteicos", 28, 7), 5)) + (ROUND(M337,4) &gt; INDEX('Tabela de ingredientes'!$O$1:$V$30, SWITCH(B337, "Gelatos de Leite", 8, "Sorbets", 11, "Gelatos de Leite com Fruta", 14, "Chocolate base água", 17, "Vegano", 20, "Alcoólicos", 23, "Zero", 26, "Gelatos Proteicos", 29, 8), 5)) + (ROUND(N337,4) &lt; INDEX('Tabela de ingredientes'!$O$1:$V$30, SWITCH(B337, "Gelatos de Leite", 7, "Sorbets", 10, "Gelatos de Leite com Fruta", 13, "Chocolate base água", 16, "Vegano", 19, "Alcoólicos", 22, "Zero", 25, "Gelatos Proteicos", 28, 7), 6)) + (ROUND(N337,4) &gt; INDEX('Tabela de ingredientes'!$O$1:$V$30, SWITCH(B337, "Gelatos de Leite", 8, "Sorbets", 11, "Gelatos de Leite com Fruta", 14, "Chocolate base água", 17, "Vegano", 20, "Alcoólicos", 23, "Zero", 26, "Gelatos Proteicos", 29, 8), 6)) + (ROUND(O337,4) &lt; INDEX('Tabela de ingredientes'!$O$1:$V$30, SWITCH(B337, "Gelatos de Leite", 7, "Sorbets", 10, "Gelatos de Leite com Fruta", 13, "Chocolate base água", 16, "Vegano", 19, "Alcoólicos", 22, "Zero", 25, "Gelatos Proteicos", 28, 7), 7)) + (ROUND(O337,4) &gt; INDEX('Tabela de ingredientes'!$O$1:$V$30, SWITCH(B337, "Gelatos de Leite", 8, "Sorbets", 11, "Gelatos de Leite com Fruta", 14, "Chocolate base água", 17, "Vegano", 20, "Alcoólicos", 23, "Zero", 26, "Gelatos Proteicos", 29, 8), 7)) + (ROUND(P337,4) &lt; INDEX('Tabela de ingredientes'!$O$1:$V$30, SWITCH(B337, "Gelatos de Leite", 7, "Sorbets", 10, "Gelatos de Leite com Fruta", 13, "Chocolate base água", 16, "Vegano", 19, "Alcoólicos", 22, "Zero", 25, "Gelatos Proteicos", 28, 7), 8)) + (ROUND(P337,4) &gt; INDEX('Tabela de ingredientes'!$O$1:$V$30, SWITCH(B337, "Gelatos de Leite", 8, "Sorbets", 11, "Gelatos de Leite com Fruta", 14, "Chocolate base água", 17, "Vegano", 20, "Alcoólicos", 23, "Zero", 26, "Gelatos Proteicos", 29, 8), 8)) + IF(B337="Gelatos Proteicos", (ROUND(Q337,4)&lt;'Tabela de ingredientes'!$W$28)+(ROUND(Q337,4)&gt;'Tabela de ingredientes'!$W$29), 0) = 0, "Ok", "Revisar"))</f>
        <v/>
      </c>
    </row>
    <row r="338">
      <c r="A338" s="264"/>
      <c r="B338" s="264" t="s">
        <v>187</v>
      </c>
      <c r="C338" s="264" t="s">
        <v>187</v>
      </c>
      <c r="D338" s="264" t="s">
        <v>187</v>
      </c>
      <c r="E338" s="264" t="s">
        <v>187</v>
      </c>
      <c r="F338" s="264" t="s">
        <v>187</v>
      </c>
      <c r="G338" s="264" t="s">
        <v>187</v>
      </c>
      <c r="H338" s="264" t="s">
        <v>187</v>
      </c>
      <c r="I338" s="264" t="s">
        <v>187</v>
      </c>
      <c r="J338" s="264" t="s">
        <v>187</v>
      </c>
      <c r="K338" s="264" t="s">
        <v>187</v>
      </c>
      <c r="L338" s="264" t="s">
        <v>187</v>
      </c>
      <c r="M338" s="264" t="s">
        <v>187</v>
      </c>
      <c r="N338" s="264" t="s">
        <v>187</v>
      </c>
      <c r="O338" s="264" t="s">
        <v>187</v>
      </c>
      <c r="P338" s="264" t="s">
        <v>187</v>
      </c>
      <c r="Q338" s="264" t="s">
        <v>187</v>
      </c>
      <c r="R338" s="264" t="s">
        <v>187</v>
      </c>
      <c r="S338" s="97" t="str">
        <f t="array" ref="S338">IF(A338="","", IF( (ROUND(I338,4) &lt; INDEX('Tabela de ingredientes'!$O$1:$V$30, SWITCH(B338, "Gelatos de Leite", 7, "Sorbets", 10, "Gelatos de Leite com Fruta", 13, "Chocolate base água", 16, "Vegano", 19, "Alcoólicos", 22, "Zero", 25, "Gelatos Proteicos", 28, 7), 1)) + (ROUND(I338,4) &gt; INDEX('Tabela de ingredientes'!$O$1:$V$30, SWITCH(B338, "Gelatos de Leite", 8, "Sorbets", 11, "Gelatos de Leite com Fruta", 14, "Chocolate base água", 17, "Vegano", 20, "Alcoólicos", 23, "Zero", 26, "Gelatos Proteicos", 29, 8), 1)) + (ROUND(J338,4) &lt; INDEX('Tabela de ingredientes'!$O$1:$V$30, SWITCH(B338, "Gelatos de Leite", 7, "Sorbets", 10, "Gelatos de Leite com Fruta", 13, "Chocolate base água", 16, "Vegano", 19, "Alcoólicos", 22, "Zero", 25, "Gelatos Proteicos", 28, 7), 2)) + (ROUND(J338,4) &gt; INDEX('Tabela de ingredientes'!$O$1:$V$30, SWITCH(B338, "Gelatos de Leite", 8, "Sorbets", 11, "Gelatos de Leite com Fruta", 14, "Chocolate base água", 17, "Vegano", 20, "Alcoólicos", 23, "Zero", 26, "Gelatos Proteicos", 29, 8), 2)) + (ROUND(K338,4) &lt; INDEX('Tabela de ingredientes'!$O$1:$V$30, SWITCH(B338, "Gelatos de Leite", 7, "Sorbets", 10, "Gelatos de Leite com Fruta", 13, "Chocolate base água", 16, "Vegano", 19, "Alcoólicos", 22, "Zero", 25, "Gelatos Proteicos", 28, 7), 3)) + (ROUND(K338,4) &gt; INDEX('Tabela de ingredientes'!$O$1:$V$30, SWITCH(B338, "Gelatos de Leite", 8, "Sorbets", 11, "Gelatos de Leite com Fruta", 14, "Chocolate base água", 17, "Vegano", 20, "Alcoólicos", 23, "Zero", 26, "Gelatos Proteicos", 29, 8), 3)) + (ROUND(L338,4) &lt; INDEX('Tabela de ingredientes'!$O$1:$V$30, SWITCH(B338, "Gelatos de Leite", 7, "Sorbets", 10, "Gelatos de Leite com Fruta", 13, "Chocolate base água", 16, "Vegano", 19, "Alcoólicos", 22, "Zero", 25, "Gelatos Proteicos", 28, 7), 4)) + (ROUND(L338,4) &gt; INDEX('Tabela de ingredientes'!$O$1:$V$30, SWITCH(B338, "Gelatos de Leite", 8, "Sorbets", 11, "Gelatos de Leite com Fruta", 14, "Chocolate base água", 17, "Vegano", 20, "Alcoólicos", 23, "Zero", 26, "Gelatos Proteicos", 29, 8), 4)) + (ROUND(M338,4) &lt; INDEX('Tabela de ingredientes'!$O$1:$V$30, SWITCH(B338, "Gelatos de Leite", 7, "Sorbets", 10, "Gelatos de Leite com Fruta", 13, "Chocolate base água", 16, "Vegano", 19, "Alcoólicos", 22, "Zero", 25, "Gelatos Proteicos", 28, 7), 5)) + (ROUND(M338,4) &gt; INDEX('Tabela de ingredientes'!$O$1:$V$30, SWITCH(B338, "Gelatos de Leite", 8, "Sorbets", 11, "Gelatos de Leite com Fruta", 14, "Chocolate base água", 17, "Vegano", 20, "Alcoólicos", 23, "Zero", 26, "Gelatos Proteicos", 29, 8), 5)) + (ROUND(N338,4) &lt; INDEX('Tabela de ingredientes'!$O$1:$V$30, SWITCH(B338, "Gelatos de Leite", 7, "Sorbets", 10, "Gelatos de Leite com Fruta", 13, "Chocolate base água", 16, "Vegano", 19, "Alcoólicos", 22, "Zero", 25, "Gelatos Proteicos", 28, 7), 6)) + (ROUND(N338,4) &gt; INDEX('Tabela de ingredientes'!$O$1:$V$30, SWITCH(B338, "Gelatos de Leite", 8, "Sorbets", 11, "Gelatos de Leite com Fruta", 14, "Chocolate base água", 17, "Vegano", 20, "Alcoólicos", 23, "Zero", 26, "Gelatos Proteicos", 29, 8), 6)) + (ROUND(O338,4) &lt; INDEX('Tabela de ingredientes'!$O$1:$V$30, SWITCH(B338, "Gelatos de Leite", 7, "Sorbets", 10, "Gelatos de Leite com Fruta", 13, "Chocolate base água", 16, "Vegano", 19, "Alcoólicos", 22, "Zero", 25, "Gelatos Proteicos", 28, 7), 7)) + (ROUND(O338,4) &gt; INDEX('Tabela de ingredientes'!$O$1:$V$30, SWITCH(B338, "Gelatos de Leite", 8, "Sorbets", 11, "Gelatos de Leite com Fruta", 14, "Chocolate base água", 17, "Vegano", 20, "Alcoólicos", 23, "Zero", 26, "Gelatos Proteicos", 29, 8), 7)) + (ROUND(P338,4) &lt; INDEX('Tabela de ingredientes'!$O$1:$V$30, SWITCH(B338, "Gelatos de Leite", 7, "Sorbets", 10, "Gelatos de Leite com Fruta", 13, "Chocolate base água", 16, "Vegano", 19, "Alcoólicos", 22, "Zero", 25, "Gelatos Proteicos", 28, 7), 8)) + (ROUND(P338,4) &gt; INDEX('Tabela de ingredientes'!$O$1:$V$30, SWITCH(B338, "Gelatos de Leite", 8, "Sorbets", 11, "Gelatos de Leite com Fruta", 14, "Chocolate base água", 17, "Vegano", 20, "Alcoólicos", 23, "Zero", 26, "Gelatos Proteicos", 29, 8), 8)) + IF(B338="Gelatos Proteicos", (ROUND(Q338,4)&lt;'Tabela de ingredientes'!$W$28)+(ROUND(Q338,4)&gt;'Tabela de ingredientes'!$W$29), 0) = 0, "Ok", "Revisar"))</f>
        <v/>
      </c>
    </row>
    <row r="339">
      <c r="A339" s="264"/>
      <c r="B339" s="264" t="s">
        <v>187</v>
      </c>
      <c r="C339" s="264" t="s">
        <v>187</v>
      </c>
      <c r="D339" s="264" t="s">
        <v>187</v>
      </c>
      <c r="E339" s="264" t="s">
        <v>187</v>
      </c>
      <c r="F339" s="264" t="s">
        <v>187</v>
      </c>
      <c r="G339" s="264" t="s">
        <v>187</v>
      </c>
      <c r="H339" s="264" t="s">
        <v>187</v>
      </c>
      <c r="I339" s="264" t="s">
        <v>187</v>
      </c>
      <c r="J339" s="264" t="s">
        <v>187</v>
      </c>
      <c r="K339" s="264" t="s">
        <v>187</v>
      </c>
      <c r="L339" s="264" t="s">
        <v>187</v>
      </c>
      <c r="M339" s="264" t="s">
        <v>187</v>
      </c>
      <c r="N339" s="264" t="s">
        <v>187</v>
      </c>
      <c r="O339" s="264" t="s">
        <v>187</v>
      </c>
      <c r="P339" s="264" t="s">
        <v>187</v>
      </c>
      <c r="Q339" s="264" t="s">
        <v>187</v>
      </c>
      <c r="R339" s="264" t="s">
        <v>187</v>
      </c>
      <c r="S339" s="97" t="str">
        <f t="array" ref="S339">IF(A339="","", IF( (ROUND(I339,4) &lt; INDEX('Tabela de ingredientes'!$O$1:$V$30, SWITCH(B339, "Gelatos de Leite", 7, "Sorbets", 10, "Gelatos de Leite com Fruta", 13, "Chocolate base água", 16, "Vegano", 19, "Alcoólicos", 22, "Zero", 25, "Gelatos Proteicos", 28, 7), 1)) + (ROUND(I339,4) &gt; INDEX('Tabela de ingredientes'!$O$1:$V$30, SWITCH(B339, "Gelatos de Leite", 8, "Sorbets", 11, "Gelatos de Leite com Fruta", 14, "Chocolate base água", 17, "Vegano", 20, "Alcoólicos", 23, "Zero", 26, "Gelatos Proteicos", 29, 8), 1)) + (ROUND(J339,4) &lt; INDEX('Tabela de ingredientes'!$O$1:$V$30, SWITCH(B339, "Gelatos de Leite", 7, "Sorbets", 10, "Gelatos de Leite com Fruta", 13, "Chocolate base água", 16, "Vegano", 19, "Alcoólicos", 22, "Zero", 25, "Gelatos Proteicos", 28, 7), 2)) + (ROUND(J339,4) &gt; INDEX('Tabela de ingredientes'!$O$1:$V$30, SWITCH(B339, "Gelatos de Leite", 8, "Sorbets", 11, "Gelatos de Leite com Fruta", 14, "Chocolate base água", 17, "Vegano", 20, "Alcoólicos", 23, "Zero", 26, "Gelatos Proteicos", 29, 8), 2)) + (ROUND(K339,4) &lt; INDEX('Tabela de ingredientes'!$O$1:$V$30, SWITCH(B339, "Gelatos de Leite", 7, "Sorbets", 10, "Gelatos de Leite com Fruta", 13, "Chocolate base água", 16, "Vegano", 19, "Alcoólicos", 22, "Zero", 25, "Gelatos Proteicos", 28, 7), 3)) + (ROUND(K339,4) &gt; INDEX('Tabela de ingredientes'!$O$1:$V$30, SWITCH(B339, "Gelatos de Leite", 8, "Sorbets", 11, "Gelatos de Leite com Fruta", 14, "Chocolate base água", 17, "Vegano", 20, "Alcoólicos", 23, "Zero", 26, "Gelatos Proteicos", 29, 8), 3)) + (ROUND(L339,4) &lt; INDEX('Tabela de ingredientes'!$O$1:$V$30, SWITCH(B339, "Gelatos de Leite", 7, "Sorbets", 10, "Gelatos de Leite com Fruta", 13, "Chocolate base água", 16, "Vegano", 19, "Alcoólicos", 22, "Zero", 25, "Gelatos Proteicos", 28, 7), 4)) + (ROUND(L339,4) &gt; INDEX('Tabela de ingredientes'!$O$1:$V$30, SWITCH(B339, "Gelatos de Leite", 8, "Sorbets", 11, "Gelatos de Leite com Fruta", 14, "Chocolate base água", 17, "Vegano", 20, "Alcoólicos", 23, "Zero", 26, "Gelatos Proteicos", 29, 8), 4)) + (ROUND(M339,4) &lt; INDEX('Tabela de ingredientes'!$O$1:$V$30, SWITCH(B339, "Gelatos de Leite", 7, "Sorbets", 10, "Gelatos de Leite com Fruta", 13, "Chocolate base água", 16, "Vegano", 19, "Alcoólicos", 22, "Zero", 25, "Gelatos Proteicos", 28, 7), 5)) + (ROUND(M339,4) &gt; INDEX('Tabela de ingredientes'!$O$1:$V$30, SWITCH(B339, "Gelatos de Leite", 8, "Sorbets", 11, "Gelatos de Leite com Fruta", 14, "Chocolate base água", 17, "Vegano", 20, "Alcoólicos", 23, "Zero", 26, "Gelatos Proteicos", 29, 8), 5)) + (ROUND(N339,4) &lt; INDEX('Tabela de ingredientes'!$O$1:$V$30, SWITCH(B339, "Gelatos de Leite", 7, "Sorbets", 10, "Gelatos de Leite com Fruta", 13, "Chocolate base água", 16, "Vegano", 19, "Alcoólicos", 22, "Zero", 25, "Gelatos Proteicos", 28, 7), 6)) + (ROUND(N339,4) &gt; INDEX('Tabela de ingredientes'!$O$1:$V$30, SWITCH(B339, "Gelatos de Leite", 8, "Sorbets", 11, "Gelatos de Leite com Fruta", 14, "Chocolate base água", 17, "Vegano", 20, "Alcoólicos", 23, "Zero", 26, "Gelatos Proteicos", 29, 8), 6)) + (ROUND(O339,4) &lt; INDEX('Tabela de ingredientes'!$O$1:$V$30, SWITCH(B339, "Gelatos de Leite", 7, "Sorbets", 10, "Gelatos de Leite com Fruta", 13, "Chocolate base água", 16, "Vegano", 19, "Alcoólicos", 22, "Zero", 25, "Gelatos Proteicos", 28, 7), 7)) + (ROUND(O339,4) &gt; INDEX('Tabela de ingredientes'!$O$1:$V$30, SWITCH(B339, "Gelatos de Leite", 8, "Sorbets", 11, "Gelatos de Leite com Fruta", 14, "Chocolate base água", 17, "Vegano", 20, "Alcoólicos", 23, "Zero", 26, "Gelatos Proteicos", 29, 8), 7)) + (ROUND(P339,4) &lt; INDEX('Tabela de ingredientes'!$O$1:$V$30, SWITCH(B339, "Gelatos de Leite", 7, "Sorbets", 10, "Gelatos de Leite com Fruta", 13, "Chocolate base água", 16, "Vegano", 19, "Alcoólicos", 22, "Zero", 25, "Gelatos Proteicos", 28, 7), 8)) + (ROUND(P339,4) &gt; INDEX('Tabela de ingredientes'!$O$1:$V$30, SWITCH(B339, "Gelatos de Leite", 8, "Sorbets", 11, "Gelatos de Leite com Fruta", 14, "Chocolate base água", 17, "Vegano", 20, "Alcoólicos", 23, "Zero", 26, "Gelatos Proteicos", 29, 8), 8)) + IF(B339="Gelatos Proteicos", (ROUND(Q339,4)&lt;'Tabela de ingredientes'!$W$28)+(ROUND(Q339,4)&gt;'Tabela de ingredientes'!$W$29), 0) = 0, "Ok", "Revisar"))</f>
        <v/>
      </c>
    </row>
    <row r="340">
      <c r="A340" s="264"/>
      <c r="B340" s="264" t="s">
        <v>187</v>
      </c>
      <c r="C340" s="264" t="s">
        <v>187</v>
      </c>
      <c r="D340" s="264" t="s">
        <v>187</v>
      </c>
      <c r="E340" s="264" t="s">
        <v>187</v>
      </c>
      <c r="F340" s="264" t="s">
        <v>187</v>
      </c>
      <c r="G340" s="264" t="s">
        <v>187</v>
      </c>
      <c r="H340" s="264" t="s">
        <v>187</v>
      </c>
      <c r="I340" s="264" t="s">
        <v>187</v>
      </c>
      <c r="J340" s="264" t="s">
        <v>187</v>
      </c>
      <c r="K340" s="264" t="s">
        <v>187</v>
      </c>
      <c r="L340" s="264" t="s">
        <v>187</v>
      </c>
      <c r="M340" s="264" t="s">
        <v>187</v>
      </c>
      <c r="N340" s="264" t="s">
        <v>187</v>
      </c>
      <c r="O340" s="264" t="s">
        <v>187</v>
      </c>
      <c r="P340" s="264" t="s">
        <v>187</v>
      </c>
      <c r="Q340" s="264" t="s">
        <v>187</v>
      </c>
      <c r="R340" s="264" t="s">
        <v>187</v>
      </c>
      <c r="S340" s="97" t="str">
        <f t="array" ref="S340">IF(A340="","", IF( (ROUND(I340,4) &lt; INDEX('Tabela de ingredientes'!$O$1:$V$30, SWITCH(B340, "Gelatos de Leite", 7, "Sorbets", 10, "Gelatos de Leite com Fruta", 13, "Chocolate base água", 16, "Vegano", 19, "Alcoólicos", 22, "Zero", 25, "Gelatos Proteicos", 28, 7), 1)) + (ROUND(I340,4) &gt; INDEX('Tabela de ingredientes'!$O$1:$V$30, SWITCH(B340, "Gelatos de Leite", 8, "Sorbets", 11, "Gelatos de Leite com Fruta", 14, "Chocolate base água", 17, "Vegano", 20, "Alcoólicos", 23, "Zero", 26, "Gelatos Proteicos", 29, 8), 1)) + (ROUND(J340,4) &lt; INDEX('Tabela de ingredientes'!$O$1:$V$30, SWITCH(B340, "Gelatos de Leite", 7, "Sorbets", 10, "Gelatos de Leite com Fruta", 13, "Chocolate base água", 16, "Vegano", 19, "Alcoólicos", 22, "Zero", 25, "Gelatos Proteicos", 28, 7), 2)) + (ROUND(J340,4) &gt; INDEX('Tabela de ingredientes'!$O$1:$V$30, SWITCH(B340, "Gelatos de Leite", 8, "Sorbets", 11, "Gelatos de Leite com Fruta", 14, "Chocolate base água", 17, "Vegano", 20, "Alcoólicos", 23, "Zero", 26, "Gelatos Proteicos", 29, 8), 2)) + (ROUND(K340,4) &lt; INDEX('Tabela de ingredientes'!$O$1:$V$30, SWITCH(B340, "Gelatos de Leite", 7, "Sorbets", 10, "Gelatos de Leite com Fruta", 13, "Chocolate base água", 16, "Vegano", 19, "Alcoólicos", 22, "Zero", 25, "Gelatos Proteicos", 28, 7), 3)) + (ROUND(K340,4) &gt; INDEX('Tabela de ingredientes'!$O$1:$V$30, SWITCH(B340, "Gelatos de Leite", 8, "Sorbets", 11, "Gelatos de Leite com Fruta", 14, "Chocolate base água", 17, "Vegano", 20, "Alcoólicos", 23, "Zero", 26, "Gelatos Proteicos", 29, 8), 3)) + (ROUND(L340,4) &lt; INDEX('Tabela de ingredientes'!$O$1:$V$30, SWITCH(B340, "Gelatos de Leite", 7, "Sorbets", 10, "Gelatos de Leite com Fruta", 13, "Chocolate base água", 16, "Vegano", 19, "Alcoólicos", 22, "Zero", 25, "Gelatos Proteicos", 28, 7), 4)) + (ROUND(L340,4) &gt; INDEX('Tabela de ingredientes'!$O$1:$V$30, SWITCH(B340, "Gelatos de Leite", 8, "Sorbets", 11, "Gelatos de Leite com Fruta", 14, "Chocolate base água", 17, "Vegano", 20, "Alcoólicos", 23, "Zero", 26, "Gelatos Proteicos", 29, 8), 4)) + (ROUND(M340,4) &lt; INDEX('Tabela de ingredientes'!$O$1:$V$30, SWITCH(B340, "Gelatos de Leite", 7, "Sorbets", 10, "Gelatos de Leite com Fruta", 13, "Chocolate base água", 16, "Vegano", 19, "Alcoólicos", 22, "Zero", 25, "Gelatos Proteicos", 28, 7), 5)) + (ROUND(M340,4) &gt; INDEX('Tabela de ingredientes'!$O$1:$V$30, SWITCH(B340, "Gelatos de Leite", 8, "Sorbets", 11, "Gelatos de Leite com Fruta", 14, "Chocolate base água", 17, "Vegano", 20, "Alcoólicos", 23, "Zero", 26, "Gelatos Proteicos", 29, 8), 5)) + (ROUND(N340,4) &lt; INDEX('Tabela de ingredientes'!$O$1:$V$30, SWITCH(B340, "Gelatos de Leite", 7, "Sorbets", 10, "Gelatos de Leite com Fruta", 13, "Chocolate base água", 16, "Vegano", 19, "Alcoólicos", 22, "Zero", 25, "Gelatos Proteicos", 28, 7), 6)) + (ROUND(N340,4) &gt; INDEX('Tabela de ingredientes'!$O$1:$V$30, SWITCH(B340, "Gelatos de Leite", 8, "Sorbets", 11, "Gelatos de Leite com Fruta", 14, "Chocolate base água", 17, "Vegano", 20, "Alcoólicos", 23, "Zero", 26, "Gelatos Proteicos", 29, 8), 6)) + (ROUND(O340,4) &lt; INDEX('Tabela de ingredientes'!$O$1:$V$30, SWITCH(B340, "Gelatos de Leite", 7, "Sorbets", 10, "Gelatos de Leite com Fruta", 13, "Chocolate base água", 16, "Vegano", 19, "Alcoólicos", 22, "Zero", 25, "Gelatos Proteicos", 28, 7), 7)) + (ROUND(O340,4) &gt; INDEX('Tabela de ingredientes'!$O$1:$V$30, SWITCH(B340, "Gelatos de Leite", 8, "Sorbets", 11, "Gelatos de Leite com Fruta", 14, "Chocolate base água", 17, "Vegano", 20, "Alcoólicos", 23, "Zero", 26, "Gelatos Proteicos", 29, 8), 7)) + (ROUND(P340,4) &lt; INDEX('Tabela de ingredientes'!$O$1:$V$30, SWITCH(B340, "Gelatos de Leite", 7, "Sorbets", 10, "Gelatos de Leite com Fruta", 13, "Chocolate base água", 16, "Vegano", 19, "Alcoólicos", 22, "Zero", 25, "Gelatos Proteicos", 28, 7), 8)) + (ROUND(P340,4) &gt; INDEX('Tabela de ingredientes'!$O$1:$V$30, SWITCH(B340, "Gelatos de Leite", 8, "Sorbets", 11, "Gelatos de Leite com Fruta", 14, "Chocolate base água", 17, "Vegano", 20, "Alcoólicos", 23, "Zero", 26, "Gelatos Proteicos", 29, 8), 8)) + IF(B340="Gelatos Proteicos", (ROUND(Q340,4)&lt;'Tabela de ingredientes'!$W$28)+(ROUND(Q340,4)&gt;'Tabela de ingredientes'!$W$29), 0) = 0, "Ok", "Revisar"))</f>
        <v/>
      </c>
    </row>
    <row r="341">
      <c r="A341" s="264"/>
      <c r="B341" s="264" t="s">
        <v>187</v>
      </c>
      <c r="C341" s="264" t="s">
        <v>187</v>
      </c>
      <c r="D341" s="264" t="s">
        <v>187</v>
      </c>
      <c r="E341" s="264" t="s">
        <v>187</v>
      </c>
      <c r="F341" s="264" t="s">
        <v>187</v>
      </c>
      <c r="G341" s="264" t="s">
        <v>187</v>
      </c>
      <c r="H341" s="264" t="s">
        <v>187</v>
      </c>
      <c r="I341" s="264" t="s">
        <v>187</v>
      </c>
      <c r="J341" s="264" t="s">
        <v>187</v>
      </c>
      <c r="K341" s="264" t="s">
        <v>187</v>
      </c>
      <c r="L341" s="264" t="s">
        <v>187</v>
      </c>
      <c r="M341" s="264" t="s">
        <v>187</v>
      </c>
      <c r="N341" s="264" t="s">
        <v>187</v>
      </c>
      <c r="O341" s="264" t="s">
        <v>187</v>
      </c>
      <c r="P341" s="264" t="s">
        <v>187</v>
      </c>
      <c r="Q341" s="264" t="s">
        <v>187</v>
      </c>
      <c r="R341" s="264" t="s">
        <v>187</v>
      </c>
      <c r="S341" s="97" t="str">
        <f t="array" ref="S341">IF(A341="","", IF( (ROUND(I341,4) &lt; INDEX('Tabela de ingredientes'!$O$1:$V$30, SWITCH(B341, "Gelatos de Leite", 7, "Sorbets", 10, "Gelatos de Leite com Fruta", 13, "Chocolate base água", 16, "Vegano", 19, "Alcoólicos", 22, "Zero", 25, "Gelatos Proteicos", 28, 7), 1)) + (ROUND(I341,4) &gt; INDEX('Tabela de ingredientes'!$O$1:$V$30, SWITCH(B341, "Gelatos de Leite", 8, "Sorbets", 11, "Gelatos de Leite com Fruta", 14, "Chocolate base água", 17, "Vegano", 20, "Alcoólicos", 23, "Zero", 26, "Gelatos Proteicos", 29, 8), 1)) + (ROUND(J341,4) &lt; INDEX('Tabela de ingredientes'!$O$1:$V$30, SWITCH(B341, "Gelatos de Leite", 7, "Sorbets", 10, "Gelatos de Leite com Fruta", 13, "Chocolate base água", 16, "Vegano", 19, "Alcoólicos", 22, "Zero", 25, "Gelatos Proteicos", 28, 7), 2)) + (ROUND(J341,4) &gt; INDEX('Tabela de ingredientes'!$O$1:$V$30, SWITCH(B341, "Gelatos de Leite", 8, "Sorbets", 11, "Gelatos de Leite com Fruta", 14, "Chocolate base água", 17, "Vegano", 20, "Alcoólicos", 23, "Zero", 26, "Gelatos Proteicos", 29, 8), 2)) + (ROUND(K341,4) &lt; INDEX('Tabela de ingredientes'!$O$1:$V$30, SWITCH(B341, "Gelatos de Leite", 7, "Sorbets", 10, "Gelatos de Leite com Fruta", 13, "Chocolate base água", 16, "Vegano", 19, "Alcoólicos", 22, "Zero", 25, "Gelatos Proteicos", 28, 7), 3)) + (ROUND(K341,4) &gt; INDEX('Tabela de ingredientes'!$O$1:$V$30, SWITCH(B341, "Gelatos de Leite", 8, "Sorbets", 11, "Gelatos de Leite com Fruta", 14, "Chocolate base água", 17, "Vegano", 20, "Alcoólicos", 23, "Zero", 26, "Gelatos Proteicos", 29, 8), 3)) + (ROUND(L341,4) &lt; INDEX('Tabela de ingredientes'!$O$1:$V$30, SWITCH(B341, "Gelatos de Leite", 7, "Sorbets", 10, "Gelatos de Leite com Fruta", 13, "Chocolate base água", 16, "Vegano", 19, "Alcoólicos", 22, "Zero", 25, "Gelatos Proteicos", 28, 7), 4)) + (ROUND(L341,4) &gt; INDEX('Tabela de ingredientes'!$O$1:$V$30, SWITCH(B341, "Gelatos de Leite", 8, "Sorbets", 11, "Gelatos de Leite com Fruta", 14, "Chocolate base água", 17, "Vegano", 20, "Alcoólicos", 23, "Zero", 26, "Gelatos Proteicos", 29, 8), 4)) + (ROUND(M341,4) &lt; INDEX('Tabela de ingredientes'!$O$1:$V$30, SWITCH(B341, "Gelatos de Leite", 7, "Sorbets", 10, "Gelatos de Leite com Fruta", 13, "Chocolate base água", 16, "Vegano", 19, "Alcoólicos", 22, "Zero", 25, "Gelatos Proteicos", 28, 7), 5)) + (ROUND(M341,4) &gt; INDEX('Tabela de ingredientes'!$O$1:$V$30, SWITCH(B341, "Gelatos de Leite", 8, "Sorbets", 11, "Gelatos de Leite com Fruta", 14, "Chocolate base água", 17, "Vegano", 20, "Alcoólicos", 23, "Zero", 26, "Gelatos Proteicos", 29, 8), 5)) + (ROUND(N341,4) &lt; INDEX('Tabela de ingredientes'!$O$1:$V$30, SWITCH(B341, "Gelatos de Leite", 7, "Sorbets", 10, "Gelatos de Leite com Fruta", 13, "Chocolate base água", 16, "Vegano", 19, "Alcoólicos", 22, "Zero", 25, "Gelatos Proteicos", 28, 7), 6)) + (ROUND(N341,4) &gt; INDEX('Tabela de ingredientes'!$O$1:$V$30, SWITCH(B341, "Gelatos de Leite", 8, "Sorbets", 11, "Gelatos de Leite com Fruta", 14, "Chocolate base água", 17, "Vegano", 20, "Alcoólicos", 23, "Zero", 26, "Gelatos Proteicos", 29, 8), 6)) + (ROUND(O341,4) &lt; INDEX('Tabela de ingredientes'!$O$1:$V$30, SWITCH(B341, "Gelatos de Leite", 7, "Sorbets", 10, "Gelatos de Leite com Fruta", 13, "Chocolate base água", 16, "Vegano", 19, "Alcoólicos", 22, "Zero", 25, "Gelatos Proteicos", 28, 7), 7)) + (ROUND(O341,4) &gt; INDEX('Tabela de ingredientes'!$O$1:$V$30, SWITCH(B341, "Gelatos de Leite", 8, "Sorbets", 11, "Gelatos de Leite com Fruta", 14, "Chocolate base água", 17, "Vegano", 20, "Alcoólicos", 23, "Zero", 26, "Gelatos Proteicos", 29, 8), 7)) + (ROUND(P341,4) &lt; INDEX('Tabela de ingredientes'!$O$1:$V$30, SWITCH(B341, "Gelatos de Leite", 7, "Sorbets", 10, "Gelatos de Leite com Fruta", 13, "Chocolate base água", 16, "Vegano", 19, "Alcoólicos", 22, "Zero", 25, "Gelatos Proteicos", 28, 7), 8)) + (ROUND(P341,4) &gt; INDEX('Tabela de ingredientes'!$O$1:$V$30, SWITCH(B341, "Gelatos de Leite", 8, "Sorbets", 11, "Gelatos de Leite com Fruta", 14, "Chocolate base água", 17, "Vegano", 20, "Alcoólicos", 23, "Zero", 26, "Gelatos Proteicos", 29, 8), 8)) + IF(B341="Gelatos Proteicos", (ROUND(Q341,4)&lt;'Tabela de ingredientes'!$W$28)+(ROUND(Q341,4)&gt;'Tabela de ingredientes'!$W$29), 0) = 0, "Ok", "Revisar"))</f>
        <v/>
      </c>
    </row>
    <row r="342">
      <c r="A342" s="264"/>
      <c r="B342" s="264" t="s">
        <v>187</v>
      </c>
      <c r="C342" s="264" t="s">
        <v>187</v>
      </c>
      <c r="D342" s="264" t="s">
        <v>187</v>
      </c>
      <c r="E342" s="264" t="s">
        <v>187</v>
      </c>
      <c r="F342" s="264" t="s">
        <v>187</v>
      </c>
      <c r="G342" s="264" t="s">
        <v>187</v>
      </c>
      <c r="H342" s="264" t="s">
        <v>187</v>
      </c>
      <c r="I342" s="264" t="s">
        <v>187</v>
      </c>
      <c r="J342" s="264" t="s">
        <v>187</v>
      </c>
      <c r="K342" s="264" t="s">
        <v>187</v>
      </c>
      <c r="L342" s="264" t="s">
        <v>187</v>
      </c>
      <c r="M342" s="264" t="s">
        <v>187</v>
      </c>
      <c r="N342" s="264" t="s">
        <v>187</v>
      </c>
      <c r="O342" s="264" t="s">
        <v>187</v>
      </c>
      <c r="P342" s="264" t="s">
        <v>187</v>
      </c>
      <c r="Q342" s="264" t="s">
        <v>187</v>
      </c>
      <c r="R342" s="264" t="s">
        <v>187</v>
      </c>
      <c r="S342" s="97" t="str">
        <f t="array" ref="S342">IF(A342="","", IF( (ROUND(I342,4) &lt; INDEX('Tabela de ingredientes'!$O$1:$V$30, SWITCH(B342, "Gelatos de Leite", 7, "Sorbets", 10, "Gelatos de Leite com Fruta", 13, "Chocolate base água", 16, "Vegano", 19, "Alcoólicos", 22, "Zero", 25, "Gelatos Proteicos", 28, 7), 1)) + (ROUND(I342,4) &gt; INDEX('Tabela de ingredientes'!$O$1:$V$30, SWITCH(B342, "Gelatos de Leite", 8, "Sorbets", 11, "Gelatos de Leite com Fruta", 14, "Chocolate base água", 17, "Vegano", 20, "Alcoólicos", 23, "Zero", 26, "Gelatos Proteicos", 29, 8), 1)) + (ROUND(J342,4) &lt; INDEX('Tabela de ingredientes'!$O$1:$V$30, SWITCH(B342, "Gelatos de Leite", 7, "Sorbets", 10, "Gelatos de Leite com Fruta", 13, "Chocolate base água", 16, "Vegano", 19, "Alcoólicos", 22, "Zero", 25, "Gelatos Proteicos", 28, 7), 2)) + (ROUND(J342,4) &gt; INDEX('Tabela de ingredientes'!$O$1:$V$30, SWITCH(B342, "Gelatos de Leite", 8, "Sorbets", 11, "Gelatos de Leite com Fruta", 14, "Chocolate base água", 17, "Vegano", 20, "Alcoólicos", 23, "Zero", 26, "Gelatos Proteicos", 29, 8), 2)) + (ROUND(K342,4) &lt; INDEX('Tabela de ingredientes'!$O$1:$V$30, SWITCH(B342, "Gelatos de Leite", 7, "Sorbets", 10, "Gelatos de Leite com Fruta", 13, "Chocolate base água", 16, "Vegano", 19, "Alcoólicos", 22, "Zero", 25, "Gelatos Proteicos", 28, 7), 3)) + (ROUND(K342,4) &gt; INDEX('Tabela de ingredientes'!$O$1:$V$30, SWITCH(B342, "Gelatos de Leite", 8, "Sorbets", 11, "Gelatos de Leite com Fruta", 14, "Chocolate base água", 17, "Vegano", 20, "Alcoólicos", 23, "Zero", 26, "Gelatos Proteicos", 29, 8), 3)) + (ROUND(L342,4) &lt; INDEX('Tabela de ingredientes'!$O$1:$V$30, SWITCH(B342, "Gelatos de Leite", 7, "Sorbets", 10, "Gelatos de Leite com Fruta", 13, "Chocolate base água", 16, "Vegano", 19, "Alcoólicos", 22, "Zero", 25, "Gelatos Proteicos", 28, 7), 4)) + (ROUND(L342,4) &gt; INDEX('Tabela de ingredientes'!$O$1:$V$30, SWITCH(B342, "Gelatos de Leite", 8, "Sorbets", 11, "Gelatos de Leite com Fruta", 14, "Chocolate base água", 17, "Vegano", 20, "Alcoólicos", 23, "Zero", 26, "Gelatos Proteicos", 29, 8), 4)) + (ROUND(M342,4) &lt; INDEX('Tabela de ingredientes'!$O$1:$V$30, SWITCH(B342, "Gelatos de Leite", 7, "Sorbets", 10, "Gelatos de Leite com Fruta", 13, "Chocolate base água", 16, "Vegano", 19, "Alcoólicos", 22, "Zero", 25, "Gelatos Proteicos", 28, 7), 5)) + (ROUND(M342,4) &gt; INDEX('Tabela de ingredientes'!$O$1:$V$30, SWITCH(B342, "Gelatos de Leite", 8, "Sorbets", 11, "Gelatos de Leite com Fruta", 14, "Chocolate base água", 17, "Vegano", 20, "Alcoólicos", 23, "Zero", 26, "Gelatos Proteicos", 29, 8), 5)) + (ROUND(N342,4) &lt; INDEX('Tabela de ingredientes'!$O$1:$V$30, SWITCH(B342, "Gelatos de Leite", 7, "Sorbets", 10, "Gelatos de Leite com Fruta", 13, "Chocolate base água", 16, "Vegano", 19, "Alcoólicos", 22, "Zero", 25, "Gelatos Proteicos", 28, 7), 6)) + (ROUND(N342,4) &gt; INDEX('Tabela de ingredientes'!$O$1:$V$30, SWITCH(B342, "Gelatos de Leite", 8, "Sorbets", 11, "Gelatos de Leite com Fruta", 14, "Chocolate base água", 17, "Vegano", 20, "Alcoólicos", 23, "Zero", 26, "Gelatos Proteicos", 29, 8), 6)) + (ROUND(O342,4) &lt; INDEX('Tabela de ingredientes'!$O$1:$V$30, SWITCH(B342, "Gelatos de Leite", 7, "Sorbets", 10, "Gelatos de Leite com Fruta", 13, "Chocolate base água", 16, "Vegano", 19, "Alcoólicos", 22, "Zero", 25, "Gelatos Proteicos", 28, 7), 7)) + (ROUND(O342,4) &gt; INDEX('Tabela de ingredientes'!$O$1:$V$30, SWITCH(B342, "Gelatos de Leite", 8, "Sorbets", 11, "Gelatos de Leite com Fruta", 14, "Chocolate base água", 17, "Vegano", 20, "Alcoólicos", 23, "Zero", 26, "Gelatos Proteicos", 29, 8), 7)) + (ROUND(P342,4) &lt; INDEX('Tabela de ingredientes'!$O$1:$V$30, SWITCH(B342, "Gelatos de Leite", 7, "Sorbets", 10, "Gelatos de Leite com Fruta", 13, "Chocolate base água", 16, "Vegano", 19, "Alcoólicos", 22, "Zero", 25, "Gelatos Proteicos", 28, 7), 8)) + (ROUND(P342,4) &gt; INDEX('Tabela de ingredientes'!$O$1:$V$30, SWITCH(B342, "Gelatos de Leite", 8, "Sorbets", 11, "Gelatos de Leite com Fruta", 14, "Chocolate base água", 17, "Vegano", 20, "Alcoólicos", 23, "Zero", 26, "Gelatos Proteicos", 29, 8), 8)) + IF(B342="Gelatos Proteicos", (ROUND(Q342,4)&lt;'Tabela de ingredientes'!$W$28)+(ROUND(Q342,4)&gt;'Tabela de ingredientes'!$W$29), 0) = 0, "Ok", "Revisar"))</f>
        <v/>
      </c>
    </row>
    <row r="343">
      <c r="A343" s="264"/>
      <c r="B343" s="264" t="s">
        <v>187</v>
      </c>
      <c r="C343" s="264" t="s">
        <v>187</v>
      </c>
      <c r="D343" s="264" t="s">
        <v>187</v>
      </c>
      <c r="E343" s="264" t="s">
        <v>187</v>
      </c>
      <c r="F343" s="264" t="s">
        <v>187</v>
      </c>
      <c r="G343" s="264" t="s">
        <v>187</v>
      </c>
      <c r="H343" s="264" t="s">
        <v>187</v>
      </c>
      <c r="I343" s="264" t="s">
        <v>187</v>
      </c>
      <c r="J343" s="264" t="s">
        <v>187</v>
      </c>
      <c r="K343" s="264" t="s">
        <v>187</v>
      </c>
      <c r="L343" s="264" t="s">
        <v>187</v>
      </c>
      <c r="M343" s="264" t="s">
        <v>187</v>
      </c>
      <c r="N343" s="264" t="s">
        <v>187</v>
      </c>
      <c r="O343" s="264" t="s">
        <v>187</v>
      </c>
      <c r="P343" s="264" t="s">
        <v>187</v>
      </c>
      <c r="Q343" s="264" t="s">
        <v>187</v>
      </c>
      <c r="R343" s="264" t="s">
        <v>187</v>
      </c>
      <c r="S343" s="97" t="str">
        <f t="array" ref="S343">IF(A343="","", IF( (ROUND(I343,4) &lt; INDEX('Tabela de ingredientes'!$O$1:$V$30, SWITCH(B343, "Gelatos de Leite", 7, "Sorbets", 10, "Gelatos de Leite com Fruta", 13, "Chocolate base água", 16, "Vegano", 19, "Alcoólicos", 22, "Zero", 25, "Gelatos Proteicos", 28, 7), 1)) + (ROUND(I343,4) &gt; INDEX('Tabela de ingredientes'!$O$1:$V$30, SWITCH(B343, "Gelatos de Leite", 8, "Sorbets", 11, "Gelatos de Leite com Fruta", 14, "Chocolate base água", 17, "Vegano", 20, "Alcoólicos", 23, "Zero", 26, "Gelatos Proteicos", 29, 8), 1)) + (ROUND(J343,4) &lt; INDEX('Tabela de ingredientes'!$O$1:$V$30, SWITCH(B343, "Gelatos de Leite", 7, "Sorbets", 10, "Gelatos de Leite com Fruta", 13, "Chocolate base água", 16, "Vegano", 19, "Alcoólicos", 22, "Zero", 25, "Gelatos Proteicos", 28, 7), 2)) + (ROUND(J343,4) &gt; INDEX('Tabela de ingredientes'!$O$1:$V$30, SWITCH(B343, "Gelatos de Leite", 8, "Sorbets", 11, "Gelatos de Leite com Fruta", 14, "Chocolate base água", 17, "Vegano", 20, "Alcoólicos", 23, "Zero", 26, "Gelatos Proteicos", 29, 8), 2)) + (ROUND(K343,4) &lt; INDEX('Tabela de ingredientes'!$O$1:$V$30, SWITCH(B343, "Gelatos de Leite", 7, "Sorbets", 10, "Gelatos de Leite com Fruta", 13, "Chocolate base água", 16, "Vegano", 19, "Alcoólicos", 22, "Zero", 25, "Gelatos Proteicos", 28, 7), 3)) + (ROUND(K343,4) &gt; INDEX('Tabela de ingredientes'!$O$1:$V$30, SWITCH(B343, "Gelatos de Leite", 8, "Sorbets", 11, "Gelatos de Leite com Fruta", 14, "Chocolate base água", 17, "Vegano", 20, "Alcoólicos", 23, "Zero", 26, "Gelatos Proteicos", 29, 8), 3)) + (ROUND(L343,4) &lt; INDEX('Tabela de ingredientes'!$O$1:$V$30, SWITCH(B343, "Gelatos de Leite", 7, "Sorbets", 10, "Gelatos de Leite com Fruta", 13, "Chocolate base água", 16, "Vegano", 19, "Alcoólicos", 22, "Zero", 25, "Gelatos Proteicos", 28, 7), 4)) + (ROUND(L343,4) &gt; INDEX('Tabela de ingredientes'!$O$1:$V$30, SWITCH(B343, "Gelatos de Leite", 8, "Sorbets", 11, "Gelatos de Leite com Fruta", 14, "Chocolate base água", 17, "Vegano", 20, "Alcoólicos", 23, "Zero", 26, "Gelatos Proteicos", 29, 8), 4)) + (ROUND(M343,4) &lt; INDEX('Tabela de ingredientes'!$O$1:$V$30, SWITCH(B343, "Gelatos de Leite", 7, "Sorbets", 10, "Gelatos de Leite com Fruta", 13, "Chocolate base água", 16, "Vegano", 19, "Alcoólicos", 22, "Zero", 25, "Gelatos Proteicos", 28, 7), 5)) + (ROUND(M343,4) &gt; INDEX('Tabela de ingredientes'!$O$1:$V$30, SWITCH(B343, "Gelatos de Leite", 8, "Sorbets", 11, "Gelatos de Leite com Fruta", 14, "Chocolate base água", 17, "Vegano", 20, "Alcoólicos", 23, "Zero", 26, "Gelatos Proteicos", 29, 8), 5)) + (ROUND(N343,4) &lt; INDEX('Tabela de ingredientes'!$O$1:$V$30, SWITCH(B343, "Gelatos de Leite", 7, "Sorbets", 10, "Gelatos de Leite com Fruta", 13, "Chocolate base água", 16, "Vegano", 19, "Alcoólicos", 22, "Zero", 25, "Gelatos Proteicos", 28, 7), 6)) + (ROUND(N343,4) &gt; INDEX('Tabela de ingredientes'!$O$1:$V$30, SWITCH(B343, "Gelatos de Leite", 8, "Sorbets", 11, "Gelatos de Leite com Fruta", 14, "Chocolate base água", 17, "Vegano", 20, "Alcoólicos", 23, "Zero", 26, "Gelatos Proteicos", 29, 8), 6)) + (ROUND(O343,4) &lt; INDEX('Tabela de ingredientes'!$O$1:$V$30, SWITCH(B343, "Gelatos de Leite", 7, "Sorbets", 10, "Gelatos de Leite com Fruta", 13, "Chocolate base água", 16, "Vegano", 19, "Alcoólicos", 22, "Zero", 25, "Gelatos Proteicos", 28, 7), 7)) + (ROUND(O343,4) &gt; INDEX('Tabela de ingredientes'!$O$1:$V$30, SWITCH(B343, "Gelatos de Leite", 8, "Sorbets", 11, "Gelatos de Leite com Fruta", 14, "Chocolate base água", 17, "Vegano", 20, "Alcoólicos", 23, "Zero", 26, "Gelatos Proteicos", 29, 8), 7)) + (ROUND(P343,4) &lt; INDEX('Tabela de ingredientes'!$O$1:$V$30, SWITCH(B343, "Gelatos de Leite", 7, "Sorbets", 10, "Gelatos de Leite com Fruta", 13, "Chocolate base água", 16, "Vegano", 19, "Alcoólicos", 22, "Zero", 25, "Gelatos Proteicos", 28, 7), 8)) + (ROUND(P343,4) &gt; INDEX('Tabela de ingredientes'!$O$1:$V$30, SWITCH(B343, "Gelatos de Leite", 8, "Sorbets", 11, "Gelatos de Leite com Fruta", 14, "Chocolate base água", 17, "Vegano", 20, "Alcoólicos", 23, "Zero", 26, "Gelatos Proteicos", 29, 8), 8)) + IF(B343="Gelatos Proteicos", (ROUND(Q343,4)&lt;'Tabela de ingredientes'!$W$28)+(ROUND(Q343,4)&gt;'Tabela de ingredientes'!$W$29), 0) = 0, "Ok", "Revisar"))</f>
        <v/>
      </c>
    </row>
    <row r="344">
      <c r="A344" s="264"/>
      <c r="B344" s="264" t="s">
        <v>187</v>
      </c>
      <c r="C344" s="264" t="s">
        <v>187</v>
      </c>
      <c r="D344" s="264" t="s">
        <v>187</v>
      </c>
      <c r="E344" s="264" t="s">
        <v>187</v>
      </c>
      <c r="F344" s="264" t="s">
        <v>187</v>
      </c>
      <c r="G344" s="264" t="s">
        <v>187</v>
      </c>
      <c r="H344" s="264" t="s">
        <v>187</v>
      </c>
      <c r="I344" s="264" t="s">
        <v>187</v>
      </c>
      <c r="J344" s="264" t="s">
        <v>187</v>
      </c>
      <c r="K344" s="264" t="s">
        <v>187</v>
      </c>
      <c r="L344" s="264" t="s">
        <v>187</v>
      </c>
      <c r="M344" s="264" t="s">
        <v>187</v>
      </c>
      <c r="N344" s="264" t="s">
        <v>187</v>
      </c>
      <c r="O344" s="264" t="s">
        <v>187</v>
      </c>
      <c r="P344" s="264" t="s">
        <v>187</v>
      </c>
      <c r="Q344" s="264" t="s">
        <v>187</v>
      </c>
      <c r="R344" s="264" t="s">
        <v>187</v>
      </c>
      <c r="S344" s="97" t="str">
        <f t="array" ref="S344">IF(A344="","", IF( (ROUND(I344,4) &lt; INDEX('Tabela de ingredientes'!$O$1:$V$30, SWITCH(B344, "Gelatos de Leite", 7, "Sorbets", 10, "Gelatos de Leite com Fruta", 13, "Chocolate base água", 16, "Vegano", 19, "Alcoólicos", 22, "Zero", 25, "Gelatos Proteicos", 28, 7), 1)) + (ROUND(I344,4) &gt; INDEX('Tabela de ingredientes'!$O$1:$V$30, SWITCH(B344, "Gelatos de Leite", 8, "Sorbets", 11, "Gelatos de Leite com Fruta", 14, "Chocolate base água", 17, "Vegano", 20, "Alcoólicos", 23, "Zero", 26, "Gelatos Proteicos", 29, 8), 1)) + (ROUND(J344,4) &lt; INDEX('Tabela de ingredientes'!$O$1:$V$30, SWITCH(B344, "Gelatos de Leite", 7, "Sorbets", 10, "Gelatos de Leite com Fruta", 13, "Chocolate base água", 16, "Vegano", 19, "Alcoólicos", 22, "Zero", 25, "Gelatos Proteicos", 28, 7), 2)) + (ROUND(J344,4) &gt; INDEX('Tabela de ingredientes'!$O$1:$V$30, SWITCH(B344, "Gelatos de Leite", 8, "Sorbets", 11, "Gelatos de Leite com Fruta", 14, "Chocolate base água", 17, "Vegano", 20, "Alcoólicos", 23, "Zero", 26, "Gelatos Proteicos", 29, 8), 2)) + (ROUND(K344,4) &lt; INDEX('Tabela de ingredientes'!$O$1:$V$30, SWITCH(B344, "Gelatos de Leite", 7, "Sorbets", 10, "Gelatos de Leite com Fruta", 13, "Chocolate base água", 16, "Vegano", 19, "Alcoólicos", 22, "Zero", 25, "Gelatos Proteicos", 28, 7), 3)) + (ROUND(K344,4) &gt; INDEX('Tabela de ingredientes'!$O$1:$V$30, SWITCH(B344, "Gelatos de Leite", 8, "Sorbets", 11, "Gelatos de Leite com Fruta", 14, "Chocolate base água", 17, "Vegano", 20, "Alcoólicos", 23, "Zero", 26, "Gelatos Proteicos", 29, 8), 3)) + (ROUND(L344,4) &lt; INDEX('Tabela de ingredientes'!$O$1:$V$30, SWITCH(B344, "Gelatos de Leite", 7, "Sorbets", 10, "Gelatos de Leite com Fruta", 13, "Chocolate base água", 16, "Vegano", 19, "Alcoólicos", 22, "Zero", 25, "Gelatos Proteicos", 28, 7), 4)) + (ROUND(L344,4) &gt; INDEX('Tabela de ingredientes'!$O$1:$V$30, SWITCH(B344, "Gelatos de Leite", 8, "Sorbets", 11, "Gelatos de Leite com Fruta", 14, "Chocolate base água", 17, "Vegano", 20, "Alcoólicos", 23, "Zero", 26, "Gelatos Proteicos", 29, 8), 4)) + (ROUND(M344,4) &lt; INDEX('Tabela de ingredientes'!$O$1:$V$30, SWITCH(B344, "Gelatos de Leite", 7, "Sorbets", 10, "Gelatos de Leite com Fruta", 13, "Chocolate base água", 16, "Vegano", 19, "Alcoólicos", 22, "Zero", 25, "Gelatos Proteicos", 28, 7), 5)) + (ROUND(M344,4) &gt; INDEX('Tabela de ingredientes'!$O$1:$V$30, SWITCH(B344, "Gelatos de Leite", 8, "Sorbets", 11, "Gelatos de Leite com Fruta", 14, "Chocolate base água", 17, "Vegano", 20, "Alcoólicos", 23, "Zero", 26, "Gelatos Proteicos", 29, 8), 5)) + (ROUND(N344,4) &lt; INDEX('Tabela de ingredientes'!$O$1:$V$30, SWITCH(B344, "Gelatos de Leite", 7, "Sorbets", 10, "Gelatos de Leite com Fruta", 13, "Chocolate base água", 16, "Vegano", 19, "Alcoólicos", 22, "Zero", 25, "Gelatos Proteicos", 28, 7), 6)) + (ROUND(N344,4) &gt; INDEX('Tabela de ingredientes'!$O$1:$V$30, SWITCH(B344, "Gelatos de Leite", 8, "Sorbets", 11, "Gelatos de Leite com Fruta", 14, "Chocolate base água", 17, "Vegano", 20, "Alcoólicos", 23, "Zero", 26, "Gelatos Proteicos", 29, 8), 6)) + (ROUND(O344,4) &lt; INDEX('Tabela de ingredientes'!$O$1:$V$30, SWITCH(B344, "Gelatos de Leite", 7, "Sorbets", 10, "Gelatos de Leite com Fruta", 13, "Chocolate base água", 16, "Vegano", 19, "Alcoólicos", 22, "Zero", 25, "Gelatos Proteicos", 28, 7), 7)) + (ROUND(O344,4) &gt; INDEX('Tabela de ingredientes'!$O$1:$V$30, SWITCH(B344, "Gelatos de Leite", 8, "Sorbets", 11, "Gelatos de Leite com Fruta", 14, "Chocolate base água", 17, "Vegano", 20, "Alcoólicos", 23, "Zero", 26, "Gelatos Proteicos", 29, 8), 7)) + (ROUND(P344,4) &lt; INDEX('Tabela de ingredientes'!$O$1:$V$30, SWITCH(B344, "Gelatos de Leite", 7, "Sorbets", 10, "Gelatos de Leite com Fruta", 13, "Chocolate base água", 16, "Vegano", 19, "Alcoólicos", 22, "Zero", 25, "Gelatos Proteicos", 28, 7), 8)) + (ROUND(P344,4) &gt; INDEX('Tabela de ingredientes'!$O$1:$V$30, SWITCH(B344, "Gelatos de Leite", 8, "Sorbets", 11, "Gelatos de Leite com Fruta", 14, "Chocolate base água", 17, "Vegano", 20, "Alcoólicos", 23, "Zero", 26, "Gelatos Proteicos", 29, 8), 8)) + IF(B344="Gelatos Proteicos", (ROUND(Q344,4)&lt;'Tabela de ingredientes'!$W$28)+(ROUND(Q344,4)&gt;'Tabela de ingredientes'!$W$29), 0) = 0, "Ok", "Revisar"))</f>
        <v/>
      </c>
    </row>
    <row r="345">
      <c r="A345" s="264"/>
      <c r="B345" s="264" t="s">
        <v>187</v>
      </c>
      <c r="C345" s="264" t="s">
        <v>187</v>
      </c>
      <c r="D345" s="264" t="s">
        <v>187</v>
      </c>
      <c r="E345" s="264" t="s">
        <v>187</v>
      </c>
      <c r="F345" s="264" t="s">
        <v>187</v>
      </c>
      <c r="G345" s="264" t="s">
        <v>187</v>
      </c>
      <c r="H345" s="264" t="s">
        <v>187</v>
      </c>
      <c r="I345" s="264" t="s">
        <v>187</v>
      </c>
      <c r="J345" s="264" t="s">
        <v>187</v>
      </c>
      <c r="K345" s="264" t="s">
        <v>187</v>
      </c>
      <c r="L345" s="264" t="s">
        <v>187</v>
      </c>
      <c r="M345" s="264" t="s">
        <v>187</v>
      </c>
      <c r="N345" s="264" t="s">
        <v>187</v>
      </c>
      <c r="O345" s="264" t="s">
        <v>187</v>
      </c>
      <c r="P345" s="264" t="s">
        <v>187</v>
      </c>
      <c r="Q345" s="264" t="s">
        <v>187</v>
      </c>
      <c r="R345" s="264" t="s">
        <v>187</v>
      </c>
      <c r="S345" s="97" t="str">
        <f t="array" ref="S345">IF(A345="","", IF( (ROUND(I345,4) &lt; INDEX('Tabela de ingredientes'!$O$1:$V$30, SWITCH(B345, "Gelatos de Leite", 7, "Sorbets", 10, "Gelatos de Leite com Fruta", 13, "Chocolate base água", 16, "Vegano", 19, "Alcoólicos", 22, "Zero", 25, "Gelatos Proteicos", 28, 7), 1)) + (ROUND(I345,4) &gt; INDEX('Tabela de ingredientes'!$O$1:$V$30, SWITCH(B345, "Gelatos de Leite", 8, "Sorbets", 11, "Gelatos de Leite com Fruta", 14, "Chocolate base água", 17, "Vegano", 20, "Alcoólicos", 23, "Zero", 26, "Gelatos Proteicos", 29, 8), 1)) + (ROUND(J345,4) &lt; INDEX('Tabela de ingredientes'!$O$1:$V$30, SWITCH(B345, "Gelatos de Leite", 7, "Sorbets", 10, "Gelatos de Leite com Fruta", 13, "Chocolate base água", 16, "Vegano", 19, "Alcoólicos", 22, "Zero", 25, "Gelatos Proteicos", 28, 7), 2)) + (ROUND(J345,4) &gt; INDEX('Tabela de ingredientes'!$O$1:$V$30, SWITCH(B345, "Gelatos de Leite", 8, "Sorbets", 11, "Gelatos de Leite com Fruta", 14, "Chocolate base água", 17, "Vegano", 20, "Alcoólicos", 23, "Zero", 26, "Gelatos Proteicos", 29, 8), 2)) + (ROUND(K345,4) &lt; INDEX('Tabela de ingredientes'!$O$1:$V$30, SWITCH(B345, "Gelatos de Leite", 7, "Sorbets", 10, "Gelatos de Leite com Fruta", 13, "Chocolate base água", 16, "Vegano", 19, "Alcoólicos", 22, "Zero", 25, "Gelatos Proteicos", 28, 7), 3)) + (ROUND(K345,4) &gt; INDEX('Tabela de ingredientes'!$O$1:$V$30, SWITCH(B345, "Gelatos de Leite", 8, "Sorbets", 11, "Gelatos de Leite com Fruta", 14, "Chocolate base água", 17, "Vegano", 20, "Alcoólicos", 23, "Zero", 26, "Gelatos Proteicos", 29, 8), 3)) + (ROUND(L345,4) &lt; INDEX('Tabela de ingredientes'!$O$1:$V$30, SWITCH(B345, "Gelatos de Leite", 7, "Sorbets", 10, "Gelatos de Leite com Fruta", 13, "Chocolate base água", 16, "Vegano", 19, "Alcoólicos", 22, "Zero", 25, "Gelatos Proteicos", 28, 7), 4)) + (ROUND(L345,4) &gt; INDEX('Tabela de ingredientes'!$O$1:$V$30, SWITCH(B345, "Gelatos de Leite", 8, "Sorbets", 11, "Gelatos de Leite com Fruta", 14, "Chocolate base água", 17, "Vegano", 20, "Alcoólicos", 23, "Zero", 26, "Gelatos Proteicos", 29, 8), 4)) + (ROUND(M345,4) &lt; INDEX('Tabela de ingredientes'!$O$1:$V$30, SWITCH(B345, "Gelatos de Leite", 7, "Sorbets", 10, "Gelatos de Leite com Fruta", 13, "Chocolate base água", 16, "Vegano", 19, "Alcoólicos", 22, "Zero", 25, "Gelatos Proteicos", 28, 7), 5)) + (ROUND(M345,4) &gt; INDEX('Tabela de ingredientes'!$O$1:$V$30, SWITCH(B345, "Gelatos de Leite", 8, "Sorbets", 11, "Gelatos de Leite com Fruta", 14, "Chocolate base água", 17, "Vegano", 20, "Alcoólicos", 23, "Zero", 26, "Gelatos Proteicos", 29, 8), 5)) + (ROUND(N345,4) &lt; INDEX('Tabela de ingredientes'!$O$1:$V$30, SWITCH(B345, "Gelatos de Leite", 7, "Sorbets", 10, "Gelatos de Leite com Fruta", 13, "Chocolate base água", 16, "Vegano", 19, "Alcoólicos", 22, "Zero", 25, "Gelatos Proteicos", 28, 7), 6)) + (ROUND(N345,4) &gt; INDEX('Tabela de ingredientes'!$O$1:$V$30, SWITCH(B345, "Gelatos de Leite", 8, "Sorbets", 11, "Gelatos de Leite com Fruta", 14, "Chocolate base água", 17, "Vegano", 20, "Alcoólicos", 23, "Zero", 26, "Gelatos Proteicos", 29, 8), 6)) + (ROUND(O345,4) &lt; INDEX('Tabela de ingredientes'!$O$1:$V$30, SWITCH(B345, "Gelatos de Leite", 7, "Sorbets", 10, "Gelatos de Leite com Fruta", 13, "Chocolate base água", 16, "Vegano", 19, "Alcoólicos", 22, "Zero", 25, "Gelatos Proteicos", 28, 7), 7)) + (ROUND(O345,4) &gt; INDEX('Tabela de ingredientes'!$O$1:$V$30, SWITCH(B345, "Gelatos de Leite", 8, "Sorbets", 11, "Gelatos de Leite com Fruta", 14, "Chocolate base água", 17, "Vegano", 20, "Alcoólicos", 23, "Zero", 26, "Gelatos Proteicos", 29, 8), 7)) + (ROUND(P345,4) &lt; INDEX('Tabela de ingredientes'!$O$1:$V$30, SWITCH(B345, "Gelatos de Leite", 7, "Sorbets", 10, "Gelatos de Leite com Fruta", 13, "Chocolate base água", 16, "Vegano", 19, "Alcoólicos", 22, "Zero", 25, "Gelatos Proteicos", 28, 7), 8)) + (ROUND(P345,4) &gt; INDEX('Tabela de ingredientes'!$O$1:$V$30, SWITCH(B345, "Gelatos de Leite", 8, "Sorbets", 11, "Gelatos de Leite com Fruta", 14, "Chocolate base água", 17, "Vegano", 20, "Alcoólicos", 23, "Zero", 26, "Gelatos Proteicos", 29, 8), 8)) + IF(B345="Gelatos Proteicos", (ROUND(Q345,4)&lt;'Tabela de ingredientes'!$W$28)+(ROUND(Q345,4)&gt;'Tabela de ingredientes'!$W$29), 0) = 0, "Ok", "Revisar"))</f>
        <v/>
      </c>
    </row>
    <row r="346">
      <c r="A346" s="264"/>
      <c r="B346" s="264" t="s">
        <v>187</v>
      </c>
      <c r="C346" s="264" t="s">
        <v>187</v>
      </c>
      <c r="D346" s="264" t="s">
        <v>187</v>
      </c>
      <c r="E346" s="264" t="s">
        <v>187</v>
      </c>
      <c r="F346" s="264" t="s">
        <v>187</v>
      </c>
      <c r="G346" s="264" t="s">
        <v>187</v>
      </c>
      <c r="H346" s="264" t="s">
        <v>187</v>
      </c>
      <c r="I346" s="264" t="s">
        <v>187</v>
      </c>
      <c r="J346" s="264" t="s">
        <v>187</v>
      </c>
      <c r="K346" s="264" t="s">
        <v>187</v>
      </c>
      <c r="L346" s="264" t="s">
        <v>187</v>
      </c>
      <c r="M346" s="264" t="s">
        <v>187</v>
      </c>
      <c r="N346" s="264" t="s">
        <v>187</v>
      </c>
      <c r="O346" s="264" t="s">
        <v>187</v>
      </c>
      <c r="P346" s="264" t="s">
        <v>187</v>
      </c>
      <c r="Q346" s="264" t="s">
        <v>187</v>
      </c>
      <c r="R346" s="264" t="s">
        <v>187</v>
      </c>
      <c r="S346" s="97" t="str">
        <f t="array" ref="S346">IF(A346="","", IF( (ROUND(I346,4) &lt; INDEX('Tabela de ingredientes'!$O$1:$V$30, SWITCH(B346, "Gelatos de Leite", 7, "Sorbets", 10, "Gelatos de Leite com Fruta", 13, "Chocolate base água", 16, "Vegano", 19, "Alcoólicos", 22, "Zero", 25, "Gelatos Proteicos", 28, 7), 1)) + (ROUND(I346,4) &gt; INDEX('Tabela de ingredientes'!$O$1:$V$30, SWITCH(B346, "Gelatos de Leite", 8, "Sorbets", 11, "Gelatos de Leite com Fruta", 14, "Chocolate base água", 17, "Vegano", 20, "Alcoólicos", 23, "Zero", 26, "Gelatos Proteicos", 29, 8), 1)) + (ROUND(J346,4) &lt; INDEX('Tabela de ingredientes'!$O$1:$V$30, SWITCH(B346, "Gelatos de Leite", 7, "Sorbets", 10, "Gelatos de Leite com Fruta", 13, "Chocolate base água", 16, "Vegano", 19, "Alcoólicos", 22, "Zero", 25, "Gelatos Proteicos", 28, 7), 2)) + (ROUND(J346,4) &gt; INDEX('Tabela de ingredientes'!$O$1:$V$30, SWITCH(B346, "Gelatos de Leite", 8, "Sorbets", 11, "Gelatos de Leite com Fruta", 14, "Chocolate base água", 17, "Vegano", 20, "Alcoólicos", 23, "Zero", 26, "Gelatos Proteicos", 29, 8), 2)) + (ROUND(K346,4) &lt; INDEX('Tabela de ingredientes'!$O$1:$V$30, SWITCH(B346, "Gelatos de Leite", 7, "Sorbets", 10, "Gelatos de Leite com Fruta", 13, "Chocolate base água", 16, "Vegano", 19, "Alcoólicos", 22, "Zero", 25, "Gelatos Proteicos", 28, 7), 3)) + (ROUND(K346,4) &gt; INDEX('Tabela de ingredientes'!$O$1:$V$30, SWITCH(B346, "Gelatos de Leite", 8, "Sorbets", 11, "Gelatos de Leite com Fruta", 14, "Chocolate base água", 17, "Vegano", 20, "Alcoólicos", 23, "Zero", 26, "Gelatos Proteicos", 29, 8), 3)) + (ROUND(L346,4) &lt; INDEX('Tabela de ingredientes'!$O$1:$V$30, SWITCH(B346, "Gelatos de Leite", 7, "Sorbets", 10, "Gelatos de Leite com Fruta", 13, "Chocolate base água", 16, "Vegano", 19, "Alcoólicos", 22, "Zero", 25, "Gelatos Proteicos", 28, 7), 4)) + (ROUND(L346,4) &gt; INDEX('Tabela de ingredientes'!$O$1:$V$30, SWITCH(B346, "Gelatos de Leite", 8, "Sorbets", 11, "Gelatos de Leite com Fruta", 14, "Chocolate base água", 17, "Vegano", 20, "Alcoólicos", 23, "Zero", 26, "Gelatos Proteicos", 29, 8), 4)) + (ROUND(M346,4) &lt; INDEX('Tabela de ingredientes'!$O$1:$V$30, SWITCH(B346, "Gelatos de Leite", 7, "Sorbets", 10, "Gelatos de Leite com Fruta", 13, "Chocolate base água", 16, "Vegano", 19, "Alcoólicos", 22, "Zero", 25, "Gelatos Proteicos", 28, 7), 5)) + (ROUND(M346,4) &gt; INDEX('Tabela de ingredientes'!$O$1:$V$30, SWITCH(B346, "Gelatos de Leite", 8, "Sorbets", 11, "Gelatos de Leite com Fruta", 14, "Chocolate base água", 17, "Vegano", 20, "Alcoólicos", 23, "Zero", 26, "Gelatos Proteicos", 29, 8), 5)) + (ROUND(N346,4) &lt; INDEX('Tabela de ingredientes'!$O$1:$V$30, SWITCH(B346, "Gelatos de Leite", 7, "Sorbets", 10, "Gelatos de Leite com Fruta", 13, "Chocolate base água", 16, "Vegano", 19, "Alcoólicos", 22, "Zero", 25, "Gelatos Proteicos", 28, 7), 6)) + (ROUND(N346,4) &gt; INDEX('Tabela de ingredientes'!$O$1:$V$30, SWITCH(B346, "Gelatos de Leite", 8, "Sorbets", 11, "Gelatos de Leite com Fruta", 14, "Chocolate base água", 17, "Vegano", 20, "Alcoólicos", 23, "Zero", 26, "Gelatos Proteicos", 29, 8), 6)) + (ROUND(O346,4) &lt; INDEX('Tabela de ingredientes'!$O$1:$V$30, SWITCH(B346, "Gelatos de Leite", 7, "Sorbets", 10, "Gelatos de Leite com Fruta", 13, "Chocolate base água", 16, "Vegano", 19, "Alcoólicos", 22, "Zero", 25, "Gelatos Proteicos", 28, 7), 7)) + (ROUND(O346,4) &gt; INDEX('Tabela de ingredientes'!$O$1:$V$30, SWITCH(B346, "Gelatos de Leite", 8, "Sorbets", 11, "Gelatos de Leite com Fruta", 14, "Chocolate base água", 17, "Vegano", 20, "Alcoólicos", 23, "Zero", 26, "Gelatos Proteicos", 29, 8), 7)) + (ROUND(P346,4) &lt; INDEX('Tabela de ingredientes'!$O$1:$V$30, SWITCH(B346, "Gelatos de Leite", 7, "Sorbets", 10, "Gelatos de Leite com Fruta", 13, "Chocolate base água", 16, "Vegano", 19, "Alcoólicos", 22, "Zero", 25, "Gelatos Proteicos", 28, 7), 8)) + (ROUND(P346,4) &gt; INDEX('Tabela de ingredientes'!$O$1:$V$30, SWITCH(B346, "Gelatos de Leite", 8, "Sorbets", 11, "Gelatos de Leite com Fruta", 14, "Chocolate base água", 17, "Vegano", 20, "Alcoólicos", 23, "Zero", 26, "Gelatos Proteicos", 29, 8), 8)) + IF(B346="Gelatos Proteicos", (ROUND(Q346,4)&lt;'Tabela de ingredientes'!$W$28)+(ROUND(Q346,4)&gt;'Tabela de ingredientes'!$W$29), 0) = 0, "Ok", "Revisar"))</f>
        <v/>
      </c>
    </row>
    <row r="347">
      <c r="A347" s="264"/>
      <c r="B347" s="264" t="s">
        <v>187</v>
      </c>
      <c r="C347" s="264" t="s">
        <v>187</v>
      </c>
      <c r="D347" s="264" t="s">
        <v>187</v>
      </c>
      <c r="E347" s="264" t="s">
        <v>187</v>
      </c>
      <c r="F347" s="264" t="s">
        <v>187</v>
      </c>
      <c r="G347" s="264" t="s">
        <v>187</v>
      </c>
      <c r="H347" s="264" t="s">
        <v>187</v>
      </c>
      <c r="I347" s="264" t="s">
        <v>187</v>
      </c>
      <c r="J347" s="264" t="s">
        <v>187</v>
      </c>
      <c r="K347" s="264" t="s">
        <v>187</v>
      </c>
      <c r="L347" s="264" t="s">
        <v>187</v>
      </c>
      <c r="M347" s="264" t="s">
        <v>187</v>
      </c>
      <c r="N347" s="264" t="s">
        <v>187</v>
      </c>
      <c r="O347" s="264" t="s">
        <v>187</v>
      </c>
      <c r="P347" s="264" t="s">
        <v>187</v>
      </c>
      <c r="Q347" s="264" t="s">
        <v>187</v>
      </c>
      <c r="R347" s="264" t="s">
        <v>187</v>
      </c>
      <c r="S347" s="97" t="str">
        <f t="array" ref="S347">IF(A347="","", IF( (ROUND(I347,4) &lt; INDEX('Tabela de ingredientes'!$O$1:$V$30, SWITCH(B347, "Gelatos de Leite", 7, "Sorbets", 10, "Gelatos de Leite com Fruta", 13, "Chocolate base água", 16, "Vegano", 19, "Alcoólicos", 22, "Zero", 25, "Gelatos Proteicos", 28, 7), 1)) + (ROUND(I347,4) &gt; INDEX('Tabela de ingredientes'!$O$1:$V$30, SWITCH(B347, "Gelatos de Leite", 8, "Sorbets", 11, "Gelatos de Leite com Fruta", 14, "Chocolate base água", 17, "Vegano", 20, "Alcoólicos", 23, "Zero", 26, "Gelatos Proteicos", 29, 8), 1)) + (ROUND(J347,4) &lt; INDEX('Tabela de ingredientes'!$O$1:$V$30, SWITCH(B347, "Gelatos de Leite", 7, "Sorbets", 10, "Gelatos de Leite com Fruta", 13, "Chocolate base água", 16, "Vegano", 19, "Alcoólicos", 22, "Zero", 25, "Gelatos Proteicos", 28, 7), 2)) + (ROUND(J347,4) &gt; INDEX('Tabela de ingredientes'!$O$1:$V$30, SWITCH(B347, "Gelatos de Leite", 8, "Sorbets", 11, "Gelatos de Leite com Fruta", 14, "Chocolate base água", 17, "Vegano", 20, "Alcoólicos", 23, "Zero", 26, "Gelatos Proteicos", 29, 8), 2)) + (ROUND(K347,4) &lt; INDEX('Tabela de ingredientes'!$O$1:$V$30, SWITCH(B347, "Gelatos de Leite", 7, "Sorbets", 10, "Gelatos de Leite com Fruta", 13, "Chocolate base água", 16, "Vegano", 19, "Alcoólicos", 22, "Zero", 25, "Gelatos Proteicos", 28, 7), 3)) + (ROUND(K347,4) &gt; INDEX('Tabela de ingredientes'!$O$1:$V$30, SWITCH(B347, "Gelatos de Leite", 8, "Sorbets", 11, "Gelatos de Leite com Fruta", 14, "Chocolate base água", 17, "Vegano", 20, "Alcoólicos", 23, "Zero", 26, "Gelatos Proteicos", 29, 8), 3)) + (ROUND(L347,4) &lt; INDEX('Tabela de ingredientes'!$O$1:$V$30, SWITCH(B347, "Gelatos de Leite", 7, "Sorbets", 10, "Gelatos de Leite com Fruta", 13, "Chocolate base água", 16, "Vegano", 19, "Alcoólicos", 22, "Zero", 25, "Gelatos Proteicos", 28, 7), 4)) + (ROUND(L347,4) &gt; INDEX('Tabela de ingredientes'!$O$1:$V$30, SWITCH(B347, "Gelatos de Leite", 8, "Sorbets", 11, "Gelatos de Leite com Fruta", 14, "Chocolate base água", 17, "Vegano", 20, "Alcoólicos", 23, "Zero", 26, "Gelatos Proteicos", 29, 8), 4)) + (ROUND(M347,4) &lt; INDEX('Tabela de ingredientes'!$O$1:$V$30, SWITCH(B347, "Gelatos de Leite", 7, "Sorbets", 10, "Gelatos de Leite com Fruta", 13, "Chocolate base água", 16, "Vegano", 19, "Alcoólicos", 22, "Zero", 25, "Gelatos Proteicos", 28, 7), 5)) + (ROUND(M347,4) &gt; INDEX('Tabela de ingredientes'!$O$1:$V$30, SWITCH(B347, "Gelatos de Leite", 8, "Sorbets", 11, "Gelatos de Leite com Fruta", 14, "Chocolate base água", 17, "Vegano", 20, "Alcoólicos", 23, "Zero", 26, "Gelatos Proteicos", 29, 8), 5)) + (ROUND(N347,4) &lt; INDEX('Tabela de ingredientes'!$O$1:$V$30, SWITCH(B347, "Gelatos de Leite", 7, "Sorbets", 10, "Gelatos de Leite com Fruta", 13, "Chocolate base água", 16, "Vegano", 19, "Alcoólicos", 22, "Zero", 25, "Gelatos Proteicos", 28, 7), 6)) + (ROUND(N347,4) &gt; INDEX('Tabela de ingredientes'!$O$1:$V$30, SWITCH(B347, "Gelatos de Leite", 8, "Sorbets", 11, "Gelatos de Leite com Fruta", 14, "Chocolate base água", 17, "Vegano", 20, "Alcoólicos", 23, "Zero", 26, "Gelatos Proteicos", 29, 8), 6)) + (ROUND(O347,4) &lt; INDEX('Tabela de ingredientes'!$O$1:$V$30, SWITCH(B347, "Gelatos de Leite", 7, "Sorbets", 10, "Gelatos de Leite com Fruta", 13, "Chocolate base água", 16, "Vegano", 19, "Alcoólicos", 22, "Zero", 25, "Gelatos Proteicos", 28, 7), 7)) + (ROUND(O347,4) &gt; INDEX('Tabela de ingredientes'!$O$1:$V$30, SWITCH(B347, "Gelatos de Leite", 8, "Sorbets", 11, "Gelatos de Leite com Fruta", 14, "Chocolate base água", 17, "Vegano", 20, "Alcoólicos", 23, "Zero", 26, "Gelatos Proteicos", 29, 8), 7)) + (ROUND(P347,4) &lt; INDEX('Tabela de ingredientes'!$O$1:$V$30, SWITCH(B347, "Gelatos de Leite", 7, "Sorbets", 10, "Gelatos de Leite com Fruta", 13, "Chocolate base água", 16, "Vegano", 19, "Alcoólicos", 22, "Zero", 25, "Gelatos Proteicos", 28, 7), 8)) + (ROUND(P347,4) &gt; INDEX('Tabela de ingredientes'!$O$1:$V$30, SWITCH(B347, "Gelatos de Leite", 8, "Sorbets", 11, "Gelatos de Leite com Fruta", 14, "Chocolate base água", 17, "Vegano", 20, "Alcoólicos", 23, "Zero", 26, "Gelatos Proteicos", 29, 8), 8)) + IF(B347="Gelatos Proteicos", (ROUND(Q347,4)&lt;'Tabela de ingredientes'!$W$28)+(ROUND(Q347,4)&gt;'Tabela de ingredientes'!$W$29), 0) = 0, "Ok", "Revisar"))</f>
        <v/>
      </c>
    </row>
    <row r="348">
      <c r="A348" s="264"/>
      <c r="B348" s="264" t="s">
        <v>187</v>
      </c>
      <c r="C348" s="264" t="s">
        <v>187</v>
      </c>
      <c r="D348" s="264" t="s">
        <v>187</v>
      </c>
      <c r="E348" s="264" t="s">
        <v>187</v>
      </c>
      <c r="F348" s="264" t="s">
        <v>187</v>
      </c>
      <c r="G348" s="264" t="s">
        <v>187</v>
      </c>
      <c r="H348" s="264" t="s">
        <v>187</v>
      </c>
      <c r="I348" s="264" t="s">
        <v>187</v>
      </c>
      <c r="J348" s="264" t="s">
        <v>187</v>
      </c>
      <c r="K348" s="264" t="s">
        <v>187</v>
      </c>
      <c r="L348" s="264" t="s">
        <v>187</v>
      </c>
      <c r="M348" s="264" t="s">
        <v>187</v>
      </c>
      <c r="N348" s="264" t="s">
        <v>187</v>
      </c>
      <c r="O348" s="264" t="s">
        <v>187</v>
      </c>
      <c r="P348" s="264" t="s">
        <v>187</v>
      </c>
      <c r="Q348" s="264" t="s">
        <v>187</v>
      </c>
      <c r="R348" s="264" t="s">
        <v>187</v>
      </c>
      <c r="S348" s="97" t="str">
        <f t="array" ref="S348">IF(A348="","", IF( (ROUND(I348,4) &lt; INDEX('Tabela de ingredientes'!$O$1:$V$30, SWITCH(B348, "Gelatos de Leite", 7, "Sorbets", 10, "Gelatos de Leite com Fruta", 13, "Chocolate base água", 16, "Vegano", 19, "Alcoólicos", 22, "Zero", 25, "Gelatos Proteicos", 28, 7), 1)) + (ROUND(I348,4) &gt; INDEX('Tabela de ingredientes'!$O$1:$V$30, SWITCH(B348, "Gelatos de Leite", 8, "Sorbets", 11, "Gelatos de Leite com Fruta", 14, "Chocolate base água", 17, "Vegano", 20, "Alcoólicos", 23, "Zero", 26, "Gelatos Proteicos", 29, 8), 1)) + (ROUND(J348,4) &lt; INDEX('Tabela de ingredientes'!$O$1:$V$30, SWITCH(B348, "Gelatos de Leite", 7, "Sorbets", 10, "Gelatos de Leite com Fruta", 13, "Chocolate base água", 16, "Vegano", 19, "Alcoólicos", 22, "Zero", 25, "Gelatos Proteicos", 28, 7), 2)) + (ROUND(J348,4) &gt; INDEX('Tabela de ingredientes'!$O$1:$V$30, SWITCH(B348, "Gelatos de Leite", 8, "Sorbets", 11, "Gelatos de Leite com Fruta", 14, "Chocolate base água", 17, "Vegano", 20, "Alcoólicos", 23, "Zero", 26, "Gelatos Proteicos", 29, 8), 2)) + (ROUND(K348,4) &lt; INDEX('Tabela de ingredientes'!$O$1:$V$30, SWITCH(B348, "Gelatos de Leite", 7, "Sorbets", 10, "Gelatos de Leite com Fruta", 13, "Chocolate base água", 16, "Vegano", 19, "Alcoólicos", 22, "Zero", 25, "Gelatos Proteicos", 28, 7), 3)) + (ROUND(K348,4) &gt; INDEX('Tabela de ingredientes'!$O$1:$V$30, SWITCH(B348, "Gelatos de Leite", 8, "Sorbets", 11, "Gelatos de Leite com Fruta", 14, "Chocolate base água", 17, "Vegano", 20, "Alcoólicos", 23, "Zero", 26, "Gelatos Proteicos", 29, 8), 3)) + (ROUND(L348,4) &lt; INDEX('Tabela de ingredientes'!$O$1:$V$30, SWITCH(B348, "Gelatos de Leite", 7, "Sorbets", 10, "Gelatos de Leite com Fruta", 13, "Chocolate base água", 16, "Vegano", 19, "Alcoólicos", 22, "Zero", 25, "Gelatos Proteicos", 28, 7), 4)) + (ROUND(L348,4) &gt; INDEX('Tabela de ingredientes'!$O$1:$V$30, SWITCH(B348, "Gelatos de Leite", 8, "Sorbets", 11, "Gelatos de Leite com Fruta", 14, "Chocolate base água", 17, "Vegano", 20, "Alcoólicos", 23, "Zero", 26, "Gelatos Proteicos", 29, 8), 4)) + (ROUND(M348,4) &lt; INDEX('Tabela de ingredientes'!$O$1:$V$30, SWITCH(B348, "Gelatos de Leite", 7, "Sorbets", 10, "Gelatos de Leite com Fruta", 13, "Chocolate base água", 16, "Vegano", 19, "Alcoólicos", 22, "Zero", 25, "Gelatos Proteicos", 28, 7), 5)) + (ROUND(M348,4) &gt; INDEX('Tabela de ingredientes'!$O$1:$V$30, SWITCH(B348, "Gelatos de Leite", 8, "Sorbets", 11, "Gelatos de Leite com Fruta", 14, "Chocolate base água", 17, "Vegano", 20, "Alcoólicos", 23, "Zero", 26, "Gelatos Proteicos", 29, 8), 5)) + (ROUND(N348,4) &lt; INDEX('Tabela de ingredientes'!$O$1:$V$30, SWITCH(B348, "Gelatos de Leite", 7, "Sorbets", 10, "Gelatos de Leite com Fruta", 13, "Chocolate base água", 16, "Vegano", 19, "Alcoólicos", 22, "Zero", 25, "Gelatos Proteicos", 28, 7), 6)) + (ROUND(N348,4) &gt; INDEX('Tabela de ingredientes'!$O$1:$V$30, SWITCH(B348, "Gelatos de Leite", 8, "Sorbets", 11, "Gelatos de Leite com Fruta", 14, "Chocolate base água", 17, "Vegano", 20, "Alcoólicos", 23, "Zero", 26, "Gelatos Proteicos", 29, 8), 6)) + (ROUND(O348,4) &lt; INDEX('Tabela de ingredientes'!$O$1:$V$30, SWITCH(B348, "Gelatos de Leite", 7, "Sorbets", 10, "Gelatos de Leite com Fruta", 13, "Chocolate base água", 16, "Vegano", 19, "Alcoólicos", 22, "Zero", 25, "Gelatos Proteicos", 28, 7), 7)) + (ROUND(O348,4) &gt; INDEX('Tabela de ingredientes'!$O$1:$V$30, SWITCH(B348, "Gelatos de Leite", 8, "Sorbets", 11, "Gelatos de Leite com Fruta", 14, "Chocolate base água", 17, "Vegano", 20, "Alcoólicos", 23, "Zero", 26, "Gelatos Proteicos", 29, 8), 7)) + (ROUND(P348,4) &lt; INDEX('Tabela de ingredientes'!$O$1:$V$30, SWITCH(B348, "Gelatos de Leite", 7, "Sorbets", 10, "Gelatos de Leite com Fruta", 13, "Chocolate base água", 16, "Vegano", 19, "Alcoólicos", 22, "Zero", 25, "Gelatos Proteicos", 28, 7), 8)) + (ROUND(P348,4) &gt; INDEX('Tabela de ingredientes'!$O$1:$V$30, SWITCH(B348, "Gelatos de Leite", 8, "Sorbets", 11, "Gelatos de Leite com Fruta", 14, "Chocolate base água", 17, "Vegano", 20, "Alcoólicos", 23, "Zero", 26, "Gelatos Proteicos", 29, 8), 8)) + IF(B348="Gelatos Proteicos", (ROUND(Q348,4)&lt;'Tabela de ingredientes'!$W$28)+(ROUND(Q348,4)&gt;'Tabela de ingredientes'!$W$29), 0) = 0, "Ok", "Revisar"))</f>
        <v/>
      </c>
    </row>
    <row r="349">
      <c r="A349" s="264"/>
      <c r="B349" s="264" t="s">
        <v>187</v>
      </c>
      <c r="C349" s="264" t="s">
        <v>187</v>
      </c>
      <c r="D349" s="264" t="s">
        <v>187</v>
      </c>
      <c r="E349" s="264" t="s">
        <v>187</v>
      </c>
      <c r="F349" s="264" t="s">
        <v>187</v>
      </c>
      <c r="G349" s="264" t="s">
        <v>187</v>
      </c>
      <c r="H349" s="264" t="s">
        <v>187</v>
      </c>
      <c r="I349" s="264" t="s">
        <v>187</v>
      </c>
      <c r="J349" s="264" t="s">
        <v>187</v>
      </c>
      <c r="K349" s="264" t="s">
        <v>187</v>
      </c>
      <c r="L349" s="264" t="s">
        <v>187</v>
      </c>
      <c r="M349" s="264" t="s">
        <v>187</v>
      </c>
      <c r="N349" s="264" t="s">
        <v>187</v>
      </c>
      <c r="O349" s="264" t="s">
        <v>187</v>
      </c>
      <c r="P349" s="264" t="s">
        <v>187</v>
      </c>
      <c r="Q349" s="264" t="s">
        <v>187</v>
      </c>
      <c r="R349" s="264" t="s">
        <v>187</v>
      </c>
      <c r="S349" s="97" t="str">
        <f t="array" ref="S349">IF(A349="","", IF( (ROUND(I349,4) &lt; INDEX('Tabela de ingredientes'!$O$1:$V$30, SWITCH(B349, "Gelatos de Leite", 7, "Sorbets", 10, "Gelatos de Leite com Fruta", 13, "Chocolate base água", 16, "Vegano", 19, "Alcoólicos", 22, "Zero", 25, "Gelatos Proteicos", 28, 7), 1)) + (ROUND(I349,4) &gt; INDEX('Tabela de ingredientes'!$O$1:$V$30, SWITCH(B349, "Gelatos de Leite", 8, "Sorbets", 11, "Gelatos de Leite com Fruta", 14, "Chocolate base água", 17, "Vegano", 20, "Alcoólicos", 23, "Zero", 26, "Gelatos Proteicos", 29, 8), 1)) + (ROUND(J349,4) &lt; INDEX('Tabela de ingredientes'!$O$1:$V$30, SWITCH(B349, "Gelatos de Leite", 7, "Sorbets", 10, "Gelatos de Leite com Fruta", 13, "Chocolate base água", 16, "Vegano", 19, "Alcoólicos", 22, "Zero", 25, "Gelatos Proteicos", 28, 7), 2)) + (ROUND(J349,4) &gt; INDEX('Tabela de ingredientes'!$O$1:$V$30, SWITCH(B349, "Gelatos de Leite", 8, "Sorbets", 11, "Gelatos de Leite com Fruta", 14, "Chocolate base água", 17, "Vegano", 20, "Alcoólicos", 23, "Zero", 26, "Gelatos Proteicos", 29, 8), 2)) + (ROUND(K349,4) &lt; INDEX('Tabela de ingredientes'!$O$1:$V$30, SWITCH(B349, "Gelatos de Leite", 7, "Sorbets", 10, "Gelatos de Leite com Fruta", 13, "Chocolate base água", 16, "Vegano", 19, "Alcoólicos", 22, "Zero", 25, "Gelatos Proteicos", 28, 7), 3)) + (ROUND(K349,4) &gt; INDEX('Tabela de ingredientes'!$O$1:$V$30, SWITCH(B349, "Gelatos de Leite", 8, "Sorbets", 11, "Gelatos de Leite com Fruta", 14, "Chocolate base água", 17, "Vegano", 20, "Alcoólicos", 23, "Zero", 26, "Gelatos Proteicos", 29, 8), 3)) + (ROUND(L349,4) &lt; INDEX('Tabela de ingredientes'!$O$1:$V$30, SWITCH(B349, "Gelatos de Leite", 7, "Sorbets", 10, "Gelatos de Leite com Fruta", 13, "Chocolate base água", 16, "Vegano", 19, "Alcoólicos", 22, "Zero", 25, "Gelatos Proteicos", 28, 7), 4)) + (ROUND(L349,4) &gt; INDEX('Tabela de ingredientes'!$O$1:$V$30, SWITCH(B349, "Gelatos de Leite", 8, "Sorbets", 11, "Gelatos de Leite com Fruta", 14, "Chocolate base água", 17, "Vegano", 20, "Alcoólicos", 23, "Zero", 26, "Gelatos Proteicos", 29, 8), 4)) + (ROUND(M349,4) &lt; INDEX('Tabela de ingredientes'!$O$1:$V$30, SWITCH(B349, "Gelatos de Leite", 7, "Sorbets", 10, "Gelatos de Leite com Fruta", 13, "Chocolate base água", 16, "Vegano", 19, "Alcoólicos", 22, "Zero", 25, "Gelatos Proteicos", 28, 7), 5)) + (ROUND(M349,4) &gt; INDEX('Tabela de ingredientes'!$O$1:$V$30, SWITCH(B349, "Gelatos de Leite", 8, "Sorbets", 11, "Gelatos de Leite com Fruta", 14, "Chocolate base água", 17, "Vegano", 20, "Alcoólicos", 23, "Zero", 26, "Gelatos Proteicos", 29, 8), 5)) + (ROUND(N349,4) &lt; INDEX('Tabela de ingredientes'!$O$1:$V$30, SWITCH(B349, "Gelatos de Leite", 7, "Sorbets", 10, "Gelatos de Leite com Fruta", 13, "Chocolate base água", 16, "Vegano", 19, "Alcoólicos", 22, "Zero", 25, "Gelatos Proteicos", 28, 7), 6)) + (ROUND(N349,4) &gt; INDEX('Tabela de ingredientes'!$O$1:$V$30, SWITCH(B349, "Gelatos de Leite", 8, "Sorbets", 11, "Gelatos de Leite com Fruta", 14, "Chocolate base água", 17, "Vegano", 20, "Alcoólicos", 23, "Zero", 26, "Gelatos Proteicos", 29, 8), 6)) + (ROUND(O349,4) &lt; INDEX('Tabela de ingredientes'!$O$1:$V$30, SWITCH(B349, "Gelatos de Leite", 7, "Sorbets", 10, "Gelatos de Leite com Fruta", 13, "Chocolate base água", 16, "Vegano", 19, "Alcoólicos", 22, "Zero", 25, "Gelatos Proteicos", 28, 7), 7)) + (ROUND(O349,4) &gt; INDEX('Tabela de ingredientes'!$O$1:$V$30, SWITCH(B349, "Gelatos de Leite", 8, "Sorbets", 11, "Gelatos de Leite com Fruta", 14, "Chocolate base água", 17, "Vegano", 20, "Alcoólicos", 23, "Zero", 26, "Gelatos Proteicos", 29, 8), 7)) + (ROUND(P349,4) &lt; INDEX('Tabela de ingredientes'!$O$1:$V$30, SWITCH(B349, "Gelatos de Leite", 7, "Sorbets", 10, "Gelatos de Leite com Fruta", 13, "Chocolate base água", 16, "Vegano", 19, "Alcoólicos", 22, "Zero", 25, "Gelatos Proteicos", 28, 7), 8)) + (ROUND(P349,4) &gt; INDEX('Tabela de ingredientes'!$O$1:$V$30, SWITCH(B349, "Gelatos de Leite", 8, "Sorbets", 11, "Gelatos de Leite com Fruta", 14, "Chocolate base água", 17, "Vegano", 20, "Alcoólicos", 23, "Zero", 26, "Gelatos Proteicos", 29, 8), 8)) + IF(B349="Gelatos Proteicos", (ROUND(Q349,4)&lt;'Tabela de ingredientes'!$W$28)+(ROUND(Q349,4)&gt;'Tabela de ingredientes'!$W$29), 0) = 0, "Ok", "Revisar"))</f>
        <v/>
      </c>
    </row>
    <row r="350">
      <c r="A350" s="264"/>
      <c r="B350" s="264" t="s">
        <v>187</v>
      </c>
      <c r="C350" s="264" t="s">
        <v>187</v>
      </c>
      <c r="D350" s="264" t="s">
        <v>187</v>
      </c>
      <c r="E350" s="264" t="s">
        <v>187</v>
      </c>
      <c r="F350" s="264" t="s">
        <v>187</v>
      </c>
      <c r="G350" s="264" t="s">
        <v>187</v>
      </c>
      <c r="H350" s="264" t="s">
        <v>187</v>
      </c>
      <c r="I350" s="264" t="s">
        <v>187</v>
      </c>
      <c r="J350" s="264" t="s">
        <v>187</v>
      </c>
      <c r="K350" s="264" t="s">
        <v>187</v>
      </c>
      <c r="L350" s="264" t="s">
        <v>187</v>
      </c>
      <c r="M350" s="264" t="s">
        <v>187</v>
      </c>
      <c r="N350" s="264" t="s">
        <v>187</v>
      </c>
      <c r="O350" s="264" t="s">
        <v>187</v>
      </c>
      <c r="P350" s="264" t="s">
        <v>187</v>
      </c>
      <c r="Q350" s="264" t="s">
        <v>187</v>
      </c>
      <c r="R350" s="264" t="s">
        <v>187</v>
      </c>
      <c r="S350" s="97" t="str">
        <f t="array" ref="S350">IF(A350="","", IF( (ROUND(I350,4) &lt; INDEX('Tabela de ingredientes'!$O$1:$V$30, SWITCH(B350, "Gelatos de Leite", 7, "Sorbets", 10, "Gelatos de Leite com Fruta", 13, "Chocolate base água", 16, "Vegano", 19, "Alcoólicos", 22, "Zero", 25, "Gelatos Proteicos", 28, 7), 1)) + (ROUND(I350,4) &gt; INDEX('Tabela de ingredientes'!$O$1:$V$30, SWITCH(B350, "Gelatos de Leite", 8, "Sorbets", 11, "Gelatos de Leite com Fruta", 14, "Chocolate base água", 17, "Vegano", 20, "Alcoólicos", 23, "Zero", 26, "Gelatos Proteicos", 29, 8), 1)) + (ROUND(J350,4) &lt; INDEX('Tabela de ingredientes'!$O$1:$V$30, SWITCH(B350, "Gelatos de Leite", 7, "Sorbets", 10, "Gelatos de Leite com Fruta", 13, "Chocolate base água", 16, "Vegano", 19, "Alcoólicos", 22, "Zero", 25, "Gelatos Proteicos", 28, 7), 2)) + (ROUND(J350,4) &gt; INDEX('Tabela de ingredientes'!$O$1:$V$30, SWITCH(B350, "Gelatos de Leite", 8, "Sorbets", 11, "Gelatos de Leite com Fruta", 14, "Chocolate base água", 17, "Vegano", 20, "Alcoólicos", 23, "Zero", 26, "Gelatos Proteicos", 29, 8), 2)) + (ROUND(K350,4) &lt; INDEX('Tabela de ingredientes'!$O$1:$V$30, SWITCH(B350, "Gelatos de Leite", 7, "Sorbets", 10, "Gelatos de Leite com Fruta", 13, "Chocolate base água", 16, "Vegano", 19, "Alcoólicos", 22, "Zero", 25, "Gelatos Proteicos", 28, 7), 3)) + (ROUND(K350,4) &gt; INDEX('Tabela de ingredientes'!$O$1:$V$30, SWITCH(B350, "Gelatos de Leite", 8, "Sorbets", 11, "Gelatos de Leite com Fruta", 14, "Chocolate base água", 17, "Vegano", 20, "Alcoólicos", 23, "Zero", 26, "Gelatos Proteicos", 29, 8), 3)) + (ROUND(L350,4) &lt; INDEX('Tabela de ingredientes'!$O$1:$V$30, SWITCH(B350, "Gelatos de Leite", 7, "Sorbets", 10, "Gelatos de Leite com Fruta", 13, "Chocolate base água", 16, "Vegano", 19, "Alcoólicos", 22, "Zero", 25, "Gelatos Proteicos", 28, 7), 4)) + (ROUND(L350,4) &gt; INDEX('Tabela de ingredientes'!$O$1:$V$30, SWITCH(B350, "Gelatos de Leite", 8, "Sorbets", 11, "Gelatos de Leite com Fruta", 14, "Chocolate base água", 17, "Vegano", 20, "Alcoólicos", 23, "Zero", 26, "Gelatos Proteicos", 29, 8), 4)) + (ROUND(M350,4) &lt; INDEX('Tabela de ingredientes'!$O$1:$V$30, SWITCH(B350, "Gelatos de Leite", 7, "Sorbets", 10, "Gelatos de Leite com Fruta", 13, "Chocolate base água", 16, "Vegano", 19, "Alcoólicos", 22, "Zero", 25, "Gelatos Proteicos", 28, 7), 5)) + (ROUND(M350,4) &gt; INDEX('Tabela de ingredientes'!$O$1:$V$30, SWITCH(B350, "Gelatos de Leite", 8, "Sorbets", 11, "Gelatos de Leite com Fruta", 14, "Chocolate base água", 17, "Vegano", 20, "Alcoólicos", 23, "Zero", 26, "Gelatos Proteicos", 29, 8), 5)) + (ROUND(N350,4) &lt; INDEX('Tabela de ingredientes'!$O$1:$V$30, SWITCH(B350, "Gelatos de Leite", 7, "Sorbets", 10, "Gelatos de Leite com Fruta", 13, "Chocolate base água", 16, "Vegano", 19, "Alcoólicos", 22, "Zero", 25, "Gelatos Proteicos", 28, 7), 6)) + (ROUND(N350,4) &gt; INDEX('Tabela de ingredientes'!$O$1:$V$30, SWITCH(B350, "Gelatos de Leite", 8, "Sorbets", 11, "Gelatos de Leite com Fruta", 14, "Chocolate base água", 17, "Vegano", 20, "Alcoólicos", 23, "Zero", 26, "Gelatos Proteicos", 29, 8), 6)) + (ROUND(O350,4) &lt; INDEX('Tabela de ingredientes'!$O$1:$V$30, SWITCH(B350, "Gelatos de Leite", 7, "Sorbets", 10, "Gelatos de Leite com Fruta", 13, "Chocolate base água", 16, "Vegano", 19, "Alcoólicos", 22, "Zero", 25, "Gelatos Proteicos", 28, 7), 7)) + (ROUND(O350,4) &gt; INDEX('Tabela de ingredientes'!$O$1:$V$30, SWITCH(B350, "Gelatos de Leite", 8, "Sorbets", 11, "Gelatos de Leite com Fruta", 14, "Chocolate base água", 17, "Vegano", 20, "Alcoólicos", 23, "Zero", 26, "Gelatos Proteicos", 29, 8), 7)) + (ROUND(P350,4) &lt; INDEX('Tabela de ingredientes'!$O$1:$V$30, SWITCH(B350, "Gelatos de Leite", 7, "Sorbets", 10, "Gelatos de Leite com Fruta", 13, "Chocolate base água", 16, "Vegano", 19, "Alcoólicos", 22, "Zero", 25, "Gelatos Proteicos", 28, 7), 8)) + (ROUND(P350,4) &gt; INDEX('Tabela de ingredientes'!$O$1:$V$30, SWITCH(B350, "Gelatos de Leite", 8, "Sorbets", 11, "Gelatos de Leite com Fruta", 14, "Chocolate base água", 17, "Vegano", 20, "Alcoólicos", 23, "Zero", 26, "Gelatos Proteicos", 29, 8), 8)) + IF(B350="Gelatos Proteicos", (ROUND(Q350,4)&lt;'Tabela de ingredientes'!$W$28)+(ROUND(Q350,4)&gt;'Tabela de ingredientes'!$W$29), 0) = 0, "Ok", "Revisar"))</f>
        <v/>
      </c>
    </row>
    <row r="351">
      <c r="A351" s="264"/>
      <c r="B351" s="264" t="s">
        <v>187</v>
      </c>
      <c r="C351" s="264" t="s">
        <v>187</v>
      </c>
      <c r="D351" s="264" t="s">
        <v>187</v>
      </c>
      <c r="E351" s="264" t="s">
        <v>187</v>
      </c>
      <c r="F351" s="264" t="s">
        <v>187</v>
      </c>
      <c r="G351" s="264" t="s">
        <v>187</v>
      </c>
      <c r="H351" s="264" t="s">
        <v>187</v>
      </c>
      <c r="I351" s="264" t="s">
        <v>187</v>
      </c>
      <c r="J351" s="264" t="s">
        <v>187</v>
      </c>
      <c r="K351" s="264" t="s">
        <v>187</v>
      </c>
      <c r="L351" s="264" t="s">
        <v>187</v>
      </c>
      <c r="M351" s="264" t="s">
        <v>187</v>
      </c>
      <c r="N351" s="264" t="s">
        <v>187</v>
      </c>
      <c r="O351" s="264" t="s">
        <v>187</v>
      </c>
      <c r="P351" s="264" t="s">
        <v>187</v>
      </c>
      <c r="Q351" s="264" t="s">
        <v>187</v>
      </c>
      <c r="R351" s="264" t="s">
        <v>187</v>
      </c>
      <c r="S351" s="97" t="str">
        <f t="array" ref="S351">IF(A351="","", IF( (ROUND(I351,4) &lt; INDEX('Tabela de ingredientes'!$O$1:$V$30, SWITCH(B351, "Gelatos de Leite", 7, "Sorbets", 10, "Gelatos de Leite com Fruta", 13, "Chocolate base água", 16, "Vegano", 19, "Alcoólicos", 22, "Zero", 25, "Gelatos Proteicos", 28, 7), 1)) + (ROUND(I351,4) &gt; INDEX('Tabela de ingredientes'!$O$1:$V$30, SWITCH(B351, "Gelatos de Leite", 8, "Sorbets", 11, "Gelatos de Leite com Fruta", 14, "Chocolate base água", 17, "Vegano", 20, "Alcoólicos", 23, "Zero", 26, "Gelatos Proteicos", 29, 8), 1)) + (ROUND(J351,4) &lt; INDEX('Tabela de ingredientes'!$O$1:$V$30, SWITCH(B351, "Gelatos de Leite", 7, "Sorbets", 10, "Gelatos de Leite com Fruta", 13, "Chocolate base água", 16, "Vegano", 19, "Alcoólicos", 22, "Zero", 25, "Gelatos Proteicos", 28, 7), 2)) + (ROUND(J351,4) &gt; INDEX('Tabela de ingredientes'!$O$1:$V$30, SWITCH(B351, "Gelatos de Leite", 8, "Sorbets", 11, "Gelatos de Leite com Fruta", 14, "Chocolate base água", 17, "Vegano", 20, "Alcoólicos", 23, "Zero", 26, "Gelatos Proteicos", 29, 8), 2)) + (ROUND(K351,4) &lt; INDEX('Tabela de ingredientes'!$O$1:$V$30, SWITCH(B351, "Gelatos de Leite", 7, "Sorbets", 10, "Gelatos de Leite com Fruta", 13, "Chocolate base água", 16, "Vegano", 19, "Alcoólicos", 22, "Zero", 25, "Gelatos Proteicos", 28, 7), 3)) + (ROUND(K351,4) &gt; INDEX('Tabela de ingredientes'!$O$1:$V$30, SWITCH(B351, "Gelatos de Leite", 8, "Sorbets", 11, "Gelatos de Leite com Fruta", 14, "Chocolate base água", 17, "Vegano", 20, "Alcoólicos", 23, "Zero", 26, "Gelatos Proteicos", 29, 8), 3)) + (ROUND(L351,4) &lt; INDEX('Tabela de ingredientes'!$O$1:$V$30, SWITCH(B351, "Gelatos de Leite", 7, "Sorbets", 10, "Gelatos de Leite com Fruta", 13, "Chocolate base água", 16, "Vegano", 19, "Alcoólicos", 22, "Zero", 25, "Gelatos Proteicos", 28, 7), 4)) + (ROUND(L351,4) &gt; INDEX('Tabela de ingredientes'!$O$1:$V$30, SWITCH(B351, "Gelatos de Leite", 8, "Sorbets", 11, "Gelatos de Leite com Fruta", 14, "Chocolate base água", 17, "Vegano", 20, "Alcoólicos", 23, "Zero", 26, "Gelatos Proteicos", 29, 8), 4)) + (ROUND(M351,4) &lt; INDEX('Tabela de ingredientes'!$O$1:$V$30, SWITCH(B351, "Gelatos de Leite", 7, "Sorbets", 10, "Gelatos de Leite com Fruta", 13, "Chocolate base água", 16, "Vegano", 19, "Alcoólicos", 22, "Zero", 25, "Gelatos Proteicos", 28, 7), 5)) + (ROUND(M351,4) &gt; INDEX('Tabela de ingredientes'!$O$1:$V$30, SWITCH(B351, "Gelatos de Leite", 8, "Sorbets", 11, "Gelatos de Leite com Fruta", 14, "Chocolate base água", 17, "Vegano", 20, "Alcoólicos", 23, "Zero", 26, "Gelatos Proteicos", 29, 8), 5)) + (ROUND(N351,4) &lt; INDEX('Tabela de ingredientes'!$O$1:$V$30, SWITCH(B351, "Gelatos de Leite", 7, "Sorbets", 10, "Gelatos de Leite com Fruta", 13, "Chocolate base água", 16, "Vegano", 19, "Alcoólicos", 22, "Zero", 25, "Gelatos Proteicos", 28, 7), 6)) + (ROUND(N351,4) &gt; INDEX('Tabela de ingredientes'!$O$1:$V$30, SWITCH(B351, "Gelatos de Leite", 8, "Sorbets", 11, "Gelatos de Leite com Fruta", 14, "Chocolate base água", 17, "Vegano", 20, "Alcoólicos", 23, "Zero", 26, "Gelatos Proteicos", 29, 8), 6)) + (ROUND(O351,4) &lt; INDEX('Tabela de ingredientes'!$O$1:$V$30, SWITCH(B351, "Gelatos de Leite", 7, "Sorbets", 10, "Gelatos de Leite com Fruta", 13, "Chocolate base água", 16, "Vegano", 19, "Alcoólicos", 22, "Zero", 25, "Gelatos Proteicos", 28, 7), 7)) + (ROUND(O351,4) &gt; INDEX('Tabela de ingredientes'!$O$1:$V$30, SWITCH(B351, "Gelatos de Leite", 8, "Sorbets", 11, "Gelatos de Leite com Fruta", 14, "Chocolate base água", 17, "Vegano", 20, "Alcoólicos", 23, "Zero", 26, "Gelatos Proteicos", 29, 8), 7)) + (ROUND(P351,4) &lt; INDEX('Tabela de ingredientes'!$O$1:$V$30, SWITCH(B351, "Gelatos de Leite", 7, "Sorbets", 10, "Gelatos de Leite com Fruta", 13, "Chocolate base água", 16, "Vegano", 19, "Alcoólicos", 22, "Zero", 25, "Gelatos Proteicos", 28, 7), 8)) + (ROUND(P351,4) &gt; INDEX('Tabela de ingredientes'!$O$1:$V$30, SWITCH(B351, "Gelatos de Leite", 8, "Sorbets", 11, "Gelatos de Leite com Fruta", 14, "Chocolate base água", 17, "Vegano", 20, "Alcoólicos", 23, "Zero", 26, "Gelatos Proteicos", 29, 8), 8)) + IF(B351="Gelatos Proteicos", (ROUND(Q351,4)&lt;'Tabela de ingredientes'!$W$28)+(ROUND(Q351,4)&gt;'Tabela de ingredientes'!$W$29), 0) = 0, "Ok", "Revisar"))</f>
        <v/>
      </c>
    </row>
    <row r="352">
      <c r="A352" s="264"/>
      <c r="B352" s="264" t="s">
        <v>187</v>
      </c>
      <c r="C352" s="264" t="s">
        <v>187</v>
      </c>
      <c r="D352" s="264" t="s">
        <v>187</v>
      </c>
      <c r="E352" s="264" t="s">
        <v>187</v>
      </c>
      <c r="F352" s="264" t="s">
        <v>187</v>
      </c>
      <c r="G352" s="264" t="s">
        <v>187</v>
      </c>
      <c r="H352" s="264" t="s">
        <v>187</v>
      </c>
      <c r="I352" s="264" t="s">
        <v>187</v>
      </c>
      <c r="J352" s="264" t="s">
        <v>187</v>
      </c>
      <c r="K352" s="264" t="s">
        <v>187</v>
      </c>
      <c r="L352" s="264" t="s">
        <v>187</v>
      </c>
      <c r="M352" s="264" t="s">
        <v>187</v>
      </c>
      <c r="N352" s="264" t="s">
        <v>187</v>
      </c>
      <c r="O352" s="264" t="s">
        <v>187</v>
      </c>
      <c r="P352" s="264" t="s">
        <v>187</v>
      </c>
      <c r="Q352" s="264" t="s">
        <v>187</v>
      </c>
      <c r="R352" s="264" t="s">
        <v>187</v>
      </c>
      <c r="S352" s="97" t="str">
        <f t="array" ref="S352">IF(A352="","", IF( (ROUND(I352,4) &lt; INDEX('Tabela de ingredientes'!$O$1:$V$30, SWITCH(B352, "Gelatos de Leite", 7, "Sorbets", 10, "Gelatos de Leite com Fruta", 13, "Chocolate base água", 16, "Vegano", 19, "Alcoólicos", 22, "Zero", 25, "Gelatos Proteicos", 28, 7), 1)) + (ROUND(I352,4) &gt; INDEX('Tabela de ingredientes'!$O$1:$V$30, SWITCH(B352, "Gelatos de Leite", 8, "Sorbets", 11, "Gelatos de Leite com Fruta", 14, "Chocolate base água", 17, "Vegano", 20, "Alcoólicos", 23, "Zero", 26, "Gelatos Proteicos", 29, 8), 1)) + (ROUND(J352,4) &lt; INDEX('Tabela de ingredientes'!$O$1:$V$30, SWITCH(B352, "Gelatos de Leite", 7, "Sorbets", 10, "Gelatos de Leite com Fruta", 13, "Chocolate base água", 16, "Vegano", 19, "Alcoólicos", 22, "Zero", 25, "Gelatos Proteicos", 28, 7), 2)) + (ROUND(J352,4) &gt; INDEX('Tabela de ingredientes'!$O$1:$V$30, SWITCH(B352, "Gelatos de Leite", 8, "Sorbets", 11, "Gelatos de Leite com Fruta", 14, "Chocolate base água", 17, "Vegano", 20, "Alcoólicos", 23, "Zero", 26, "Gelatos Proteicos", 29, 8), 2)) + (ROUND(K352,4) &lt; INDEX('Tabela de ingredientes'!$O$1:$V$30, SWITCH(B352, "Gelatos de Leite", 7, "Sorbets", 10, "Gelatos de Leite com Fruta", 13, "Chocolate base água", 16, "Vegano", 19, "Alcoólicos", 22, "Zero", 25, "Gelatos Proteicos", 28, 7), 3)) + (ROUND(K352,4) &gt; INDEX('Tabela de ingredientes'!$O$1:$V$30, SWITCH(B352, "Gelatos de Leite", 8, "Sorbets", 11, "Gelatos de Leite com Fruta", 14, "Chocolate base água", 17, "Vegano", 20, "Alcoólicos", 23, "Zero", 26, "Gelatos Proteicos", 29, 8), 3)) + (ROUND(L352,4) &lt; INDEX('Tabela de ingredientes'!$O$1:$V$30, SWITCH(B352, "Gelatos de Leite", 7, "Sorbets", 10, "Gelatos de Leite com Fruta", 13, "Chocolate base água", 16, "Vegano", 19, "Alcoólicos", 22, "Zero", 25, "Gelatos Proteicos", 28, 7), 4)) + (ROUND(L352,4) &gt; INDEX('Tabela de ingredientes'!$O$1:$V$30, SWITCH(B352, "Gelatos de Leite", 8, "Sorbets", 11, "Gelatos de Leite com Fruta", 14, "Chocolate base água", 17, "Vegano", 20, "Alcoólicos", 23, "Zero", 26, "Gelatos Proteicos", 29, 8), 4)) + (ROUND(M352,4) &lt; INDEX('Tabela de ingredientes'!$O$1:$V$30, SWITCH(B352, "Gelatos de Leite", 7, "Sorbets", 10, "Gelatos de Leite com Fruta", 13, "Chocolate base água", 16, "Vegano", 19, "Alcoólicos", 22, "Zero", 25, "Gelatos Proteicos", 28, 7), 5)) + (ROUND(M352,4) &gt; INDEX('Tabela de ingredientes'!$O$1:$V$30, SWITCH(B352, "Gelatos de Leite", 8, "Sorbets", 11, "Gelatos de Leite com Fruta", 14, "Chocolate base água", 17, "Vegano", 20, "Alcoólicos", 23, "Zero", 26, "Gelatos Proteicos", 29, 8), 5)) + (ROUND(N352,4) &lt; INDEX('Tabela de ingredientes'!$O$1:$V$30, SWITCH(B352, "Gelatos de Leite", 7, "Sorbets", 10, "Gelatos de Leite com Fruta", 13, "Chocolate base água", 16, "Vegano", 19, "Alcoólicos", 22, "Zero", 25, "Gelatos Proteicos", 28, 7), 6)) + (ROUND(N352,4) &gt; INDEX('Tabela de ingredientes'!$O$1:$V$30, SWITCH(B352, "Gelatos de Leite", 8, "Sorbets", 11, "Gelatos de Leite com Fruta", 14, "Chocolate base água", 17, "Vegano", 20, "Alcoólicos", 23, "Zero", 26, "Gelatos Proteicos", 29, 8), 6)) + (ROUND(O352,4) &lt; INDEX('Tabela de ingredientes'!$O$1:$V$30, SWITCH(B352, "Gelatos de Leite", 7, "Sorbets", 10, "Gelatos de Leite com Fruta", 13, "Chocolate base água", 16, "Vegano", 19, "Alcoólicos", 22, "Zero", 25, "Gelatos Proteicos", 28, 7), 7)) + (ROUND(O352,4) &gt; INDEX('Tabela de ingredientes'!$O$1:$V$30, SWITCH(B352, "Gelatos de Leite", 8, "Sorbets", 11, "Gelatos de Leite com Fruta", 14, "Chocolate base água", 17, "Vegano", 20, "Alcoólicos", 23, "Zero", 26, "Gelatos Proteicos", 29, 8), 7)) + (ROUND(P352,4) &lt; INDEX('Tabela de ingredientes'!$O$1:$V$30, SWITCH(B352, "Gelatos de Leite", 7, "Sorbets", 10, "Gelatos de Leite com Fruta", 13, "Chocolate base água", 16, "Vegano", 19, "Alcoólicos", 22, "Zero", 25, "Gelatos Proteicos", 28, 7), 8)) + (ROUND(P352,4) &gt; INDEX('Tabela de ingredientes'!$O$1:$V$30, SWITCH(B352, "Gelatos de Leite", 8, "Sorbets", 11, "Gelatos de Leite com Fruta", 14, "Chocolate base água", 17, "Vegano", 20, "Alcoólicos", 23, "Zero", 26, "Gelatos Proteicos", 29, 8), 8)) + IF(B352="Gelatos Proteicos", (ROUND(Q352,4)&lt;'Tabela de ingredientes'!$W$28)+(ROUND(Q352,4)&gt;'Tabela de ingredientes'!$W$29), 0) = 0, "Ok", "Revisar"))</f>
        <v/>
      </c>
    </row>
    <row r="353">
      <c r="A353" s="264"/>
      <c r="B353" s="264" t="s">
        <v>187</v>
      </c>
      <c r="C353" s="264" t="s">
        <v>187</v>
      </c>
      <c r="D353" s="264" t="s">
        <v>187</v>
      </c>
      <c r="E353" s="264" t="s">
        <v>187</v>
      </c>
      <c r="F353" s="264" t="s">
        <v>187</v>
      </c>
      <c r="G353" s="264" t="s">
        <v>187</v>
      </c>
      <c r="H353" s="264" t="s">
        <v>187</v>
      </c>
      <c r="I353" s="264" t="s">
        <v>187</v>
      </c>
      <c r="J353" s="264" t="s">
        <v>187</v>
      </c>
      <c r="K353" s="264" t="s">
        <v>187</v>
      </c>
      <c r="L353" s="264" t="s">
        <v>187</v>
      </c>
      <c r="M353" s="264" t="s">
        <v>187</v>
      </c>
      <c r="N353" s="264" t="s">
        <v>187</v>
      </c>
      <c r="O353" s="264" t="s">
        <v>187</v>
      </c>
      <c r="P353" s="264" t="s">
        <v>187</v>
      </c>
      <c r="Q353" s="264" t="s">
        <v>187</v>
      </c>
      <c r="R353" s="264" t="s">
        <v>187</v>
      </c>
      <c r="S353" s="97" t="str">
        <f t="array" ref="S353">IF(A353="","", IF( (ROUND(I353,4) &lt; INDEX('Tabela de ingredientes'!$O$1:$V$30, SWITCH(B353, "Gelatos de Leite", 7, "Sorbets", 10, "Gelatos de Leite com Fruta", 13, "Chocolate base água", 16, "Vegano", 19, "Alcoólicos", 22, "Zero", 25, "Gelatos Proteicos", 28, 7), 1)) + (ROUND(I353,4) &gt; INDEX('Tabela de ingredientes'!$O$1:$V$30, SWITCH(B353, "Gelatos de Leite", 8, "Sorbets", 11, "Gelatos de Leite com Fruta", 14, "Chocolate base água", 17, "Vegano", 20, "Alcoólicos", 23, "Zero", 26, "Gelatos Proteicos", 29, 8), 1)) + (ROUND(J353,4) &lt; INDEX('Tabela de ingredientes'!$O$1:$V$30, SWITCH(B353, "Gelatos de Leite", 7, "Sorbets", 10, "Gelatos de Leite com Fruta", 13, "Chocolate base água", 16, "Vegano", 19, "Alcoólicos", 22, "Zero", 25, "Gelatos Proteicos", 28, 7), 2)) + (ROUND(J353,4) &gt; INDEX('Tabela de ingredientes'!$O$1:$V$30, SWITCH(B353, "Gelatos de Leite", 8, "Sorbets", 11, "Gelatos de Leite com Fruta", 14, "Chocolate base água", 17, "Vegano", 20, "Alcoólicos", 23, "Zero", 26, "Gelatos Proteicos", 29, 8), 2)) + (ROUND(K353,4) &lt; INDEX('Tabela de ingredientes'!$O$1:$V$30, SWITCH(B353, "Gelatos de Leite", 7, "Sorbets", 10, "Gelatos de Leite com Fruta", 13, "Chocolate base água", 16, "Vegano", 19, "Alcoólicos", 22, "Zero", 25, "Gelatos Proteicos", 28, 7), 3)) + (ROUND(K353,4) &gt; INDEX('Tabela de ingredientes'!$O$1:$V$30, SWITCH(B353, "Gelatos de Leite", 8, "Sorbets", 11, "Gelatos de Leite com Fruta", 14, "Chocolate base água", 17, "Vegano", 20, "Alcoólicos", 23, "Zero", 26, "Gelatos Proteicos", 29, 8), 3)) + (ROUND(L353,4) &lt; INDEX('Tabela de ingredientes'!$O$1:$V$30, SWITCH(B353, "Gelatos de Leite", 7, "Sorbets", 10, "Gelatos de Leite com Fruta", 13, "Chocolate base água", 16, "Vegano", 19, "Alcoólicos", 22, "Zero", 25, "Gelatos Proteicos", 28, 7), 4)) + (ROUND(L353,4) &gt; INDEX('Tabela de ingredientes'!$O$1:$V$30, SWITCH(B353, "Gelatos de Leite", 8, "Sorbets", 11, "Gelatos de Leite com Fruta", 14, "Chocolate base água", 17, "Vegano", 20, "Alcoólicos", 23, "Zero", 26, "Gelatos Proteicos", 29, 8), 4)) + (ROUND(M353,4) &lt; INDEX('Tabela de ingredientes'!$O$1:$V$30, SWITCH(B353, "Gelatos de Leite", 7, "Sorbets", 10, "Gelatos de Leite com Fruta", 13, "Chocolate base água", 16, "Vegano", 19, "Alcoólicos", 22, "Zero", 25, "Gelatos Proteicos", 28, 7), 5)) + (ROUND(M353,4) &gt; INDEX('Tabela de ingredientes'!$O$1:$V$30, SWITCH(B353, "Gelatos de Leite", 8, "Sorbets", 11, "Gelatos de Leite com Fruta", 14, "Chocolate base água", 17, "Vegano", 20, "Alcoólicos", 23, "Zero", 26, "Gelatos Proteicos", 29, 8), 5)) + (ROUND(N353,4) &lt; INDEX('Tabela de ingredientes'!$O$1:$V$30, SWITCH(B353, "Gelatos de Leite", 7, "Sorbets", 10, "Gelatos de Leite com Fruta", 13, "Chocolate base água", 16, "Vegano", 19, "Alcoólicos", 22, "Zero", 25, "Gelatos Proteicos", 28, 7), 6)) + (ROUND(N353,4) &gt; INDEX('Tabela de ingredientes'!$O$1:$V$30, SWITCH(B353, "Gelatos de Leite", 8, "Sorbets", 11, "Gelatos de Leite com Fruta", 14, "Chocolate base água", 17, "Vegano", 20, "Alcoólicos", 23, "Zero", 26, "Gelatos Proteicos", 29, 8), 6)) + (ROUND(O353,4) &lt; INDEX('Tabela de ingredientes'!$O$1:$V$30, SWITCH(B353, "Gelatos de Leite", 7, "Sorbets", 10, "Gelatos de Leite com Fruta", 13, "Chocolate base água", 16, "Vegano", 19, "Alcoólicos", 22, "Zero", 25, "Gelatos Proteicos", 28, 7), 7)) + (ROUND(O353,4) &gt; INDEX('Tabela de ingredientes'!$O$1:$V$30, SWITCH(B353, "Gelatos de Leite", 8, "Sorbets", 11, "Gelatos de Leite com Fruta", 14, "Chocolate base água", 17, "Vegano", 20, "Alcoólicos", 23, "Zero", 26, "Gelatos Proteicos", 29, 8), 7)) + (ROUND(P353,4) &lt; INDEX('Tabela de ingredientes'!$O$1:$V$30, SWITCH(B353, "Gelatos de Leite", 7, "Sorbets", 10, "Gelatos de Leite com Fruta", 13, "Chocolate base água", 16, "Vegano", 19, "Alcoólicos", 22, "Zero", 25, "Gelatos Proteicos", 28, 7), 8)) + (ROUND(P353,4) &gt; INDEX('Tabela de ingredientes'!$O$1:$V$30, SWITCH(B353, "Gelatos de Leite", 8, "Sorbets", 11, "Gelatos de Leite com Fruta", 14, "Chocolate base água", 17, "Vegano", 20, "Alcoólicos", 23, "Zero", 26, "Gelatos Proteicos", 29, 8), 8)) + IF(B353="Gelatos Proteicos", (ROUND(Q353,4)&lt;'Tabela de ingredientes'!$W$28)+(ROUND(Q353,4)&gt;'Tabela de ingredientes'!$W$29), 0) = 0, "Ok", "Revisar"))</f>
        <v/>
      </c>
    </row>
    <row r="354">
      <c r="A354" s="264"/>
      <c r="B354" s="264" t="s">
        <v>187</v>
      </c>
      <c r="C354" s="264" t="s">
        <v>187</v>
      </c>
      <c r="D354" s="264" t="s">
        <v>187</v>
      </c>
      <c r="E354" s="264" t="s">
        <v>187</v>
      </c>
      <c r="F354" s="264" t="s">
        <v>187</v>
      </c>
      <c r="G354" s="264" t="s">
        <v>187</v>
      </c>
      <c r="H354" s="264" t="s">
        <v>187</v>
      </c>
      <c r="I354" s="264" t="s">
        <v>187</v>
      </c>
      <c r="J354" s="264" t="s">
        <v>187</v>
      </c>
      <c r="K354" s="264" t="s">
        <v>187</v>
      </c>
      <c r="L354" s="264" t="s">
        <v>187</v>
      </c>
      <c r="M354" s="264" t="s">
        <v>187</v>
      </c>
      <c r="N354" s="264" t="s">
        <v>187</v>
      </c>
      <c r="O354" s="264" t="s">
        <v>187</v>
      </c>
      <c r="P354" s="264" t="s">
        <v>187</v>
      </c>
      <c r="Q354" s="264" t="s">
        <v>187</v>
      </c>
      <c r="R354" s="264" t="s">
        <v>187</v>
      </c>
      <c r="S354" s="97" t="str">
        <f t="array" ref="S354">IF(A354="","", IF( (ROUND(I354,4) &lt; INDEX('Tabela de ingredientes'!$O$1:$V$30, SWITCH(B354, "Gelatos de Leite", 7, "Sorbets", 10, "Gelatos de Leite com Fruta", 13, "Chocolate base água", 16, "Vegano", 19, "Alcoólicos", 22, "Zero", 25, "Gelatos Proteicos", 28, 7), 1)) + (ROUND(I354,4) &gt; INDEX('Tabela de ingredientes'!$O$1:$V$30, SWITCH(B354, "Gelatos de Leite", 8, "Sorbets", 11, "Gelatos de Leite com Fruta", 14, "Chocolate base água", 17, "Vegano", 20, "Alcoólicos", 23, "Zero", 26, "Gelatos Proteicos", 29, 8), 1)) + (ROUND(J354,4) &lt; INDEX('Tabela de ingredientes'!$O$1:$V$30, SWITCH(B354, "Gelatos de Leite", 7, "Sorbets", 10, "Gelatos de Leite com Fruta", 13, "Chocolate base água", 16, "Vegano", 19, "Alcoólicos", 22, "Zero", 25, "Gelatos Proteicos", 28, 7), 2)) + (ROUND(J354,4) &gt; INDEX('Tabela de ingredientes'!$O$1:$V$30, SWITCH(B354, "Gelatos de Leite", 8, "Sorbets", 11, "Gelatos de Leite com Fruta", 14, "Chocolate base água", 17, "Vegano", 20, "Alcoólicos", 23, "Zero", 26, "Gelatos Proteicos", 29, 8), 2)) + (ROUND(K354,4) &lt; INDEX('Tabela de ingredientes'!$O$1:$V$30, SWITCH(B354, "Gelatos de Leite", 7, "Sorbets", 10, "Gelatos de Leite com Fruta", 13, "Chocolate base água", 16, "Vegano", 19, "Alcoólicos", 22, "Zero", 25, "Gelatos Proteicos", 28, 7), 3)) + (ROUND(K354,4) &gt; INDEX('Tabela de ingredientes'!$O$1:$V$30, SWITCH(B354, "Gelatos de Leite", 8, "Sorbets", 11, "Gelatos de Leite com Fruta", 14, "Chocolate base água", 17, "Vegano", 20, "Alcoólicos", 23, "Zero", 26, "Gelatos Proteicos", 29, 8), 3)) + (ROUND(L354,4) &lt; INDEX('Tabela de ingredientes'!$O$1:$V$30, SWITCH(B354, "Gelatos de Leite", 7, "Sorbets", 10, "Gelatos de Leite com Fruta", 13, "Chocolate base água", 16, "Vegano", 19, "Alcoólicos", 22, "Zero", 25, "Gelatos Proteicos", 28, 7), 4)) + (ROUND(L354,4) &gt; INDEX('Tabela de ingredientes'!$O$1:$V$30, SWITCH(B354, "Gelatos de Leite", 8, "Sorbets", 11, "Gelatos de Leite com Fruta", 14, "Chocolate base água", 17, "Vegano", 20, "Alcoólicos", 23, "Zero", 26, "Gelatos Proteicos", 29, 8), 4)) + (ROUND(M354,4) &lt; INDEX('Tabela de ingredientes'!$O$1:$V$30, SWITCH(B354, "Gelatos de Leite", 7, "Sorbets", 10, "Gelatos de Leite com Fruta", 13, "Chocolate base água", 16, "Vegano", 19, "Alcoólicos", 22, "Zero", 25, "Gelatos Proteicos", 28, 7), 5)) + (ROUND(M354,4) &gt; INDEX('Tabela de ingredientes'!$O$1:$V$30, SWITCH(B354, "Gelatos de Leite", 8, "Sorbets", 11, "Gelatos de Leite com Fruta", 14, "Chocolate base água", 17, "Vegano", 20, "Alcoólicos", 23, "Zero", 26, "Gelatos Proteicos", 29, 8), 5)) + (ROUND(N354,4) &lt; INDEX('Tabela de ingredientes'!$O$1:$V$30, SWITCH(B354, "Gelatos de Leite", 7, "Sorbets", 10, "Gelatos de Leite com Fruta", 13, "Chocolate base água", 16, "Vegano", 19, "Alcoólicos", 22, "Zero", 25, "Gelatos Proteicos", 28, 7), 6)) + (ROUND(N354,4) &gt; INDEX('Tabela de ingredientes'!$O$1:$V$30, SWITCH(B354, "Gelatos de Leite", 8, "Sorbets", 11, "Gelatos de Leite com Fruta", 14, "Chocolate base água", 17, "Vegano", 20, "Alcoólicos", 23, "Zero", 26, "Gelatos Proteicos", 29, 8), 6)) + (ROUND(O354,4) &lt; INDEX('Tabela de ingredientes'!$O$1:$V$30, SWITCH(B354, "Gelatos de Leite", 7, "Sorbets", 10, "Gelatos de Leite com Fruta", 13, "Chocolate base água", 16, "Vegano", 19, "Alcoólicos", 22, "Zero", 25, "Gelatos Proteicos", 28, 7), 7)) + (ROUND(O354,4) &gt; INDEX('Tabela de ingredientes'!$O$1:$V$30, SWITCH(B354, "Gelatos de Leite", 8, "Sorbets", 11, "Gelatos de Leite com Fruta", 14, "Chocolate base água", 17, "Vegano", 20, "Alcoólicos", 23, "Zero", 26, "Gelatos Proteicos", 29, 8), 7)) + (ROUND(P354,4) &lt; INDEX('Tabela de ingredientes'!$O$1:$V$30, SWITCH(B354, "Gelatos de Leite", 7, "Sorbets", 10, "Gelatos de Leite com Fruta", 13, "Chocolate base água", 16, "Vegano", 19, "Alcoólicos", 22, "Zero", 25, "Gelatos Proteicos", 28, 7), 8)) + (ROUND(P354,4) &gt; INDEX('Tabela de ingredientes'!$O$1:$V$30, SWITCH(B354, "Gelatos de Leite", 8, "Sorbets", 11, "Gelatos de Leite com Fruta", 14, "Chocolate base água", 17, "Vegano", 20, "Alcoólicos", 23, "Zero", 26, "Gelatos Proteicos", 29, 8), 8)) + IF(B354="Gelatos Proteicos", (ROUND(Q354,4)&lt;'Tabela de ingredientes'!$W$28)+(ROUND(Q354,4)&gt;'Tabela de ingredientes'!$W$29), 0) = 0, "Ok", "Revisar"))</f>
        <v/>
      </c>
    </row>
    <row r="355">
      <c r="A355" s="264"/>
      <c r="B355" s="264" t="s">
        <v>187</v>
      </c>
      <c r="C355" s="264" t="s">
        <v>187</v>
      </c>
      <c r="D355" s="264" t="s">
        <v>187</v>
      </c>
      <c r="E355" s="264" t="s">
        <v>187</v>
      </c>
      <c r="F355" s="264" t="s">
        <v>187</v>
      </c>
      <c r="G355" s="264" t="s">
        <v>187</v>
      </c>
      <c r="H355" s="264" t="s">
        <v>187</v>
      </c>
      <c r="I355" s="264" t="s">
        <v>187</v>
      </c>
      <c r="J355" s="264" t="s">
        <v>187</v>
      </c>
      <c r="K355" s="264" t="s">
        <v>187</v>
      </c>
      <c r="L355" s="264" t="s">
        <v>187</v>
      </c>
      <c r="M355" s="264" t="s">
        <v>187</v>
      </c>
      <c r="N355" s="264" t="s">
        <v>187</v>
      </c>
      <c r="O355" s="264" t="s">
        <v>187</v>
      </c>
      <c r="P355" s="264" t="s">
        <v>187</v>
      </c>
      <c r="Q355" s="264" t="s">
        <v>187</v>
      </c>
      <c r="R355" s="264" t="s">
        <v>187</v>
      </c>
      <c r="S355" s="97" t="str">
        <f t="array" ref="S355">IF(A355="","", IF( (ROUND(I355,4) &lt; INDEX('Tabela de ingredientes'!$O$1:$V$30, SWITCH(B355, "Gelatos de Leite", 7, "Sorbets", 10, "Gelatos de Leite com Fruta", 13, "Chocolate base água", 16, "Vegano", 19, "Alcoólicos", 22, "Zero", 25, "Gelatos Proteicos", 28, 7), 1)) + (ROUND(I355,4) &gt; INDEX('Tabela de ingredientes'!$O$1:$V$30, SWITCH(B355, "Gelatos de Leite", 8, "Sorbets", 11, "Gelatos de Leite com Fruta", 14, "Chocolate base água", 17, "Vegano", 20, "Alcoólicos", 23, "Zero", 26, "Gelatos Proteicos", 29, 8), 1)) + (ROUND(J355,4) &lt; INDEX('Tabela de ingredientes'!$O$1:$V$30, SWITCH(B355, "Gelatos de Leite", 7, "Sorbets", 10, "Gelatos de Leite com Fruta", 13, "Chocolate base água", 16, "Vegano", 19, "Alcoólicos", 22, "Zero", 25, "Gelatos Proteicos", 28, 7), 2)) + (ROUND(J355,4) &gt; INDEX('Tabela de ingredientes'!$O$1:$V$30, SWITCH(B355, "Gelatos de Leite", 8, "Sorbets", 11, "Gelatos de Leite com Fruta", 14, "Chocolate base água", 17, "Vegano", 20, "Alcoólicos", 23, "Zero", 26, "Gelatos Proteicos", 29, 8), 2)) + (ROUND(K355,4) &lt; INDEX('Tabela de ingredientes'!$O$1:$V$30, SWITCH(B355, "Gelatos de Leite", 7, "Sorbets", 10, "Gelatos de Leite com Fruta", 13, "Chocolate base água", 16, "Vegano", 19, "Alcoólicos", 22, "Zero", 25, "Gelatos Proteicos", 28, 7), 3)) + (ROUND(K355,4) &gt; INDEX('Tabela de ingredientes'!$O$1:$V$30, SWITCH(B355, "Gelatos de Leite", 8, "Sorbets", 11, "Gelatos de Leite com Fruta", 14, "Chocolate base água", 17, "Vegano", 20, "Alcoólicos", 23, "Zero", 26, "Gelatos Proteicos", 29, 8), 3)) + (ROUND(L355,4) &lt; INDEX('Tabela de ingredientes'!$O$1:$V$30, SWITCH(B355, "Gelatos de Leite", 7, "Sorbets", 10, "Gelatos de Leite com Fruta", 13, "Chocolate base água", 16, "Vegano", 19, "Alcoólicos", 22, "Zero", 25, "Gelatos Proteicos", 28, 7), 4)) + (ROUND(L355,4) &gt; INDEX('Tabela de ingredientes'!$O$1:$V$30, SWITCH(B355, "Gelatos de Leite", 8, "Sorbets", 11, "Gelatos de Leite com Fruta", 14, "Chocolate base água", 17, "Vegano", 20, "Alcoólicos", 23, "Zero", 26, "Gelatos Proteicos", 29, 8), 4)) + (ROUND(M355,4) &lt; INDEX('Tabela de ingredientes'!$O$1:$V$30, SWITCH(B355, "Gelatos de Leite", 7, "Sorbets", 10, "Gelatos de Leite com Fruta", 13, "Chocolate base água", 16, "Vegano", 19, "Alcoólicos", 22, "Zero", 25, "Gelatos Proteicos", 28, 7), 5)) + (ROUND(M355,4) &gt; INDEX('Tabela de ingredientes'!$O$1:$V$30, SWITCH(B355, "Gelatos de Leite", 8, "Sorbets", 11, "Gelatos de Leite com Fruta", 14, "Chocolate base água", 17, "Vegano", 20, "Alcoólicos", 23, "Zero", 26, "Gelatos Proteicos", 29, 8), 5)) + (ROUND(N355,4) &lt; INDEX('Tabela de ingredientes'!$O$1:$V$30, SWITCH(B355, "Gelatos de Leite", 7, "Sorbets", 10, "Gelatos de Leite com Fruta", 13, "Chocolate base água", 16, "Vegano", 19, "Alcoólicos", 22, "Zero", 25, "Gelatos Proteicos", 28, 7), 6)) + (ROUND(N355,4) &gt; INDEX('Tabela de ingredientes'!$O$1:$V$30, SWITCH(B355, "Gelatos de Leite", 8, "Sorbets", 11, "Gelatos de Leite com Fruta", 14, "Chocolate base água", 17, "Vegano", 20, "Alcoólicos", 23, "Zero", 26, "Gelatos Proteicos", 29, 8), 6)) + (ROUND(O355,4) &lt; INDEX('Tabela de ingredientes'!$O$1:$V$30, SWITCH(B355, "Gelatos de Leite", 7, "Sorbets", 10, "Gelatos de Leite com Fruta", 13, "Chocolate base água", 16, "Vegano", 19, "Alcoólicos", 22, "Zero", 25, "Gelatos Proteicos", 28, 7), 7)) + (ROUND(O355,4) &gt; INDEX('Tabela de ingredientes'!$O$1:$V$30, SWITCH(B355, "Gelatos de Leite", 8, "Sorbets", 11, "Gelatos de Leite com Fruta", 14, "Chocolate base água", 17, "Vegano", 20, "Alcoólicos", 23, "Zero", 26, "Gelatos Proteicos", 29, 8), 7)) + (ROUND(P355,4) &lt; INDEX('Tabela de ingredientes'!$O$1:$V$30, SWITCH(B355, "Gelatos de Leite", 7, "Sorbets", 10, "Gelatos de Leite com Fruta", 13, "Chocolate base água", 16, "Vegano", 19, "Alcoólicos", 22, "Zero", 25, "Gelatos Proteicos", 28, 7), 8)) + (ROUND(P355,4) &gt; INDEX('Tabela de ingredientes'!$O$1:$V$30, SWITCH(B355, "Gelatos de Leite", 8, "Sorbets", 11, "Gelatos de Leite com Fruta", 14, "Chocolate base água", 17, "Vegano", 20, "Alcoólicos", 23, "Zero", 26, "Gelatos Proteicos", 29, 8), 8)) + IF(B355="Gelatos Proteicos", (ROUND(Q355,4)&lt;'Tabela de ingredientes'!$W$28)+(ROUND(Q355,4)&gt;'Tabela de ingredientes'!$W$29), 0) = 0, "Ok", "Revisar"))</f>
        <v/>
      </c>
    </row>
    <row r="356">
      <c r="A356" s="264"/>
      <c r="B356" s="264" t="s">
        <v>187</v>
      </c>
      <c r="C356" s="264" t="s">
        <v>187</v>
      </c>
      <c r="D356" s="264" t="s">
        <v>187</v>
      </c>
      <c r="E356" s="264" t="s">
        <v>187</v>
      </c>
      <c r="F356" s="264" t="s">
        <v>187</v>
      </c>
      <c r="G356" s="264" t="s">
        <v>187</v>
      </c>
      <c r="H356" s="264" t="s">
        <v>187</v>
      </c>
      <c r="I356" s="264" t="s">
        <v>187</v>
      </c>
      <c r="J356" s="264" t="s">
        <v>187</v>
      </c>
      <c r="K356" s="264" t="s">
        <v>187</v>
      </c>
      <c r="L356" s="264" t="s">
        <v>187</v>
      </c>
      <c r="M356" s="264" t="s">
        <v>187</v>
      </c>
      <c r="N356" s="264" t="s">
        <v>187</v>
      </c>
      <c r="O356" s="264" t="s">
        <v>187</v>
      </c>
      <c r="P356" s="264" t="s">
        <v>187</v>
      </c>
      <c r="Q356" s="264" t="s">
        <v>187</v>
      </c>
      <c r="R356" s="264" t="s">
        <v>187</v>
      </c>
      <c r="S356" s="97" t="str">
        <f t="array" ref="S356">IF(A356="","", IF( (ROUND(I356,4) &lt; INDEX('Tabela de ingredientes'!$O$1:$V$30, SWITCH(B356, "Gelatos de Leite", 7, "Sorbets", 10, "Gelatos de Leite com Fruta", 13, "Chocolate base água", 16, "Vegano", 19, "Alcoólicos", 22, "Zero", 25, "Gelatos Proteicos", 28, 7), 1)) + (ROUND(I356,4) &gt; INDEX('Tabela de ingredientes'!$O$1:$V$30, SWITCH(B356, "Gelatos de Leite", 8, "Sorbets", 11, "Gelatos de Leite com Fruta", 14, "Chocolate base água", 17, "Vegano", 20, "Alcoólicos", 23, "Zero", 26, "Gelatos Proteicos", 29, 8), 1)) + (ROUND(J356,4) &lt; INDEX('Tabela de ingredientes'!$O$1:$V$30, SWITCH(B356, "Gelatos de Leite", 7, "Sorbets", 10, "Gelatos de Leite com Fruta", 13, "Chocolate base água", 16, "Vegano", 19, "Alcoólicos", 22, "Zero", 25, "Gelatos Proteicos", 28, 7), 2)) + (ROUND(J356,4) &gt; INDEX('Tabela de ingredientes'!$O$1:$V$30, SWITCH(B356, "Gelatos de Leite", 8, "Sorbets", 11, "Gelatos de Leite com Fruta", 14, "Chocolate base água", 17, "Vegano", 20, "Alcoólicos", 23, "Zero", 26, "Gelatos Proteicos", 29, 8), 2)) + (ROUND(K356,4) &lt; INDEX('Tabela de ingredientes'!$O$1:$V$30, SWITCH(B356, "Gelatos de Leite", 7, "Sorbets", 10, "Gelatos de Leite com Fruta", 13, "Chocolate base água", 16, "Vegano", 19, "Alcoólicos", 22, "Zero", 25, "Gelatos Proteicos", 28, 7), 3)) + (ROUND(K356,4) &gt; INDEX('Tabela de ingredientes'!$O$1:$V$30, SWITCH(B356, "Gelatos de Leite", 8, "Sorbets", 11, "Gelatos de Leite com Fruta", 14, "Chocolate base água", 17, "Vegano", 20, "Alcoólicos", 23, "Zero", 26, "Gelatos Proteicos", 29, 8), 3)) + (ROUND(L356,4) &lt; INDEX('Tabela de ingredientes'!$O$1:$V$30, SWITCH(B356, "Gelatos de Leite", 7, "Sorbets", 10, "Gelatos de Leite com Fruta", 13, "Chocolate base água", 16, "Vegano", 19, "Alcoólicos", 22, "Zero", 25, "Gelatos Proteicos", 28, 7), 4)) + (ROUND(L356,4) &gt; INDEX('Tabela de ingredientes'!$O$1:$V$30, SWITCH(B356, "Gelatos de Leite", 8, "Sorbets", 11, "Gelatos de Leite com Fruta", 14, "Chocolate base água", 17, "Vegano", 20, "Alcoólicos", 23, "Zero", 26, "Gelatos Proteicos", 29, 8), 4)) + (ROUND(M356,4) &lt; INDEX('Tabela de ingredientes'!$O$1:$V$30, SWITCH(B356, "Gelatos de Leite", 7, "Sorbets", 10, "Gelatos de Leite com Fruta", 13, "Chocolate base água", 16, "Vegano", 19, "Alcoólicos", 22, "Zero", 25, "Gelatos Proteicos", 28, 7), 5)) + (ROUND(M356,4) &gt; INDEX('Tabela de ingredientes'!$O$1:$V$30, SWITCH(B356, "Gelatos de Leite", 8, "Sorbets", 11, "Gelatos de Leite com Fruta", 14, "Chocolate base água", 17, "Vegano", 20, "Alcoólicos", 23, "Zero", 26, "Gelatos Proteicos", 29, 8), 5)) + (ROUND(N356,4) &lt; INDEX('Tabela de ingredientes'!$O$1:$V$30, SWITCH(B356, "Gelatos de Leite", 7, "Sorbets", 10, "Gelatos de Leite com Fruta", 13, "Chocolate base água", 16, "Vegano", 19, "Alcoólicos", 22, "Zero", 25, "Gelatos Proteicos", 28, 7), 6)) + (ROUND(N356,4) &gt; INDEX('Tabela de ingredientes'!$O$1:$V$30, SWITCH(B356, "Gelatos de Leite", 8, "Sorbets", 11, "Gelatos de Leite com Fruta", 14, "Chocolate base água", 17, "Vegano", 20, "Alcoólicos", 23, "Zero", 26, "Gelatos Proteicos", 29, 8), 6)) + (ROUND(O356,4) &lt; INDEX('Tabela de ingredientes'!$O$1:$V$30, SWITCH(B356, "Gelatos de Leite", 7, "Sorbets", 10, "Gelatos de Leite com Fruta", 13, "Chocolate base água", 16, "Vegano", 19, "Alcoólicos", 22, "Zero", 25, "Gelatos Proteicos", 28, 7), 7)) + (ROUND(O356,4) &gt; INDEX('Tabela de ingredientes'!$O$1:$V$30, SWITCH(B356, "Gelatos de Leite", 8, "Sorbets", 11, "Gelatos de Leite com Fruta", 14, "Chocolate base água", 17, "Vegano", 20, "Alcoólicos", 23, "Zero", 26, "Gelatos Proteicos", 29, 8), 7)) + (ROUND(P356,4) &lt; INDEX('Tabela de ingredientes'!$O$1:$V$30, SWITCH(B356, "Gelatos de Leite", 7, "Sorbets", 10, "Gelatos de Leite com Fruta", 13, "Chocolate base água", 16, "Vegano", 19, "Alcoólicos", 22, "Zero", 25, "Gelatos Proteicos", 28, 7), 8)) + (ROUND(P356,4) &gt; INDEX('Tabela de ingredientes'!$O$1:$V$30, SWITCH(B356, "Gelatos de Leite", 8, "Sorbets", 11, "Gelatos de Leite com Fruta", 14, "Chocolate base água", 17, "Vegano", 20, "Alcoólicos", 23, "Zero", 26, "Gelatos Proteicos", 29, 8), 8)) + IF(B356="Gelatos Proteicos", (ROUND(Q356,4)&lt;'Tabela de ingredientes'!$W$28)+(ROUND(Q356,4)&gt;'Tabela de ingredientes'!$W$29), 0) = 0, "Ok", "Revisar"))</f>
        <v/>
      </c>
    </row>
    <row r="357">
      <c r="A357" s="264"/>
      <c r="B357" s="264" t="s">
        <v>187</v>
      </c>
      <c r="C357" s="264" t="s">
        <v>187</v>
      </c>
      <c r="D357" s="264" t="s">
        <v>187</v>
      </c>
      <c r="E357" s="264" t="s">
        <v>187</v>
      </c>
      <c r="F357" s="264" t="s">
        <v>187</v>
      </c>
      <c r="G357" s="264" t="s">
        <v>187</v>
      </c>
      <c r="H357" s="264" t="s">
        <v>187</v>
      </c>
      <c r="I357" s="264" t="s">
        <v>187</v>
      </c>
      <c r="J357" s="264" t="s">
        <v>187</v>
      </c>
      <c r="K357" s="264" t="s">
        <v>187</v>
      </c>
      <c r="L357" s="264" t="s">
        <v>187</v>
      </c>
      <c r="M357" s="264" t="s">
        <v>187</v>
      </c>
      <c r="N357" s="264" t="s">
        <v>187</v>
      </c>
      <c r="O357" s="264" t="s">
        <v>187</v>
      </c>
      <c r="P357" s="264" t="s">
        <v>187</v>
      </c>
      <c r="Q357" s="264" t="s">
        <v>187</v>
      </c>
      <c r="R357" s="264" t="s">
        <v>187</v>
      </c>
      <c r="S357" s="97" t="str">
        <f t="array" ref="S357">IF(A357="","", IF( (ROUND(I357,4) &lt; INDEX('Tabela de ingredientes'!$O$1:$V$30, SWITCH(B357, "Gelatos de Leite", 7, "Sorbets", 10, "Gelatos de Leite com Fruta", 13, "Chocolate base água", 16, "Vegano", 19, "Alcoólicos", 22, "Zero", 25, "Gelatos Proteicos", 28, 7), 1)) + (ROUND(I357,4) &gt; INDEX('Tabela de ingredientes'!$O$1:$V$30, SWITCH(B357, "Gelatos de Leite", 8, "Sorbets", 11, "Gelatos de Leite com Fruta", 14, "Chocolate base água", 17, "Vegano", 20, "Alcoólicos", 23, "Zero", 26, "Gelatos Proteicos", 29, 8), 1)) + (ROUND(J357,4) &lt; INDEX('Tabela de ingredientes'!$O$1:$V$30, SWITCH(B357, "Gelatos de Leite", 7, "Sorbets", 10, "Gelatos de Leite com Fruta", 13, "Chocolate base água", 16, "Vegano", 19, "Alcoólicos", 22, "Zero", 25, "Gelatos Proteicos", 28, 7), 2)) + (ROUND(J357,4) &gt; INDEX('Tabela de ingredientes'!$O$1:$V$30, SWITCH(B357, "Gelatos de Leite", 8, "Sorbets", 11, "Gelatos de Leite com Fruta", 14, "Chocolate base água", 17, "Vegano", 20, "Alcoólicos", 23, "Zero", 26, "Gelatos Proteicos", 29, 8), 2)) + (ROUND(K357,4) &lt; INDEX('Tabela de ingredientes'!$O$1:$V$30, SWITCH(B357, "Gelatos de Leite", 7, "Sorbets", 10, "Gelatos de Leite com Fruta", 13, "Chocolate base água", 16, "Vegano", 19, "Alcoólicos", 22, "Zero", 25, "Gelatos Proteicos", 28, 7), 3)) + (ROUND(K357,4) &gt; INDEX('Tabela de ingredientes'!$O$1:$V$30, SWITCH(B357, "Gelatos de Leite", 8, "Sorbets", 11, "Gelatos de Leite com Fruta", 14, "Chocolate base água", 17, "Vegano", 20, "Alcoólicos", 23, "Zero", 26, "Gelatos Proteicos", 29, 8), 3)) + (ROUND(L357,4) &lt; INDEX('Tabela de ingredientes'!$O$1:$V$30, SWITCH(B357, "Gelatos de Leite", 7, "Sorbets", 10, "Gelatos de Leite com Fruta", 13, "Chocolate base água", 16, "Vegano", 19, "Alcoólicos", 22, "Zero", 25, "Gelatos Proteicos", 28, 7), 4)) + (ROUND(L357,4) &gt; INDEX('Tabela de ingredientes'!$O$1:$V$30, SWITCH(B357, "Gelatos de Leite", 8, "Sorbets", 11, "Gelatos de Leite com Fruta", 14, "Chocolate base água", 17, "Vegano", 20, "Alcoólicos", 23, "Zero", 26, "Gelatos Proteicos", 29, 8), 4)) + (ROUND(M357,4) &lt; INDEX('Tabela de ingredientes'!$O$1:$V$30, SWITCH(B357, "Gelatos de Leite", 7, "Sorbets", 10, "Gelatos de Leite com Fruta", 13, "Chocolate base água", 16, "Vegano", 19, "Alcoólicos", 22, "Zero", 25, "Gelatos Proteicos", 28, 7), 5)) + (ROUND(M357,4) &gt; INDEX('Tabela de ingredientes'!$O$1:$V$30, SWITCH(B357, "Gelatos de Leite", 8, "Sorbets", 11, "Gelatos de Leite com Fruta", 14, "Chocolate base água", 17, "Vegano", 20, "Alcoólicos", 23, "Zero", 26, "Gelatos Proteicos", 29, 8), 5)) + (ROUND(N357,4) &lt; INDEX('Tabela de ingredientes'!$O$1:$V$30, SWITCH(B357, "Gelatos de Leite", 7, "Sorbets", 10, "Gelatos de Leite com Fruta", 13, "Chocolate base água", 16, "Vegano", 19, "Alcoólicos", 22, "Zero", 25, "Gelatos Proteicos", 28, 7), 6)) + (ROUND(N357,4) &gt; INDEX('Tabela de ingredientes'!$O$1:$V$30, SWITCH(B357, "Gelatos de Leite", 8, "Sorbets", 11, "Gelatos de Leite com Fruta", 14, "Chocolate base água", 17, "Vegano", 20, "Alcoólicos", 23, "Zero", 26, "Gelatos Proteicos", 29, 8), 6)) + (ROUND(O357,4) &lt; INDEX('Tabela de ingredientes'!$O$1:$V$30, SWITCH(B357, "Gelatos de Leite", 7, "Sorbets", 10, "Gelatos de Leite com Fruta", 13, "Chocolate base água", 16, "Vegano", 19, "Alcoólicos", 22, "Zero", 25, "Gelatos Proteicos", 28, 7), 7)) + (ROUND(O357,4) &gt; INDEX('Tabela de ingredientes'!$O$1:$V$30, SWITCH(B357, "Gelatos de Leite", 8, "Sorbets", 11, "Gelatos de Leite com Fruta", 14, "Chocolate base água", 17, "Vegano", 20, "Alcoólicos", 23, "Zero", 26, "Gelatos Proteicos", 29, 8), 7)) + (ROUND(P357,4) &lt; INDEX('Tabela de ingredientes'!$O$1:$V$30, SWITCH(B357, "Gelatos de Leite", 7, "Sorbets", 10, "Gelatos de Leite com Fruta", 13, "Chocolate base água", 16, "Vegano", 19, "Alcoólicos", 22, "Zero", 25, "Gelatos Proteicos", 28, 7), 8)) + (ROUND(P357,4) &gt; INDEX('Tabela de ingredientes'!$O$1:$V$30, SWITCH(B357, "Gelatos de Leite", 8, "Sorbets", 11, "Gelatos de Leite com Fruta", 14, "Chocolate base água", 17, "Vegano", 20, "Alcoólicos", 23, "Zero", 26, "Gelatos Proteicos", 29, 8), 8)) + IF(B357="Gelatos Proteicos", (ROUND(Q357,4)&lt;'Tabela de ingredientes'!$W$28)+(ROUND(Q357,4)&gt;'Tabela de ingredientes'!$W$29), 0) = 0, "Ok", "Revisar"))</f>
        <v/>
      </c>
    </row>
    <row r="358">
      <c r="A358" s="264"/>
      <c r="B358" s="264" t="s">
        <v>187</v>
      </c>
      <c r="C358" s="264" t="s">
        <v>187</v>
      </c>
      <c r="D358" s="264" t="s">
        <v>187</v>
      </c>
      <c r="E358" s="264" t="s">
        <v>187</v>
      </c>
      <c r="F358" s="264" t="s">
        <v>187</v>
      </c>
      <c r="G358" s="264" t="s">
        <v>187</v>
      </c>
      <c r="H358" s="264" t="s">
        <v>187</v>
      </c>
      <c r="I358" s="264" t="s">
        <v>187</v>
      </c>
      <c r="J358" s="264" t="s">
        <v>187</v>
      </c>
      <c r="K358" s="264" t="s">
        <v>187</v>
      </c>
      <c r="L358" s="264" t="s">
        <v>187</v>
      </c>
      <c r="M358" s="264" t="s">
        <v>187</v>
      </c>
      <c r="N358" s="264" t="s">
        <v>187</v>
      </c>
      <c r="O358" s="264" t="s">
        <v>187</v>
      </c>
      <c r="P358" s="264" t="s">
        <v>187</v>
      </c>
      <c r="Q358" s="264" t="s">
        <v>187</v>
      </c>
      <c r="R358" s="264" t="s">
        <v>187</v>
      </c>
      <c r="S358" s="97" t="str">
        <f t="array" ref="S358">IF(A358="","", IF( (ROUND(I358,4) &lt; INDEX('Tabela de ingredientes'!$O$1:$V$30, SWITCH(B358, "Gelatos de Leite", 7, "Sorbets", 10, "Gelatos de Leite com Fruta", 13, "Chocolate base água", 16, "Vegano", 19, "Alcoólicos", 22, "Zero", 25, "Gelatos Proteicos", 28, 7), 1)) + (ROUND(I358,4) &gt; INDEX('Tabela de ingredientes'!$O$1:$V$30, SWITCH(B358, "Gelatos de Leite", 8, "Sorbets", 11, "Gelatos de Leite com Fruta", 14, "Chocolate base água", 17, "Vegano", 20, "Alcoólicos", 23, "Zero", 26, "Gelatos Proteicos", 29, 8), 1)) + (ROUND(J358,4) &lt; INDEX('Tabela de ingredientes'!$O$1:$V$30, SWITCH(B358, "Gelatos de Leite", 7, "Sorbets", 10, "Gelatos de Leite com Fruta", 13, "Chocolate base água", 16, "Vegano", 19, "Alcoólicos", 22, "Zero", 25, "Gelatos Proteicos", 28, 7), 2)) + (ROUND(J358,4) &gt; INDEX('Tabela de ingredientes'!$O$1:$V$30, SWITCH(B358, "Gelatos de Leite", 8, "Sorbets", 11, "Gelatos de Leite com Fruta", 14, "Chocolate base água", 17, "Vegano", 20, "Alcoólicos", 23, "Zero", 26, "Gelatos Proteicos", 29, 8), 2)) + (ROUND(K358,4) &lt; INDEX('Tabela de ingredientes'!$O$1:$V$30, SWITCH(B358, "Gelatos de Leite", 7, "Sorbets", 10, "Gelatos de Leite com Fruta", 13, "Chocolate base água", 16, "Vegano", 19, "Alcoólicos", 22, "Zero", 25, "Gelatos Proteicos", 28, 7), 3)) + (ROUND(K358,4) &gt; INDEX('Tabela de ingredientes'!$O$1:$V$30, SWITCH(B358, "Gelatos de Leite", 8, "Sorbets", 11, "Gelatos de Leite com Fruta", 14, "Chocolate base água", 17, "Vegano", 20, "Alcoólicos", 23, "Zero", 26, "Gelatos Proteicos", 29, 8), 3)) + (ROUND(L358,4) &lt; INDEX('Tabela de ingredientes'!$O$1:$V$30, SWITCH(B358, "Gelatos de Leite", 7, "Sorbets", 10, "Gelatos de Leite com Fruta", 13, "Chocolate base água", 16, "Vegano", 19, "Alcoólicos", 22, "Zero", 25, "Gelatos Proteicos", 28, 7), 4)) + (ROUND(L358,4) &gt; INDEX('Tabela de ingredientes'!$O$1:$V$30, SWITCH(B358, "Gelatos de Leite", 8, "Sorbets", 11, "Gelatos de Leite com Fruta", 14, "Chocolate base água", 17, "Vegano", 20, "Alcoólicos", 23, "Zero", 26, "Gelatos Proteicos", 29, 8), 4)) + (ROUND(M358,4) &lt; INDEX('Tabela de ingredientes'!$O$1:$V$30, SWITCH(B358, "Gelatos de Leite", 7, "Sorbets", 10, "Gelatos de Leite com Fruta", 13, "Chocolate base água", 16, "Vegano", 19, "Alcoólicos", 22, "Zero", 25, "Gelatos Proteicos", 28, 7), 5)) + (ROUND(M358,4) &gt; INDEX('Tabela de ingredientes'!$O$1:$V$30, SWITCH(B358, "Gelatos de Leite", 8, "Sorbets", 11, "Gelatos de Leite com Fruta", 14, "Chocolate base água", 17, "Vegano", 20, "Alcoólicos", 23, "Zero", 26, "Gelatos Proteicos", 29, 8), 5)) + (ROUND(N358,4) &lt; INDEX('Tabela de ingredientes'!$O$1:$V$30, SWITCH(B358, "Gelatos de Leite", 7, "Sorbets", 10, "Gelatos de Leite com Fruta", 13, "Chocolate base água", 16, "Vegano", 19, "Alcoólicos", 22, "Zero", 25, "Gelatos Proteicos", 28, 7), 6)) + (ROUND(N358,4) &gt; INDEX('Tabela de ingredientes'!$O$1:$V$30, SWITCH(B358, "Gelatos de Leite", 8, "Sorbets", 11, "Gelatos de Leite com Fruta", 14, "Chocolate base água", 17, "Vegano", 20, "Alcoólicos", 23, "Zero", 26, "Gelatos Proteicos", 29, 8), 6)) + (ROUND(O358,4) &lt; INDEX('Tabela de ingredientes'!$O$1:$V$30, SWITCH(B358, "Gelatos de Leite", 7, "Sorbets", 10, "Gelatos de Leite com Fruta", 13, "Chocolate base água", 16, "Vegano", 19, "Alcoólicos", 22, "Zero", 25, "Gelatos Proteicos", 28, 7), 7)) + (ROUND(O358,4) &gt; INDEX('Tabela de ingredientes'!$O$1:$V$30, SWITCH(B358, "Gelatos de Leite", 8, "Sorbets", 11, "Gelatos de Leite com Fruta", 14, "Chocolate base água", 17, "Vegano", 20, "Alcoólicos", 23, "Zero", 26, "Gelatos Proteicos", 29, 8), 7)) + (ROUND(P358,4) &lt; INDEX('Tabela de ingredientes'!$O$1:$V$30, SWITCH(B358, "Gelatos de Leite", 7, "Sorbets", 10, "Gelatos de Leite com Fruta", 13, "Chocolate base água", 16, "Vegano", 19, "Alcoólicos", 22, "Zero", 25, "Gelatos Proteicos", 28, 7), 8)) + (ROUND(P358,4) &gt; INDEX('Tabela de ingredientes'!$O$1:$V$30, SWITCH(B358, "Gelatos de Leite", 8, "Sorbets", 11, "Gelatos de Leite com Fruta", 14, "Chocolate base água", 17, "Vegano", 20, "Alcoólicos", 23, "Zero", 26, "Gelatos Proteicos", 29, 8), 8)) + IF(B358="Gelatos Proteicos", (ROUND(Q358,4)&lt;'Tabela de ingredientes'!$W$28)+(ROUND(Q358,4)&gt;'Tabela de ingredientes'!$W$29), 0) = 0, "Ok", "Revisar"))</f>
        <v/>
      </c>
    </row>
    <row r="359">
      <c r="A359" s="264"/>
      <c r="B359" s="264" t="s">
        <v>187</v>
      </c>
      <c r="C359" s="264" t="s">
        <v>187</v>
      </c>
      <c r="D359" s="264" t="s">
        <v>187</v>
      </c>
      <c r="E359" s="264" t="s">
        <v>187</v>
      </c>
      <c r="F359" s="264" t="s">
        <v>187</v>
      </c>
      <c r="G359" s="264" t="s">
        <v>187</v>
      </c>
      <c r="H359" s="264" t="s">
        <v>187</v>
      </c>
      <c r="I359" s="264" t="s">
        <v>187</v>
      </c>
      <c r="J359" s="264" t="s">
        <v>187</v>
      </c>
      <c r="K359" s="264" t="s">
        <v>187</v>
      </c>
      <c r="L359" s="264" t="s">
        <v>187</v>
      </c>
      <c r="M359" s="264" t="s">
        <v>187</v>
      </c>
      <c r="N359" s="264" t="s">
        <v>187</v>
      </c>
      <c r="O359" s="264" t="s">
        <v>187</v>
      </c>
      <c r="P359" s="264" t="s">
        <v>187</v>
      </c>
      <c r="Q359" s="264" t="s">
        <v>187</v>
      </c>
      <c r="R359" s="264" t="s">
        <v>187</v>
      </c>
      <c r="S359" s="97" t="str">
        <f t="array" ref="S359">IF(A359="","", IF( (ROUND(I359,4) &lt; INDEX('Tabela de ingredientes'!$O$1:$V$30, SWITCH(B359, "Gelatos de Leite", 7, "Sorbets", 10, "Gelatos de Leite com Fruta", 13, "Chocolate base água", 16, "Vegano", 19, "Alcoólicos", 22, "Zero", 25, "Gelatos Proteicos", 28, 7), 1)) + (ROUND(I359,4) &gt; INDEX('Tabela de ingredientes'!$O$1:$V$30, SWITCH(B359, "Gelatos de Leite", 8, "Sorbets", 11, "Gelatos de Leite com Fruta", 14, "Chocolate base água", 17, "Vegano", 20, "Alcoólicos", 23, "Zero", 26, "Gelatos Proteicos", 29, 8), 1)) + (ROUND(J359,4) &lt; INDEX('Tabela de ingredientes'!$O$1:$V$30, SWITCH(B359, "Gelatos de Leite", 7, "Sorbets", 10, "Gelatos de Leite com Fruta", 13, "Chocolate base água", 16, "Vegano", 19, "Alcoólicos", 22, "Zero", 25, "Gelatos Proteicos", 28, 7), 2)) + (ROUND(J359,4) &gt; INDEX('Tabela de ingredientes'!$O$1:$V$30, SWITCH(B359, "Gelatos de Leite", 8, "Sorbets", 11, "Gelatos de Leite com Fruta", 14, "Chocolate base água", 17, "Vegano", 20, "Alcoólicos", 23, "Zero", 26, "Gelatos Proteicos", 29, 8), 2)) + (ROUND(K359,4) &lt; INDEX('Tabela de ingredientes'!$O$1:$V$30, SWITCH(B359, "Gelatos de Leite", 7, "Sorbets", 10, "Gelatos de Leite com Fruta", 13, "Chocolate base água", 16, "Vegano", 19, "Alcoólicos", 22, "Zero", 25, "Gelatos Proteicos", 28, 7), 3)) + (ROUND(K359,4) &gt; INDEX('Tabela de ingredientes'!$O$1:$V$30, SWITCH(B359, "Gelatos de Leite", 8, "Sorbets", 11, "Gelatos de Leite com Fruta", 14, "Chocolate base água", 17, "Vegano", 20, "Alcoólicos", 23, "Zero", 26, "Gelatos Proteicos", 29, 8), 3)) + (ROUND(L359,4) &lt; INDEX('Tabela de ingredientes'!$O$1:$V$30, SWITCH(B359, "Gelatos de Leite", 7, "Sorbets", 10, "Gelatos de Leite com Fruta", 13, "Chocolate base água", 16, "Vegano", 19, "Alcoólicos", 22, "Zero", 25, "Gelatos Proteicos", 28, 7), 4)) + (ROUND(L359,4) &gt; INDEX('Tabela de ingredientes'!$O$1:$V$30, SWITCH(B359, "Gelatos de Leite", 8, "Sorbets", 11, "Gelatos de Leite com Fruta", 14, "Chocolate base água", 17, "Vegano", 20, "Alcoólicos", 23, "Zero", 26, "Gelatos Proteicos", 29, 8), 4)) + (ROUND(M359,4) &lt; INDEX('Tabela de ingredientes'!$O$1:$V$30, SWITCH(B359, "Gelatos de Leite", 7, "Sorbets", 10, "Gelatos de Leite com Fruta", 13, "Chocolate base água", 16, "Vegano", 19, "Alcoólicos", 22, "Zero", 25, "Gelatos Proteicos", 28, 7), 5)) + (ROUND(M359,4) &gt; INDEX('Tabela de ingredientes'!$O$1:$V$30, SWITCH(B359, "Gelatos de Leite", 8, "Sorbets", 11, "Gelatos de Leite com Fruta", 14, "Chocolate base água", 17, "Vegano", 20, "Alcoólicos", 23, "Zero", 26, "Gelatos Proteicos", 29, 8), 5)) + (ROUND(N359,4) &lt; INDEX('Tabela de ingredientes'!$O$1:$V$30, SWITCH(B359, "Gelatos de Leite", 7, "Sorbets", 10, "Gelatos de Leite com Fruta", 13, "Chocolate base água", 16, "Vegano", 19, "Alcoólicos", 22, "Zero", 25, "Gelatos Proteicos", 28, 7), 6)) + (ROUND(N359,4) &gt; INDEX('Tabela de ingredientes'!$O$1:$V$30, SWITCH(B359, "Gelatos de Leite", 8, "Sorbets", 11, "Gelatos de Leite com Fruta", 14, "Chocolate base água", 17, "Vegano", 20, "Alcoólicos", 23, "Zero", 26, "Gelatos Proteicos", 29, 8), 6)) + (ROUND(O359,4) &lt; INDEX('Tabela de ingredientes'!$O$1:$V$30, SWITCH(B359, "Gelatos de Leite", 7, "Sorbets", 10, "Gelatos de Leite com Fruta", 13, "Chocolate base água", 16, "Vegano", 19, "Alcoólicos", 22, "Zero", 25, "Gelatos Proteicos", 28, 7), 7)) + (ROUND(O359,4) &gt; INDEX('Tabela de ingredientes'!$O$1:$V$30, SWITCH(B359, "Gelatos de Leite", 8, "Sorbets", 11, "Gelatos de Leite com Fruta", 14, "Chocolate base água", 17, "Vegano", 20, "Alcoólicos", 23, "Zero", 26, "Gelatos Proteicos", 29, 8), 7)) + (ROUND(P359,4) &lt; INDEX('Tabela de ingredientes'!$O$1:$V$30, SWITCH(B359, "Gelatos de Leite", 7, "Sorbets", 10, "Gelatos de Leite com Fruta", 13, "Chocolate base água", 16, "Vegano", 19, "Alcoólicos", 22, "Zero", 25, "Gelatos Proteicos", 28, 7), 8)) + (ROUND(P359,4) &gt; INDEX('Tabela de ingredientes'!$O$1:$V$30, SWITCH(B359, "Gelatos de Leite", 8, "Sorbets", 11, "Gelatos de Leite com Fruta", 14, "Chocolate base água", 17, "Vegano", 20, "Alcoólicos", 23, "Zero", 26, "Gelatos Proteicos", 29, 8), 8)) + IF(B359="Gelatos Proteicos", (ROUND(Q359,4)&lt;'Tabela de ingredientes'!$W$28)+(ROUND(Q359,4)&gt;'Tabela de ingredientes'!$W$29), 0) = 0, "Ok", "Revisar"))</f>
        <v/>
      </c>
    </row>
    <row r="360">
      <c r="A360" s="264"/>
      <c r="B360" s="264" t="s">
        <v>187</v>
      </c>
      <c r="C360" s="264" t="s">
        <v>187</v>
      </c>
      <c r="D360" s="264" t="s">
        <v>187</v>
      </c>
      <c r="E360" s="264" t="s">
        <v>187</v>
      </c>
      <c r="F360" s="264" t="s">
        <v>187</v>
      </c>
      <c r="G360" s="264" t="s">
        <v>187</v>
      </c>
      <c r="H360" s="264" t="s">
        <v>187</v>
      </c>
      <c r="I360" s="264" t="s">
        <v>187</v>
      </c>
      <c r="J360" s="264" t="s">
        <v>187</v>
      </c>
      <c r="K360" s="264" t="s">
        <v>187</v>
      </c>
      <c r="L360" s="264" t="s">
        <v>187</v>
      </c>
      <c r="M360" s="264" t="s">
        <v>187</v>
      </c>
      <c r="N360" s="264" t="s">
        <v>187</v>
      </c>
      <c r="O360" s="264" t="s">
        <v>187</v>
      </c>
      <c r="P360" s="264" t="s">
        <v>187</v>
      </c>
      <c r="Q360" s="264" t="s">
        <v>187</v>
      </c>
      <c r="R360" s="264" t="s">
        <v>187</v>
      </c>
      <c r="S360" s="97" t="str">
        <f t="array" ref="S360">IF(A360="","", IF( (ROUND(I360,4) &lt; INDEX('Tabela de ingredientes'!$O$1:$V$30, SWITCH(B360, "Gelatos de Leite", 7, "Sorbets", 10, "Gelatos de Leite com Fruta", 13, "Chocolate base água", 16, "Vegano", 19, "Alcoólicos", 22, "Zero", 25, "Gelatos Proteicos", 28, 7), 1)) + (ROUND(I360,4) &gt; INDEX('Tabela de ingredientes'!$O$1:$V$30, SWITCH(B360, "Gelatos de Leite", 8, "Sorbets", 11, "Gelatos de Leite com Fruta", 14, "Chocolate base água", 17, "Vegano", 20, "Alcoólicos", 23, "Zero", 26, "Gelatos Proteicos", 29, 8), 1)) + (ROUND(J360,4) &lt; INDEX('Tabela de ingredientes'!$O$1:$V$30, SWITCH(B360, "Gelatos de Leite", 7, "Sorbets", 10, "Gelatos de Leite com Fruta", 13, "Chocolate base água", 16, "Vegano", 19, "Alcoólicos", 22, "Zero", 25, "Gelatos Proteicos", 28, 7), 2)) + (ROUND(J360,4) &gt; INDEX('Tabela de ingredientes'!$O$1:$V$30, SWITCH(B360, "Gelatos de Leite", 8, "Sorbets", 11, "Gelatos de Leite com Fruta", 14, "Chocolate base água", 17, "Vegano", 20, "Alcoólicos", 23, "Zero", 26, "Gelatos Proteicos", 29, 8), 2)) + (ROUND(K360,4) &lt; INDEX('Tabela de ingredientes'!$O$1:$V$30, SWITCH(B360, "Gelatos de Leite", 7, "Sorbets", 10, "Gelatos de Leite com Fruta", 13, "Chocolate base água", 16, "Vegano", 19, "Alcoólicos", 22, "Zero", 25, "Gelatos Proteicos", 28, 7), 3)) + (ROUND(K360,4) &gt; INDEX('Tabela de ingredientes'!$O$1:$V$30, SWITCH(B360, "Gelatos de Leite", 8, "Sorbets", 11, "Gelatos de Leite com Fruta", 14, "Chocolate base água", 17, "Vegano", 20, "Alcoólicos", 23, "Zero", 26, "Gelatos Proteicos", 29, 8), 3)) + (ROUND(L360,4) &lt; INDEX('Tabela de ingredientes'!$O$1:$V$30, SWITCH(B360, "Gelatos de Leite", 7, "Sorbets", 10, "Gelatos de Leite com Fruta", 13, "Chocolate base água", 16, "Vegano", 19, "Alcoólicos", 22, "Zero", 25, "Gelatos Proteicos", 28, 7), 4)) + (ROUND(L360,4) &gt; INDEX('Tabela de ingredientes'!$O$1:$V$30, SWITCH(B360, "Gelatos de Leite", 8, "Sorbets", 11, "Gelatos de Leite com Fruta", 14, "Chocolate base água", 17, "Vegano", 20, "Alcoólicos", 23, "Zero", 26, "Gelatos Proteicos", 29, 8), 4)) + (ROUND(M360,4) &lt; INDEX('Tabela de ingredientes'!$O$1:$V$30, SWITCH(B360, "Gelatos de Leite", 7, "Sorbets", 10, "Gelatos de Leite com Fruta", 13, "Chocolate base água", 16, "Vegano", 19, "Alcoólicos", 22, "Zero", 25, "Gelatos Proteicos", 28, 7), 5)) + (ROUND(M360,4) &gt; INDEX('Tabela de ingredientes'!$O$1:$V$30, SWITCH(B360, "Gelatos de Leite", 8, "Sorbets", 11, "Gelatos de Leite com Fruta", 14, "Chocolate base água", 17, "Vegano", 20, "Alcoólicos", 23, "Zero", 26, "Gelatos Proteicos", 29, 8), 5)) + (ROUND(N360,4) &lt; INDEX('Tabela de ingredientes'!$O$1:$V$30, SWITCH(B360, "Gelatos de Leite", 7, "Sorbets", 10, "Gelatos de Leite com Fruta", 13, "Chocolate base água", 16, "Vegano", 19, "Alcoólicos", 22, "Zero", 25, "Gelatos Proteicos", 28, 7), 6)) + (ROUND(N360,4) &gt; INDEX('Tabela de ingredientes'!$O$1:$V$30, SWITCH(B360, "Gelatos de Leite", 8, "Sorbets", 11, "Gelatos de Leite com Fruta", 14, "Chocolate base água", 17, "Vegano", 20, "Alcoólicos", 23, "Zero", 26, "Gelatos Proteicos", 29, 8), 6)) + (ROUND(O360,4) &lt; INDEX('Tabela de ingredientes'!$O$1:$V$30, SWITCH(B360, "Gelatos de Leite", 7, "Sorbets", 10, "Gelatos de Leite com Fruta", 13, "Chocolate base água", 16, "Vegano", 19, "Alcoólicos", 22, "Zero", 25, "Gelatos Proteicos", 28, 7), 7)) + (ROUND(O360,4) &gt; INDEX('Tabela de ingredientes'!$O$1:$V$30, SWITCH(B360, "Gelatos de Leite", 8, "Sorbets", 11, "Gelatos de Leite com Fruta", 14, "Chocolate base água", 17, "Vegano", 20, "Alcoólicos", 23, "Zero", 26, "Gelatos Proteicos", 29, 8), 7)) + (ROUND(P360,4) &lt; INDEX('Tabela de ingredientes'!$O$1:$V$30, SWITCH(B360, "Gelatos de Leite", 7, "Sorbets", 10, "Gelatos de Leite com Fruta", 13, "Chocolate base água", 16, "Vegano", 19, "Alcoólicos", 22, "Zero", 25, "Gelatos Proteicos", 28, 7), 8)) + (ROUND(P360,4) &gt; INDEX('Tabela de ingredientes'!$O$1:$V$30, SWITCH(B360, "Gelatos de Leite", 8, "Sorbets", 11, "Gelatos de Leite com Fruta", 14, "Chocolate base água", 17, "Vegano", 20, "Alcoólicos", 23, "Zero", 26, "Gelatos Proteicos", 29, 8), 8)) + IF(B360="Gelatos Proteicos", (ROUND(Q360,4)&lt;'Tabela de ingredientes'!$W$28)+(ROUND(Q360,4)&gt;'Tabela de ingredientes'!$W$29), 0) = 0, "Ok", "Revisar"))</f>
        <v/>
      </c>
    </row>
    <row r="361">
      <c r="A361" s="264"/>
      <c r="B361" s="264" t="s">
        <v>187</v>
      </c>
      <c r="C361" s="264" t="s">
        <v>187</v>
      </c>
      <c r="D361" s="264" t="s">
        <v>187</v>
      </c>
      <c r="E361" s="264" t="s">
        <v>187</v>
      </c>
      <c r="F361" s="264" t="s">
        <v>187</v>
      </c>
      <c r="G361" s="264" t="s">
        <v>187</v>
      </c>
      <c r="H361" s="264" t="s">
        <v>187</v>
      </c>
      <c r="I361" s="264" t="s">
        <v>187</v>
      </c>
      <c r="J361" s="264" t="s">
        <v>187</v>
      </c>
      <c r="K361" s="264" t="s">
        <v>187</v>
      </c>
      <c r="L361" s="264" t="s">
        <v>187</v>
      </c>
      <c r="M361" s="264" t="s">
        <v>187</v>
      </c>
      <c r="N361" s="264" t="s">
        <v>187</v>
      </c>
      <c r="O361" s="264" t="s">
        <v>187</v>
      </c>
      <c r="P361" s="264" t="s">
        <v>187</v>
      </c>
      <c r="Q361" s="264" t="s">
        <v>187</v>
      </c>
      <c r="R361" s="264" t="s">
        <v>187</v>
      </c>
      <c r="S361" s="97" t="str">
        <f t="array" ref="S361">IF(A361="","", IF( (ROUND(I361,4) &lt; INDEX('Tabela de ingredientes'!$O$1:$V$30, SWITCH(B361, "Gelatos de Leite", 7, "Sorbets", 10, "Gelatos de Leite com Fruta", 13, "Chocolate base água", 16, "Vegano", 19, "Alcoólicos", 22, "Zero", 25, "Gelatos Proteicos", 28, 7), 1)) + (ROUND(I361,4) &gt; INDEX('Tabela de ingredientes'!$O$1:$V$30, SWITCH(B361, "Gelatos de Leite", 8, "Sorbets", 11, "Gelatos de Leite com Fruta", 14, "Chocolate base água", 17, "Vegano", 20, "Alcoólicos", 23, "Zero", 26, "Gelatos Proteicos", 29, 8), 1)) + (ROUND(J361,4) &lt; INDEX('Tabela de ingredientes'!$O$1:$V$30, SWITCH(B361, "Gelatos de Leite", 7, "Sorbets", 10, "Gelatos de Leite com Fruta", 13, "Chocolate base água", 16, "Vegano", 19, "Alcoólicos", 22, "Zero", 25, "Gelatos Proteicos", 28, 7), 2)) + (ROUND(J361,4) &gt; INDEX('Tabela de ingredientes'!$O$1:$V$30, SWITCH(B361, "Gelatos de Leite", 8, "Sorbets", 11, "Gelatos de Leite com Fruta", 14, "Chocolate base água", 17, "Vegano", 20, "Alcoólicos", 23, "Zero", 26, "Gelatos Proteicos", 29, 8), 2)) + (ROUND(K361,4) &lt; INDEX('Tabela de ingredientes'!$O$1:$V$30, SWITCH(B361, "Gelatos de Leite", 7, "Sorbets", 10, "Gelatos de Leite com Fruta", 13, "Chocolate base água", 16, "Vegano", 19, "Alcoólicos", 22, "Zero", 25, "Gelatos Proteicos", 28, 7), 3)) + (ROUND(K361,4) &gt; INDEX('Tabela de ingredientes'!$O$1:$V$30, SWITCH(B361, "Gelatos de Leite", 8, "Sorbets", 11, "Gelatos de Leite com Fruta", 14, "Chocolate base água", 17, "Vegano", 20, "Alcoólicos", 23, "Zero", 26, "Gelatos Proteicos", 29, 8), 3)) + (ROUND(L361,4) &lt; INDEX('Tabela de ingredientes'!$O$1:$V$30, SWITCH(B361, "Gelatos de Leite", 7, "Sorbets", 10, "Gelatos de Leite com Fruta", 13, "Chocolate base água", 16, "Vegano", 19, "Alcoólicos", 22, "Zero", 25, "Gelatos Proteicos", 28, 7), 4)) + (ROUND(L361,4) &gt; INDEX('Tabela de ingredientes'!$O$1:$V$30, SWITCH(B361, "Gelatos de Leite", 8, "Sorbets", 11, "Gelatos de Leite com Fruta", 14, "Chocolate base água", 17, "Vegano", 20, "Alcoólicos", 23, "Zero", 26, "Gelatos Proteicos", 29, 8), 4)) + (ROUND(M361,4) &lt; INDEX('Tabela de ingredientes'!$O$1:$V$30, SWITCH(B361, "Gelatos de Leite", 7, "Sorbets", 10, "Gelatos de Leite com Fruta", 13, "Chocolate base água", 16, "Vegano", 19, "Alcoólicos", 22, "Zero", 25, "Gelatos Proteicos", 28, 7), 5)) + (ROUND(M361,4) &gt; INDEX('Tabela de ingredientes'!$O$1:$V$30, SWITCH(B361, "Gelatos de Leite", 8, "Sorbets", 11, "Gelatos de Leite com Fruta", 14, "Chocolate base água", 17, "Vegano", 20, "Alcoólicos", 23, "Zero", 26, "Gelatos Proteicos", 29, 8), 5)) + (ROUND(N361,4) &lt; INDEX('Tabela de ingredientes'!$O$1:$V$30, SWITCH(B361, "Gelatos de Leite", 7, "Sorbets", 10, "Gelatos de Leite com Fruta", 13, "Chocolate base água", 16, "Vegano", 19, "Alcoólicos", 22, "Zero", 25, "Gelatos Proteicos", 28, 7), 6)) + (ROUND(N361,4) &gt; INDEX('Tabela de ingredientes'!$O$1:$V$30, SWITCH(B361, "Gelatos de Leite", 8, "Sorbets", 11, "Gelatos de Leite com Fruta", 14, "Chocolate base água", 17, "Vegano", 20, "Alcoólicos", 23, "Zero", 26, "Gelatos Proteicos", 29, 8), 6)) + (ROUND(O361,4) &lt; INDEX('Tabela de ingredientes'!$O$1:$V$30, SWITCH(B361, "Gelatos de Leite", 7, "Sorbets", 10, "Gelatos de Leite com Fruta", 13, "Chocolate base água", 16, "Vegano", 19, "Alcoólicos", 22, "Zero", 25, "Gelatos Proteicos", 28, 7), 7)) + (ROUND(O361,4) &gt; INDEX('Tabela de ingredientes'!$O$1:$V$30, SWITCH(B361, "Gelatos de Leite", 8, "Sorbets", 11, "Gelatos de Leite com Fruta", 14, "Chocolate base água", 17, "Vegano", 20, "Alcoólicos", 23, "Zero", 26, "Gelatos Proteicos", 29, 8), 7)) + (ROUND(P361,4) &lt; INDEX('Tabela de ingredientes'!$O$1:$V$30, SWITCH(B361, "Gelatos de Leite", 7, "Sorbets", 10, "Gelatos de Leite com Fruta", 13, "Chocolate base água", 16, "Vegano", 19, "Alcoólicos", 22, "Zero", 25, "Gelatos Proteicos", 28, 7), 8)) + (ROUND(P361,4) &gt; INDEX('Tabela de ingredientes'!$O$1:$V$30, SWITCH(B361, "Gelatos de Leite", 8, "Sorbets", 11, "Gelatos de Leite com Fruta", 14, "Chocolate base água", 17, "Vegano", 20, "Alcoólicos", 23, "Zero", 26, "Gelatos Proteicos", 29, 8), 8)) + IF(B361="Gelatos Proteicos", (ROUND(Q361,4)&lt;'Tabela de ingredientes'!$W$28)+(ROUND(Q361,4)&gt;'Tabela de ingredientes'!$W$29), 0) = 0, "Ok", "Revisar"))</f>
        <v/>
      </c>
    </row>
    <row r="362">
      <c r="A362" s="264"/>
      <c r="B362" s="264" t="s">
        <v>187</v>
      </c>
      <c r="C362" s="264" t="s">
        <v>187</v>
      </c>
      <c r="D362" s="264" t="s">
        <v>187</v>
      </c>
      <c r="E362" s="264" t="s">
        <v>187</v>
      </c>
      <c r="F362" s="264" t="s">
        <v>187</v>
      </c>
      <c r="G362" s="264" t="s">
        <v>187</v>
      </c>
      <c r="H362" s="264" t="s">
        <v>187</v>
      </c>
      <c r="I362" s="264" t="s">
        <v>187</v>
      </c>
      <c r="J362" s="264" t="s">
        <v>187</v>
      </c>
      <c r="K362" s="264" t="s">
        <v>187</v>
      </c>
      <c r="L362" s="264" t="s">
        <v>187</v>
      </c>
      <c r="M362" s="264" t="s">
        <v>187</v>
      </c>
      <c r="N362" s="264" t="s">
        <v>187</v>
      </c>
      <c r="O362" s="264" t="s">
        <v>187</v>
      </c>
      <c r="P362" s="264" t="s">
        <v>187</v>
      </c>
      <c r="Q362" s="264" t="s">
        <v>187</v>
      </c>
      <c r="R362" s="264" t="s">
        <v>187</v>
      </c>
      <c r="S362" s="97" t="str">
        <f t="array" ref="S362">IF(A362="","", IF( (ROUND(I362,4) &lt; INDEX('Tabela de ingredientes'!$O$1:$V$30, SWITCH(B362, "Gelatos de Leite", 7, "Sorbets", 10, "Gelatos de Leite com Fruta", 13, "Chocolate base água", 16, "Vegano", 19, "Alcoólicos", 22, "Zero", 25, "Gelatos Proteicos", 28, 7), 1)) + (ROUND(I362,4) &gt; INDEX('Tabela de ingredientes'!$O$1:$V$30, SWITCH(B362, "Gelatos de Leite", 8, "Sorbets", 11, "Gelatos de Leite com Fruta", 14, "Chocolate base água", 17, "Vegano", 20, "Alcoólicos", 23, "Zero", 26, "Gelatos Proteicos", 29, 8), 1)) + (ROUND(J362,4) &lt; INDEX('Tabela de ingredientes'!$O$1:$V$30, SWITCH(B362, "Gelatos de Leite", 7, "Sorbets", 10, "Gelatos de Leite com Fruta", 13, "Chocolate base água", 16, "Vegano", 19, "Alcoólicos", 22, "Zero", 25, "Gelatos Proteicos", 28, 7), 2)) + (ROUND(J362,4) &gt; INDEX('Tabela de ingredientes'!$O$1:$V$30, SWITCH(B362, "Gelatos de Leite", 8, "Sorbets", 11, "Gelatos de Leite com Fruta", 14, "Chocolate base água", 17, "Vegano", 20, "Alcoólicos", 23, "Zero", 26, "Gelatos Proteicos", 29, 8), 2)) + (ROUND(K362,4) &lt; INDEX('Tabela de ingredientes'!$O$1:$V$30, SWITCH(B362, "Gelatos de Leite", 7, "Sorbets", 10, "Gelatos de Leite com Fruta", 13, "Chocolate base água", 16, "Vegano", 19, "Alcoólicos", 22, "Zero", 25, "Gelatos Proteicos", 28, 7), 3)) + (ROUND(K362,4) &gt; INDEX('Tabela de ingredientes'!$O$1:$V$30, SWITCH(B362, "Gelatos de Leite", 8, "Sorbets", 11, "Gelatos de Leite com Fruta", 14, "Chocolate base água", 17, "Vegano", 20, "Alcoólicos", 23, "Zero", 26, "Gelatos Proteicos", 29, 8), 3)) + (ROUND(L362,4) &lt; INDEX('Tabela de ingredientes'!$O$1:$V$30, SWITCH(B362, "Gelatos de Leite", 7, "Sorbets", 10, "Gelatos de Leite com Fruta", 13, "Chocolate base água", 16, "Vegano", 19, "Alcoólicos", 22, "Zero", 25, "Gelatos Proteicos", 28, 7), 4)) + (ROUND(L362,4) &gt; INDEX('Tabela de ingredientes'!$O$1:$V$30, SWITCH(B362, "Gelatos de Leite", 8, "Sorbets", 11, "Gelatos de Leite com Fruta", 14, "Chocolate base água", 17, "Vegano", 20, "Alcoólicos", 23, "Zero", 26, "Gelatos Proteicos", 29, 8), 4)) + (ROUND(M362,4) &lt; INDEX('Tabela de ingredientes'!$O$1:$V$30, SWITCH(B362, "Gelatos de Leite", 7, "Sorbets", 10, "Gelatos de Leite com Fruta", 13, "Chocolate base água", 16, "Vegano", 19, "Alcoólicos", 22, "Zero", 25, "Gelatos Proteicos", 28, 7), 5)) + (ROUND(M362,4) &gt; INDEX('Tabela de ingredientes'!$O$1:$V$30, SWITCH(B362, "Gelatos de Leite", 8, "Sorbets", 11, "Gelatos de Leite com Fruta", 14, "Chocolate base água", 17, "Vegano", 20, "Alcoólicos", 23, "Zero", 26, "Gelatos Proteicos", 29, 8), 5)) + (ROUND(N362,4) &lt; INDEX('Tabela de ingredientes'!$O$1:$V$30, SWITCH(B362, "Gelatos de Leite", 7, "Sorbets", 10, "Gelatos de Leite com Fruta", 13, "Chocolate base água", 16, "Vegano", 19, "Alcoólicos", 22, "Zero", 25, "Gelatos Proteicos", 28, 7), 6)) + (ROUND(N362,4) &gt; INDEX('Tabela de ingredientes'!$O$1:$V$30, SWITCH(B362, "Gelatos de Leite", 8, "Sorbets", 11, "Gelatos de Leite com Fruta", 14, "Chocolate base água", 17, "Vegano", 20, "Alcoólicos", 23, "Zero", 26, "Gelatos Proteicos", 29, 8), 6)) + (ROUND(O362,4) &lt; INDEX('Tabela de ingredientes'!$O$1:$V$30, SWITCH(B362, "Gelatos de Leite", 7, "Sorbets", 10, "Gelatos de Leite com Fruta", 13, "Chocolate base água", 16, "Vegano", 19, "Alcoólicos", 22, "Zero", 25, "Gelatos Proteicos", 28, 7), 7)) + (ROUND(O362,4) &gt; INDEX('Tabela de ingredientes'!$O$1:$V$30, SWITCH(B362, "Gelatos de Leite", 8, "Sorbets", 11, "Gelatos de Leite com Fruta", 14, "Chocolate base água", 17, "Vegano", 20, "Alcoólicos", 23, "Zero", 26, "Gelatos Proteicos", 29, 8), 7)) + (ROUND(P362,4) &lt; INDEX('Tabela de ingredientes'!$O$1:$V$30, SWITCH(B362, "Gelatos de Leite", 7, "Sorbets", 10, "Gelatos de Leite com Fruta", 13, "Chocolate base água", 16, "Vegano", 19, "Alcoólicos", 22, "Zero", 25, "Gelatos Proteicos", 28, 7), 8)) + (ROUND(P362,4) &gt; INDEX('Tabela de ingredientes'!$O$1:$V$30, SWITCH(B362, "Gelatos de Leite", 8, "Sorbets", 11, "Gelatos de Leite com Fruta", 14, "Chocolate base água", 17, "Vegano", 20, "Alcoólicos", 23, "Zero", 26, "Gelatos Proteicos", 29, 8), 8)) + IF(B362="Gelatos Proteicos", (ROUND(Q362,4)&lt;'Tabela de ingredientes'!$W$28)+(ROUND(Q362,4)&gt;'Tabela de ingredientes'!$W$29), 0) = 0, "Ok", "Revisar"))</f>
        <v/>
      </c>
    </row>
    <row r="363">
      <c r="A363" s="264"/>
      <c r="B363" s="264" t="s">
        <v>187</v>
      </c>
      <c r="C363" s="264" t="s">
        <v>187</v>
      </c>
      <c r="D363" s="264" t="s">
        <v>187</v>
      </c>
      <c r="E363" s="264" t="s">
        <v>187</v>
      </c>
      <c r="F363" s="264" t="s">
        <v>187</v>
      </c>
      <c r="G363" s="264" t="s">
        <v>187</v>
      </c>
      <c r="H363" s="264" t="s">
        <v>187</v>
      </c>
      <c r="I363" s="264" t="s">
        <v>187</v>
      </c>
      <c r="J363" s="264" t="s">
        <v>187</v>
      </c>
      <c r="K363" s="264" t="s">
        <v>187</v>
      </c>
      <c r="L363" s="264" t="s">
        <v>187</v>
      </c>
      <c r="M363" s="264" t="s">
        <v>187</v>
      </c>
      <c r="N363" s="264" t="s">
        <v>187</v>
      </c>
      <c r="O363" s="264" t="s">
        <v>187</v>
      </c>
      <c r="P363" s="264" t="s">
        <v>187</v>
      </c>
      <c r="Q363" s="264" t="s">
        <v>187</v>
      </c>
      <c r="R363" s="264" t="s">
        <v>187</v>
      </c>
      <c r="S363" s="97" t="str">
        <f t="array" ref="S363">IF(A363="","", IF( (ROUND(I363,4) &lt; INDEX('Tabela de ingredientes'!$O$1:$V$30, SWITCH(B363, "Gelatos de Leite", 7, "Sorbets", 10, "Gelatos de Leite com Fruta", 13, "Chocolate base água", 16, "Vegano", 19, "Alcoólicos", 22, "Zero", 25, "Gelatos Proteicos", 28, 7), 1)) + (ROUND(I363,4) &gt; INDEX('Tabela de ingredientes'!$O$1:$V$30, SWITCH(B363, "Gelatos de Leite", 8, "Sorbets", 11, "Gelatos de Leite com Fruta", 14, "Chocolate base água", 17, "Vegano", 20, "Alcoólicos", 23, "Zero", 26, "Gelatos Proteicos", 29, 8), 1)) + (ROUND(J363,4) &lt; INDEX('Tabela de ingredientes'!$O$1:$V$30, SWITCH(B363, "Gelatos de Leite", 7, "Sorbets", 10, "Gelatos de Leite com Fruta", 13, "Chocolate base água", 16, "Vegano", 19, "Alcoólicos", 22, "Zero", 25, "Gelatos Proteicos", 28, 7), 2)) + (ROUND(J363,4) &gt; INDEX('Tabela de ingredientes'!$O$1:$V$30, SWITCH(B363, "Gelatos de Leite", 8, "Sorbets", 11, "Gelatos de Leite com Fruta", 14, "Chocolate base água", 17, "Vegano", 20, "Alcoólicos", 23, "Zero", 26, "Gelatos Proteicos", 29, 8), 2)) + (ROUND(K363,4) &lt; INDEX('Tabela de ingredientes'!$O$1:$V$30, SWITCH(B363, "Gelatos de Leite", 7, "Sorbets", 10, "Gelatos de Leite com Fruta", 13, "Chocolate base água", 16, "Vegano", 19, "Alcoólicos", 22, "Zero", 25, "Gelatos Proteicos", 28, 7), 3)) + (ROUND(K363,4) &gt; INDEX('Tabela de ingredientes'!$O$1:$V$30, SWITCH(B363, "Gelatos de Leite", 8, "Sorbets", 11, "Gelatos de Leite com Fruta", 14, "Chocolate base água", 17, "Vegano", 20, "Alcoólicos", 23, "Zero", 26, "Gelatos Proteicos", 29, 8), 3)) + (ROUND(L363,4) &lt; INDEX('Tabela de ingredientes'!$O$1:$V$30, SWITCH(B363, "Gelatos de Leite", 7, "Sorbets", 10, "Gelatos de Leite com Fruta", 13, "Chocolate base água", 16, "Vegano", 19, "Alcoólicos", 22, "Zero", 25, "Gelatos Proteicos", 28, 7), 4)) + (ROUND(L363,4) &gt; INDEX('Tabela de ingredientes'!$O$1:$V$30, SWITCH(B363, "Gelatos de Leite", 8, "Sorbets", 11, "Gelatos de Leite com Fruta", 14, "Chocolate base água", 17, "Vegano", 20, "Alcoólicos", 23, "Zero", 26, "Gelatos Proteicos", 29, 8), 4)) + (ROUND(M363,4) &lt; INDEX('Tabela de ingredientes'!$O$1:$V$30, SWITCH(B363, "Gelatos de Leite", 7, "Sorbets", 10, "Gelatos de Leite com Fruta", 13, "Chocolate base água", 16, "Vegano", 19, "Alcoólicos", 22, "Zero", 25, "Gelatos Proteicos", 28, 7), 5)) + (ROUND(M363,4) &gt; INDEX('Tabela de ingredientes'!$O$1:$V$30, SWITCH(B363, "Gelatos de Leite", 8, "Sorbets", 11, "Gelatos de Leite com Fruta", 14, "Chocolate base água", 17, "Vegano", 20, "Alcoólicos", 23, "Zero", 26, "Gelatos Proteicos", 29, 8), 5)) + (ROUND(N363,4) &lt; INDEX('Tabela de ingredientes'!$O$1:$V$30, SWITCH(B363, "Gelatos de Leite", 7, "Sorbets", 10, "Gelatos de Leite com Fruta", 13, "Chocolate base água", 16, "Vegano", 19, "Alcoólicos", 22, "Zero", 25, "Gelatos Proteicos", 28, 7), 6)) + (ROUND(N363,4) &gt; INDEX('Tabela de ingredientes'!$O$1:$V$30, SWITCH(B363, "Gelatos de Leite", 8, "Sorbets", 11, "Gelatos de Leite com Fruta", 14, "Chocolate base água", 17, "Vegano", 20, "Alcoólicos", 23, "Zero", 26, "Gelatos Proteicos", 29, 8), 6)) + (ROUND(O363,4) &lt; INDEX('Tabela de ingredientes'!$O$1:$V$30, SWITCH(B363, "Gelatos de Leite", 7, "Sorbets", 10, "Gelatos de Leite com Fruta", 13, "Chocolate base água", 16, "Vegano", 19, "Alcoólicos", 22, "Zero", 25, "Gelatos Proteicos", 28, 7), 7)) + (ROUND(O363,4) &gt; INDEX('Tabela de ingredientes'!$O$1:$V$30, SWITCH(B363, "Gelatos de Leite", 8, "Sorbets", 11, "Gelatos de Leite com Fruta", 14, "Chocolate base água", 17, "Vegano", 20, "Alcoólicos", 23, "Zero", 26, "Gelatos Proteicos", 29, 8), 7)) + (ROUND(P363,4) &lt; INDEX('Tabela de ingredientes'!$O$1:$V$30, SWITCH(B363, "Gelatos de Leite", 7, "Sorbets", 10, "Gelatos de Leite com Fruta", 13, "Chocolate base água", 16, "Vegano", 19, "Alcoólicos", 22, "Zero", 25, "Gelatos Proteicos", 28, 7), 8)) + (ROUND(P363,4) &gt; INDEX('Tabela de ingredientes'!$O$1:$V$30, SWITCH(B363, "Gelatos de Leite", 8, "Sorbets", 11, "Gelatos de Leite com Fruta", 14, "Chocolate base água", 17, "Vegano", 20, "Alcoólicos", 23, "Zero", 26, "Gelatos Proteicos", 29, 8), 8)) + IF(B363="Gelatos Proteicos", (ROUND(Q363,4)&lt;'Tabela de ingredientes'!$W$28)+(ROUND(Q363,4)&gt;'Tabela de ingredientes'!$W$29), 0) = 0, "Ok", "Revisar"))</f>
        <v/>
      </c>
    </row>
    <row r="364">
      <c r="A364" s="264"/>
      <c r="B364" s="264" t="s">
        <v>187</v>
      </c>
      <c r="C364" s="264" t="s">
        <v>187</v>
      </c>
      <c r="D364" s="264" t="s">
        <v>187</v>
      </c>
      <c r="E364" s="264" t="s">
        <v>187</v>
      </c>
      <c r="F364" s="264" t="s">
        <v>187</v>
      </c>
      <c r="G364" s="264" t="s">
        <v>187</v>
      </c>
      <c r="H364" s="264" t="s">
        <v>187</v>
      </c>
      <c r="I364" s="264" t="s">
        <v>187</v>
      </c>
      <c r="J364" s="264" t="s">
        <v>187</v>
      </c>
      <c r="K364" s="264" t="s">
        <v>187</v>
      </c>
      <c r="L364" s="264" t="s">
        <v>187</v>
      </c>
      <c r="M364" s="264" t="s">
        <v>187</v>
      </c>
      <c r="N364" s="264" t="s">
        <v>187</v>
      </c>
      <c r="O364" s="264" t="s">
        <v>187</v>
      </c>
      <c r="P364" s="264" t="s">
        <v>187</v>
      </c>
      <c r="Q364" s="264" t="s">
        <v>187</v>
      </c>
      <c r="R364" s="264" t="s">
        <v>187</v>
      </c>
      <c r="S364" s="97" t="str">
        <f t="array" ref="S364">IF(A364="","", IF( (ROUND(I364,4) &lt; INDEX('Tabela de ingredientes'!$O$1:$V$30, SWITCH(B364, "Gelatos de Leite", 7, "Sorbets", 10, "Gelatos de Leite com Fruta", 13, "Chocolate base água", 16, "Vegano", 19, "Alcoólicos", 22, "Zero", 25, "Gelatos Proteicos", 28, 7), 1)) + (ROUND(I364,4) &gt; INDEX('Tabela de ingredientes'!$O$1:$V$30, SWITCH(B364, "Gelatos de Leite", 8, "Sorbets", 11, "Gelatos de Leite com Fruta", 14, "Chocolate base água", 17, "Vegano", 20, "Alcoólicos", 23, "Zero", 26, "Gelatos Proteicos", 29, 8), 1)) + (ROUND(J364,4) &lt; INDEX('Tabela de ingredientes'!$O$1:$V$30, SWITCH(B364, "Gelatos de Leite", 7, "Sorbets", 10, "Gelatos de Leite com Fruta", 13, "Chocolate base água", 16, "Vegano", 19, "Alcoólicos", 22, "Zero", 25, "Gelatos Proteicos", 28, 7), 2)) + (ROUND(J364,4) &gt; INDEX('Tabela de ingredientes'!$O$1:$V$30, SWITCH(B364, "Gelatos de Leite", 8, "Sorbets", 11, "Gelatos de Leite com Fruta", 14, "Chocolate base água", 17, "Vegano", 20, "Alcoólicos", 23, "Zero", 26, "Gelatos Proteicos", 29, 8), 2)) + (ROUND(K364,4) &lt; INDEX('Tabela de ingredientes'!$O$1:$V$30, SWITCH(B364, "Gelatos de Leite", 7, "Sorbets", 10, "Gelatos de Leite com Fruta", 13, "Chocolate base água", 16, "Vegano", 19, "Alcoólicos", 22, "Zero", 25, "Gelatos Proteicos", 28, 7), 3)) + (ROUND(K364,4) &gt; INDEX('Tabela de ingredientes'!$O$1:$V$30, SWITCH(B364, "Gelatos de Leite", 8, "Sorbets", 11, "Gelatos de Leite com Fruta", 14, "Chocolate base água", 17, "Vegano", 20, "Alcoólicos", 23, "Zero", 26, "Gelatos Proteicos", 29, 8), 3)) + (ROUND(L364,4) &lt; INDEX('Tabela de ingredientes'!$O$1:$V$30, SWITCH(B364, "Gelatos de Leite", 7, "Sorbets", 10, "Gelatos de Leite com Fruta", 13, "Chocolate base água", 16, "Vegano", 19, "Alcoólicos", 22, "Zero", 25, "Gelatos Proteicos", 28, 7), 4)) + (ROUND(L364,4) &gt; INDEX('Tabela de ingredientes'!$O$1:$V$30, SWITCH(B364, "Gelatos de Leite", 8, "Sorbets", 11, "Gelatos de Leite com Fruta", 14, "Chocolate base água", 17, "Vegano", 20, "Alcoólicos", 23, "Zero", 26, "Gelatos Proteicos", 29, 8), 4)) + (ROUND(M364,4) &lt; INDEX('Tabela de ingredientes'!$O$1:$V$30, SWITCH(B364, "Gelatos de Leite", 7, "Sorbets", 10, "Gelatos de Leite com Fruta", 13, "Chocolate base água", 16, "Vegano", 19, "Alcoólicos", 22, "Zero", 25, "Gelatos Proteicos", 28, 7), 5)) + (ROUND(M364,4) &gt; INDEX('Tabela de ingredientes'!$O$1:$V$30, SWITCH(B364, "Gelatos de Leite", 8, "Sorbets", 11, "Gelatos de Leite com Fruta", 14, "Chocolate base água", 17, "Vegano", 20, "Alcoólicos", 23, "Zero", 26, "Gelatos Proteicos", 29, 8), 5)) + (ROUND(N364,4) &lt; INDEX('Tabela de ingredientes'!$O$1:$V$30, SWITCH(B364, "Gelatos de Leite", 7, "Sorbets", 10, "Gelatos de Leite com Fruta", 13, "Chocolate base água", 16, "Vegano", 19, "Alcoólicos", 22, "Zero", 25, "Gelatos Proteicos", 28, 7), 6)) + (ROUND(N364,4) &gt; INDEX('Tabela de ingredientes'!$O$1:$V$30, SWITCH(B364, "Gelatos de Leite", 8, "Sorbets", 11, "Gelatos de Leite com Fruta", 14, "Chocolate base água", 17, "Vegano", 20, "Alcoólicos", 23, "Zero", 26, "Gelatos Proteicos", 29, 8), 6)) + (ROUND(O364,4) &lt; INDEX('Tabela de ingredientes'!$O$1:$V$30, SWITCH(B364, "Gelatos de Leite", 7, "Sorbets", 10, "Gelatos de Leite com Fruta", 13, "Chocolate base água", 16, "Vegano", 19, "Alcoólicos", 22, "Zero", 25, "Gelatos Proteicos", 28, 7), 7)) + (ROUND(O364,4) &gt; INDEX('Tabela de ingredientes'!$O$1:$V$30, SWITCH(B364, "Gelatos de Leite", 8, "Sorbets", 11, "Gelatos de Leite com Fruta", 14, "Chocolate base água", 17, "Vegano", 20, "Alcoólicos", 23, "Zero", 26, "Gelatos Proteicos", 29, 8), 7)) + (ROUND(P364,4) &lt; INDEX('Tabela de ingredientes'!$O$1:$V$30, SWITCH(B364, "Gelatos de Leite", 7, "Sorbets", 10, "Gelatos de Leite com Fruta", 13, "Chocolate base água", 16, "Vegano", 19, "Alcoólicos", 22, "Zero", 25, "Gelatos Proteicos", 28, 7), 8)) + (ROUND(P364,4) &gt; INDEX('Tabela de ingredientes'!$O$1:$V$30, SWITCH(B364, "Gelatos de Leite", 8, "Sorbets", 11, "Gelatos de Leite com Fruta", 14, "Chocolate base água", 17, "Vegano", 20, "Alcoólicos", 23, "Zero", 26, "Gelatos Proteicos", 29, 8), 8)) + IF(B364="Gelatos Proteicos", (ROUND(Q364,4)&lt;'Tabela de ingredientes'!$W$28)+(ROUND(Q364,4)&gt;'Tabela de ingredientes'!$W$29), 0) = 0, "Ok", "Revisar"))</f>
        <v/>
      </c>
    </row>
    <row r="365">
      <c r="A365" s="264"/>
      <c r="B365" s="264" t="s">
        <v>187</v>
      </c>
      <c r="C365" s="264" t="s">
        <v>187</v>
      </c>
      <c r="D365" s="264" t="s">
        <v>187</v>
      </c>
      <c r="E365" s="264" t="s">
        <v>187</v>
      </c>
      <c r="F365" s="264" t="s">
        <v>187</v>
      </c>
      <c r="G365" s="264" t="s">
        <v>187</v>
      </c>
      <c r="H365" s="264" t="s">
        <v>187</v>
      </c>
      <c r="I365" s="264" t="s">
        <v>187</v>
      </c>
      <c r="J365" s="264" t="s">
        <v>187</v>
      </c>
      <c r="K365" s="264" t="s">
        <v>187</v>
      </c>
      <c r="L365" s="264" t="s">
        <v>187</v>
      </c>
      <c r="M365" s="264" t="s">
        <v>187</v>
      </c>
      <c r="N365" s="264" t="s">
        <v>187</v>
      </c>
      <c r="O365" s="264" t="s">
        <v>187</v>
      </c>
      <c r="P365" s="264" t="s">
        <v>187</v>
      </c>
      <c r="Q365" s="264" t="s">
        <v>187</v>
      </c>
      <c r="R365" s="264" t="s">
        <v>187</v>
      </c>
      <c r="S365" s="97" t="str">
        <f t="array" ref="S365">IF(A365="","", IF( (ROUND(I365,4) &lt; INDEX('Tabela de ingredientes'!$O$1:$V$30, SWITCH(B365, "Gelatos de Leite", 7, "Sorbets", 10, "Gelatos de Leite com Fruta", 13, "Chocolate base água", 16, "Vegano", 19, "Alcoólicos", 22, "Zero", 25, "Gelatos Proteicos", 28, 7), 1)) + (ROUND(I365,4) &gt; INDEX('Tabela de ingredientes'!$O$1:$V$30, SWITCH(B365, "Gelatos de Leite", 8, "Sorbets", 11, "Gelatos de Leite com Fruta", 14, "Chocolate base água", 17, "Vegano", 20, "Alcoólicos", 23, "Zero", 26, "Gelatos Proteicos", 29, 8), 1)) + (ROUND(J365,4) &lt; INDEX('Tabela de ingredientes'!$O$1:$V$30, SWITCH(B365, "Gelatos de Leite", 7, "Sorbets", 10, "Gelatos de Leite com Fruta", 13, "Chocolate base água", 16, "Vegano", 19, "Alcoólicos", 22, "Zero", 25, "Gelatos Proteicos", 28, 7), 2)) + (ROUND(J365,4) &gt; INDEX('Tabela de ingredientes'!$O$1:$V$30, SWITCH(B365, "Gelatos de Leite", 8, "Sorbets", 11, "Gelatos de Leite com Fruta", 14, "Chocolate base água", 17, "Vegano", 20, "Alcoólicos", 23, "Zero", 26, "Gelatos Proteicos", 29, 8), 2)) + (ROUND(K365,4) &lt; INDEX('Tabela de ingredientes'!$O$1:$V$30, SWITCH(B365, "Gelatos de Leite", 7, "Sorbets", 10, "Gelatos de Leite com Fruta", 13, "Chocolate base água", 16, "Vegano", 19, "Alcoólicos", 22, "Zero", 25, "Gelatos Proteicos", 28, 7), 3)) + (ROUND(K365,4) &gt; INDEX('Tabela de ingredientes'!$O$1:$V$30, SWITCH(B365, "Gelatos de Leite", 8, "Sorbets", 11, "Gelatos de Leite com Fruta", 14, "Chocolate base água", 17, "Vegano", 20, "Alcoólicos", 23, "Zero", 26, "Gelatos Proteicos", 29, 8), 3)) + (ROUND(L365,4) &lt; INDEX('Tabela de ingredientes'!$O$1:$V$30, SWITCH(B365, "Gelatos de Leite", 7, "Sorbets", 10, "Gelatos de Leite com Fruta", 13, "Chocolate base água", 16, "Vegano", 19, "Alcoólicos", 22, "Zero", 25, "Gelatos Proteicos", 28, 7), 4)) + (ROUND(L365,4) &gt; INDEX('Tabela de ingredientes'!$O$1:$V$30, SWITCH(B365, "Gelatos de Leite", 8, "Sorbets", 11, "Gelatos de Leite com Fruta", 14, "Chocolate base água", 17, "Vegano", 20, "Alcoólicos", 23, "Zero", 26, "Gelatos Proteicos", 29, 8), 4)) + (ROUND(M365,4) &lt; INDEX('Tabela de ingredientes'!$O$1:$V$30, SWITCH(B365, "Gelatos de Leite", 7, "Sorbets", 10, "Gelatos de Leite com Fruta", 13, "Chocolate base água", 16, "Vegano", 19, "Alcoólicos", 22, "Zero", 25, "Gelatos Proteicos", 28, 7), 5)) + (ROUND(M365,4) &gt; INDEX('Tabela de ingredientes'!$O$1:$V$30, SWITCH(B365, "Gelatos de Leite", 8, "Sorbets", 11, "Gelatos de Leite com Fruta", 14, "Chocolate base água", 17, "Vegano", 20, "Alcoólicos", 23, "Zero", 26, "Gelatos Proteicos", 29, 8), 5)) + (ROUND(N365,4) &lt; INDEX('Tabela de ingredientes'!$O$1:$V$30, SWITCH(B365, "Gelatos de Leite", 7, "Sorbets", 10, "Gelatos de Leite com Fruta", 13, "Chocolate base água", 16, "Vegano", 19, "Alcoólicos", 22, "Zero", 25, "Gelatos Proteicos", 28, 7), 6)) + (ROUND(N365,4) &gt; INDEX('Tabela de ingredientes'!$O$1:$V$30, SWITCH(B365, "Gelatos de Leite", 8, "Sorbets", 11, "Gelatos de Leite com Fruta", 14, "Chocolate base água", 17, "Vegano", 20, "Alcoólicos", 23, "Zero", 26, "Gelatos Proteicos", 29, 8), 6)) + (ROUND(O365,4) &lt; INDEX('Tabela de ingredientes'!$O$1:$V$30, SWITCH(B365, "Gelatos de Leite", 7, "Sorbets", 10, "Gelatos de Leite com Fruta", 13, "Chocolate base água", 16, "Vegano", 19, "Alcoólicos", 22, "Zero", 25, "Gelatos Proteicos", 28, 7), 7)) + (ROUND(O365,4) &gt; INDEX('Tabela de ingredientes'!$O$1:$V$30, SWITCH(B365, "Gelatos de Leite", 8, "Sorbets", 11, "Gelatos de Leite com Fruta", 14, "Chocolate base água", 17, "Vegano", 20, "Alcoólicos", 23, "Zero", 26, "Gelatos Proteicos", 29, 8), 7)) + (ROUND(P365,4) &lt; INDEX('Tabela de ingredientes'!$O$1:$V$30, SWITCH(B365, "Gelatos de Leite", 7, "Sorbets", 10, "Gelatos de Leite com Fruta", 13, "Chocolate base água", 16, "Vegano", 19, "Alcoólicos", 22, "Zero", 25, "Gelatos Proteicos", 28, 7), 8)) + (ROUND(P365,4) &gt; INDEX('Tabela de ingredientes'!$O$1:$V$30, SWITCH(B365, "Gelatos de Leite", 8, "Sorbets", 11, "Gelatos de Leite com Fruta", 14, "Chocolate base água", 17, "Vegano", 20, "Alcoólicos", 23, "Zero", 26, "Gelatos Proteicos", 29, 8), 8)) + IF(B365="Gelatos Proteicos", (ROUND(Q365,4)&lt;'Tabela de ingredientes'!$W$28)+(ROUND(Q365,4)&gt;'Tabela de ingredientes'!$W$29), 0) = 0, "Ok", "Revisar"))</f>
        <v/>
      </c>
    </row>
    <row r="366">
      <c r="A366" s="264"/>
      <c r="B366" s="264" t="s">
        <v>187</v>
      </c>
      <c r="C366" s="264" t="s">
        <v>187</v>
      </c>
      <c r="D366" s="264" t="s">
        <v>187</v>
      </c>
      <c r="E366" s="264" t="s">
        <v>187</v>
      </c>
      <c r="F366" s="264" t="s">
        <v>187</v>
      </c>
      <c r="G366" s="264" t="s">
        <v>187</v>
      </c>
      <c r="H366" s="264" t="s">
        <v>187</v>
      </c>
      <c r="I366" s="264" t="s">
        <v>187</v>
      </c>
      <c r="J366" s="264" t="s">
        <v>187</v>
      </c>
      <c r="K366" s="264" t="s">
        <v>187</v>
      </c>
      <c r="L366" s="264" t="s">
        <v>187</v>
      </c>
      <c r="M366" s="264" t="s">
        <v>187</v>
      </c>
      <c r="N366" s="264" t="s">
        <v>187</v>
      </c>
      <c r="O366" s="264" t="s">
        <v>187</v>
      </c>
      <c r="P366" s="264" t="s">
        <v>187</v>
      </c>
      <c r="Q366" s="264" t="s">
        <v>187</v>
      </c>
      <c r="R366" s="264" t="s">
        <v>187</v>
      </c>
      <c r="S366" s="97" t="str">
        <f t="array" ref="S366">IF(A366="","", IF( (ROUND(I366,4) &lt; INDEX('Tabela de ingredientes'!$O$1:$V$30, SWITCH(B366, "Gelatos de Leite", 7, "Sorbets", 10, "Gelatos de Leite com Fruta", 13, "Chocolate base água", 16, "Vegano", 19, "Alcoólicos", 22, "Zero", 25, "Gelatos Proteicos", 28, 7), 1)) + (ROUND(I366,4) &gt; INDEX('Tabela de ingredientes'!$O$1:$V$30, SWITCH(B366, "Gelatos de Leite", 8, "Sorbets", 11, "Gelatos de Leite com Fruta", 14, "Chocolate base água", 17, "Vegano", 20, "Alcoólicos", 23, "Zero", 26, "Gelatos Proteicos", 29, 8), 1)) + (ROUND(J366,4) &lt; INDEX('Tabela de ingredientes'!$O$1:$V$30, SWITCH(B366, "Gelatos de Leite", 7, "Sorbets", 10, "Gelatos de Leite com Fruta", 13, "Chocolate base água", 16, "Vegano", 19, "Alcoólicos", 22, "Zero", 25, "Gelatos Proteicos", 28, 7), 2)) + (ROUND(J366,4) &gt; INDEX('Tabela de ingredientes'!$O$1:$V$30, SWITCH(B366, "Gelatos de Leite", 8, "Sorbets", 11, "Gelatos de Leite com Fruta", 14, "Chocolate base água", 17, "Vegano", 20, "Alcoólicos", 23, "Zero", 26, "Gelatos Proteicos", 29, 8), 2)) + (ROUND(K366,4) &lt; INDEX('Tabela de ingredientes'!$O$1:$V$30, SWITCH(B366, "Gelatos de Leite", 7, "Sorbets", 10, "Gelatos de Leite com Fruta", 13, "Chocolate base água", 16, "Vegano", 19, "Alcoólicos", 22, "Zero", 25, "Gelatos Proteicos", 28, 7), 3)) + (ROUND(K366,4) &gt; INDEX('Tabela de ingredientes'!$O$1:$V$30, SWITCH(B366, "Gelatos de Leite", 8, "Sorbets", 11, "Gelatos de Leite com Fruta", 14, "Chocolate base água", 17, "Vegano", 20, "Alcoólicos", 23, "Zero", 26, "Gelatos Proteicos", 29, 8), 3)) + (ROUND(L366,4) &lt; INDEX('Tabela de ingredientes'!$O$1:$V$30, SWITCH(B366, "Gelatos de Leite", 7, "Sorbets", 10, "Gelatos de Leite com Fruta", 13, "Chocolate base água", 16, "Vegano", 19, "Alcoólicos", 22, "Zero", 25, "Gelatos Proteicos", 28, 7), 4)) + (ROUND(L366,4) &gt; INDEX('Tabela de ingredientes'!$O$1:$V$30, SWITCH(B366, "Gelatos de Leite", 8, "Sorbets", 11, "Gelatos de Leite com Fruta", 14, "Chocolate base água", 17, "Vegano", 20, "Alcoólicos", 23, "Zero", 26, "Gelatos Proteicos", 29, 8), 4)) + (ROUND(M366,4) &lt; INDEX('Tabela de ingredientes'!$O$1:$V$30, SWITCH(B366, "Gelatos de Leite", 7, "Sorbets", 10, "Gelatos de Leite com Fruta", 13, "Chocolate base água", 16, "Vegano", 19, "Alcoólicos", 22, "Zero", 25, "Gelatos Proteicos", 28, 7), 5)) + (ROUND(M366,4) &gt; INDEX('Tabela de ingredientes'!$O$1:$V$30, SWITCH(B366, "Gelatos de Leite", 8, "Sorbets", 11, "Gelatos de Leite com Fruta", 14, "Chocolate base água", 17, "Vegano", 20, "Alcoólicos", 23, "Zero", 26, "Gelatos Proteicos", 29, 8), 5)) + (ROUND(N366,4) &lt; INDEX('Tabela de ingredientes'!$O$1:$V$30, SWITCH(B366, "Gelatos de Leite", 7, "Sorbets", 10, "Gelatos de Leite com Fruta", 13, "Chocolate base água", 16, "Vegano", 19, "Alcoólicos", 22, "Zero", 25, "Gelatos Proteicos", 28, 7), 6)) + (ROUND(N366,4) &gt; INDEX('Tabela de ingredientes'!$O$1:$V$30, SWITCH(B366, "Gelatos de Leite", 8, "Sorbets", 11, "Gelatos de Leite com Fruta", 14, "Chocolate base água", 17, "Vegano", 20, "Alcoólicos", 23, "Zero", 26, "Gelatos Proteicos", 29, 8), 6)) + (ROUND(O366,4) &lt; INDEX('Tabela de ingredientes'!$O$1:$V$30, SWITCH(B366, "Gelatos de Leite", 7, "Sorbets", 10, "Gelatos de Leite com Fruta", 13, "Chocolate base água", 16, "Vegano", 19, "Alcoólicos", 22, "Zero", 25, "Gelatos Proteicos", 28, 7), 7)) + (ROUND(O366,4) &gt; INDEX('Tabela de ingredientes'!$O$1:$V$30, SWITCH(B366, "Gelatos de Leite", 8, "Sorbets", 11, "Gelatos de Leite com Fruta", 14, "Chocolate base água", 17, "Vegano", 20, "Alcoólicos", 23, "Zero", 26, "Gelatos Proteicos", 29, 8), 7)) + (ROUND(P366,4) &lt; INDEX('Tabela de ingredientes'!$O$1:$V$30, SWITCH(B366, "Gelatos de Leite", 7, "Sorbets", 10, "Gelatos de Leite com Fruta", 13, "Chocolate base água", 16, "Vegano", 19, "Alcoólicos", 22, "Zero", 25, "Gelatos Proteicos", 28, 7), 8)) + (ROUND(P366,4) &gt; INDEX('Tabela de ingredientes'!$O$1:$V$30, SWITCH(B366, "Gelatos de Leite", 8, "Sorbets", 11, "Gelatos de Leite com Fruta", 14, "Chocolate base água", 17, "Vegano", 20, "Alcoólicos", 23, "Zero", 26, "Gelatos Proteicos", 29, 8), 8)) + IF(B366="Gelatos Proteicos", (ROUND(Q366,4)&lt;'Tabela de ingredientes'!$W$28)+(ROUND(Q366,4)&gt;'Tabela de ingredientes'!$W$29), 0) = 0, "Ok", "Revisar"))</f>
        <v/>
      </c>
    </row>
    <row r="367">
      <c r="A367" s="264"/>
      <c r="B367" s="264" t="s">
        <v>187</v>
      </c>
      <c r="C367" s="264" t="s">
        <v>187</v>
      </c>
      <c r="D367" s="264" t="s">
        <v>187</v>
      </c>
      <c r="E367" s="264" t="s">
        <v>187</v>
      </c>
      <c r="F367" s="264" t="s">
        <v>187</v>
      </c>
      <c r="G367" s="264" t="s">
        <v>187</v>
      </c>
      <c r="H367" s="264" t="s">
        <v>187</v>
      </c>
      <c r="I367" s="264" t="s">
        <v>187</v>
      </c>
      <c r="J367" s="264" t="s">
        <v>187</v>
      </c>
      <c r="K367" s="264" t="s">
        <v>187</v>
      </c>
      <c r="L367" s="264" t="s">
        <v>187</v>
      </c>
      <c r="M367" s="264" t="s">
        <v>187</v>
      </c>
      <c r="N367" s="264" t="s">
        <v>187</v>
      </c>
      <c r="O367" s="264" t="s">
        <v>187</v>
      </c>
      <c r="P367" s="264" t="s">
        <v>187</v>
      </c>
      <c r="Q367" s="264" t="s">
        <v>187</v>
      </c>
      <c r="R367" s="264" t="s">
        <v>187</v>
      </c>
      <c r="S367" s="97" t="str">
        <f t="array" ref="S367">IF(A367="","", IF( (ROUND(I367,4) &lt; INDEX('Tabela de ingredientes'!$O$1:$V$30, SWITCH(B367, "Gelatos de Leite", 7, "Sorbets", 10, "Gelatos de Leite com Fruta", 13, "Chocolate base água", 16, "Vegano", 19, "Alcoólicos", 22, "Zero", 25, "Gelatos Proteicos", 28, 7), 1)) + (ROUND(I367,4) &gt; INDEX('Tabela de ingredientes'!$O$1:$V$30, SWITCH(B367, "Gelatos de Leite", 8, "Sorbets", 11, "Gelatos de Leite com Fruta", 14, "Chocolate base água", 17, "Vegano", 20, "Alcoólicos", 23, "Zero", 26, "Gelatos Proteicos", 29, 8), 1)) + (ROUND(J367,4) &lt; INDEX('Tabela de ingredientes'!$O$1:$V$30, SWITCH(B367, "Gelatos de Leite", 7, "Sorbets", 10, "Gelatos de Leite com Fruta", 13, "Chocolate base água", 16, "Vegano", 19, "Alcoólicos", 22, "Zero", 25, "Gelatos Proteicos", 28, 7), 2)) + (ROUND(J367,4) &gt; INDEX('Tabela de ingredientes'!$O$1:$V$30, SWITCH(B367, "Gelatos de Leite", 8, "Sorbets", 11, "Gelatos de Leite com Fruta", 14, "Chocolate base água", 17, "Vegano", 20, "Alcoólicos", 23, "Zero", 26, "Gelatos Proteicos", 29, 8), 2)) + (ROUND(K367,4) &lt; INDEX('Tabela de ingredientes'!$O$1:$V$30, SWITCH(B367, "Gelatos de Leite", 7, "Sorbets", 10, "Gelatos de Leite com Fruta", 13, "Chocolate base água", 16, "Vegano", 19, "Alcoólicos", 22, "Zero", 25, "Gelatos Proteicos", 28, 7), 3)) + (ROUND(K367,4) &gt; INDEX('Tabela de ingredientes'!$O$1:$V$30, SWITCH(B367, "Gelatos de Leite", 8, "Sorbets", 11, "Gelatos de Leite com Fruta", 14, "Chocolate base água", 17, "Vegano", 20, "Alcoólicos", 23, "Zero", 26, "Gelatos Proteicos", 29, 8), 3)) + (ROUND(L367,4) &lt; INDEX('Tabela de ingredientes'!$O$1:$V$30, SWITCH(B367, "Gelatos de Leite", 7, "Sorbets", 10, "Gelatos de Leite com Fruta", 13, "Chocolate base água", 16, "Vegano", 19, "Alcoólicos", 22, "Zero", 25, "Gelatos Proteicos", 28, 7), 4)) + (ROUND(L367,4) &gt; INDEX('Tabela de ingredientes'!$O$1:$V$30, SWITCH(B367, "Gelatos de Leite", 8, "Sorbets", 11, "Gelatos de Leite com Fruta", 14, "Chocolate base água", 17, "Vegano", 20, "Alcoólicos", 23, "Zero", 26, "Gelatos Proteicos", 29, 8), 4)) + (ROUND(M367,4) &lt; INDEX('Tabela de ingredientes'!$O$1:$V$30, SWITCH(B367, "Gelatos de Leite", 7, "Sorbets", 10, "Gelatos de Leite com Fruta", 13, "Chocolate base água", 16, "Vegano", 19, "Alcoólicos", 22, "Zero", 25, "Gelatos Proteicos", 28, 7), 5)) + (ROUND(M367,4) &gt; INDEX('Tabela de ingredientes'!$O$1:$V$30, SWITCH(B367, "Gelatos de Leite", 8, "Sorbets", 11, "Gelatos de Leite com Fruta", 14, "Chocolate base água", 17, "Vegano", 20, "Alcoólicos", 23, "Zero", 26, "Gelatos Proteicos", 29, 8), 5)) + (ROUND(N367,4) &lt; INDEX('Tabela de ingredientes'!$O$1:$V$30, SWITCH(B367, "Gelatos de Leite", 7, "Sorbets", 10, "Gelatos de Leite com Fruta", 13, "Chocolate base água", 16, "Vegano", 19, "Alcoólicos", 22, "Zero", 25, "Gelatos Proteicos", 28, 7), 6)) + (ROUND(N367,4) &gt; INDEX('Tabela de ingredientes'!$O$1:$V$30, SWITCH(B367, "Gelatos de Leite", 8, "Sorbets", 11, "Gelatos de Leite com Fruta", 14, "Chocolate base água", 17, "Vegano", 20, "Alcoólicos", 23, "Zero", 26, "Gelatos Proteicos", 29, 8), 6)) + (ROUND(O367,4) &lt; INDEX('Tabela de ingredientes'!$O$1:$V$30, SWITCH(B367, "Gelatos de Leite", 7, "Sorbets", 10, "Gelatos de Leite com Fruta", 13, "Chocolate base água", 16, "Vegano", 19, "Alcoólicos", 22, "Zero", 25, "Gelatos Proteicos", 28, 7), 7)) + (ROUND(O367,4) &gt; INDEX('Tabela de ingredientes'!$O$1:$V$30, SWITCH(B367, "Gelatos de Leite", 8, "Sorbets", 11, "Gelatos de Leite com Fruta", 14, "Chocolate base água", 17, "Vegano", 20, "Alcoólicos", 23, "Zero", 26, "Gelatos Proteicos", 29, 8), 7)) + (ROUND(P367,4) &lt; INDEX('Tabela de ingredientes'!$O$1:$V$30, SWITCH(B367, "Gelatos de Leite", 7, "Sorbets", 10, "Gelatos de Leite com Fruta", 13, "Chocolate base água", 16, "Vegano", 19, "Alcoólicos", 22, "Zero", 25, "Gelatos Proteicos", 28, 7), 8)) + (ROUND(P367,4) &gt; INDEX('Tabela de ingredientes'!$O$1:$V$30, SWITCH(B367, "Gelatos de Leite", 8, "Sorbets", 11, "Gelatos de Leite com Fruta", 14, "Chocolate base água", 17, "Vegano", 20, "Alcoólicos", 23, "Zero", 26, "Gelatos Proteicos", 29, 8), 8)) + IF(B367="Gelatos Proteicos", (ROUND(Q367,4)&lt;'Tabela de ingredientes'!$W$28)+(ROUND(Q367,4)&gt;'Tabela de ingredientes'!$W$29), 0) = 0, "Ok", "Revisar"))</f>
        <v/>
      </c>
    </row>
    <row r="368">
      <c r="A368" s="264"/>
      <c r="B368" s="264" t="s">
        <v>187</v>
      </c>
      <c r="C368" s="264" t="s">
        <v>187</v>
      </c>
      <c r="D368" s="264" t="s">
        <v>187</v>
      </c>
      <c r="E368" s="264" t="s">
        <v>187</v>
      </c>
      <c r="F368" s="264" t="s">
        <v>187</v>
      </c>
      <c r="G368" s="264" t="s">
        <v>187</v>
      </c>
      <c r="H368" s="264" t="s">
        <v>187</v>
      </c>
      <c r="I368" s="264" t="s">
        <v>187</v>
      </c>
      <c r="J368" s="264" t="s">
        <v>187</v>
      </c>
      <c r="K368" s="264" t="s">
        <v>187</v>
      </c>
      <c r="L368" s="264" t="s">
        <v>187</v>
      </c>
      <c r="M368" s="264" t="s">
        <v>187</v>
      </c>
      <c r="N368" s="264" t="s">
        <v>187</v>
      </c>
      <c r="O368" s="264" t="s">
        <v>187</v>
      </c>
      <c r="P368" s="264" t="s">
        <v>187</v>
      </c>
      <c r="Q368" s="264" t="s">
        <v>187</v>
      </c>
      <c r="R368" s="264" t="s">
        <v>187</v>
      </c>
      <c r="S368" s="97" t="str">
        <f t="array" ref="S368">IF(A368="","", IF( (ROUND(I368,4) &lt; INDEX('Tabela de ingredientes'!$O$1:$V$30, SWITCH(B368, "Gelatos de Leite", 7, "Sorbets", 10, "Gelatos de Leite com Fruta", 13, "Chocolate base água", 16, "Vegano", 19, "Alcoólicos", 22, "Zero", 25, "Gelatos Proteicos", 28, 7), 1)) + (ROUND(I368,4) &gt; INDEX('Tabela de ingredientes'!$O$1:$V$30, SWITCH(B368, "Gelatos de Leite", 8, "Sorbets", 11, "Gelatos de Leite com Fruta", 14, "Chocolate base água", 17, "Vegano", 20, "Alcoólicos", 23, "Zero", 26, "Gelatos Proteicos", 29, 8), 1)) + (ROUND(J368,4) &lt; INDEX('Tabela de ingredientes'!$O$1:$V$30, SWITCH(B368, "Gelatos de Leite", 7, "Sorbets", 10, "Gelatos de Leite com Fruta", 13, "Chocolate base água", 16, "Vegano", 19, "Alcoólicos", 22, "Zero", 25, "Gelatos Proteicos", 28, 7), 2)) + (ROUND(J368,4) &gt; INDEX('Tabela de ingredientes'!$O$1:$V$30, SWITCH(B368, "Gelatos de Leite", 8, "Sorbets", 11, "Gelatos de Leite com Fruta", 14, "Chocolate base água", 17, "Vegano", 20, "Alcoólicos", 23, "Zero", 26, "Gelatos Proteicos", 29, 8), 2)) + (ROUND(K368,4) &lt; INDEX('Tabela de ingredientes'!$O$1:$V$30, SWITCH(B368, "Gelatos de Leite", 7, "Sorbets", 10, "Gelatos de Leite com Fruta", 13, "Chocolate base água", 16, "Vegano", 19, "Alcoólicos", 22, "Zero", 25, "Gelatos Proteicos", 28, 7), 3)) + (ROUND(K368,4) &gt; INDEX('Tabela de ingredientes'!$O$1:$V$30, SWITCH(B368, "Gelatos de Leite", 8, "Sorbets", 11, "Gelatos de Leite com Fruta", 14, "Chocolate base água", 17, "Vegano", 20, "Alcoólicos", 23, "Zero", 26, "Gelatos Proteicos", 29, 8), 3)) + (ROUND(L368,4) &lt; INDEX('Tabela de ingredientes'!$O$1:$V$30, SWITCH(B368, "Gelatos de Leite", 7, "Sorbets", 10, "Gelatos de Leite com Fruta", 13, "Chocolate base água", 16, "Vegano", 19, "Alcoólicos", 22, "Zero", 25, "Gelatos Proteicos", 28, 7), 4)) + (ROUND(L368,4) &gt; INDEX('Tabela de ingredientes'!$O$1:$V$30, SWITCH(B368, "Gelatos de Leite", 8, "Sorbets", 11, "Gelatos de Leite com Fruta", 14, "Chocolate base água", 17, "Vegano", 20, "Alcoólicos", 23, "Zero", 26, "Gelatos Proteicos", 29, 8), 4)) + (ROUND(M368,4) &lt; INDEX('Tabela de ingredientes'!$O$1:$V$30, SWITCH(B368, "Gelatos de Leite", 7, "Sorbets", 10, "Gelatos de Leite com Fruta", 13, "Chocolate base água", 16, "Vegano", 19, "Alcoólicos", 22, "Zero", 25, "Gelatos Proteicos", 28, 7), 5)) + (ROUND(M368,4) &gt; INDEX('Tabela de ingredientes'!$O$1:$V$30, SWITCH(B368, "Gelatos de Leite", 8, "Sorbets", 11, "Gelatos de Leite com Fruta", 14, "Chocolate base água", 17, "Vegano", 20, "Alcoólicos", 23, "Zero", 26, "Gelatos Proteicos", 29, 8), 5)) + (ROUND(N368,4) &lt; INDEX('Tabela de ingredientes'!$O$1:$V$30, SWITCH(B368, "Gelatos de Leite", 7, "Sorbets", 10, "Gelatos de Leite com Fruta", 13, "Chocolate base água", 16, "Vegano", 19, "Alcoólicos", 22, "Zero", 25, "Gelatos Proteicos", 28, 7), 6)) + (ROUND(N368,4) &gt; INDEX('Tabela de ingredientes'!$O$1:$V$30, SWITCH(B368, "Gelatos de Leite", 8, "Sorbets", 11, "Gelatos de Leite com Fruta", 14, "Chocolate base água", 17, "Vegano", 20, "Alcoólicos", 23, "Zero", 26, "Gelatos Proteicos", 29, 8), 6)) + (ROUND(O368,4) &lt; INDEX('Tabela de ingredientes'!$O$1:$V$30, SWITCH(B368, "Gelatos de Leite", 7, "Sorbets", 10, "Gelatos de Leite com Fruta", 13, "Chocolate base água", 16, "Vegano", 19, "Alcoólicos", 22, "Zero", 25, "Gelatos Proteicos", 28, 7), 7)) + (ROUND(O368,4) &gt; INDEX('Tabela de ingredientes'!$O$1:$V$30, SWITCH(B368, "Gelatos de Leite", 8, "Sorbets", 11, "Gelatos de Leite com Fruta", 14, "Chocolate base água", 17, "Vegano", 20, "Alcoólicos", 23, "Zero", 26, "Gelatos Proteicos", 29, 8), 7)) + (ROUND(P368,4) &lt; INDEX('Tabela de ingredientes'!$O$1:$V$30, SWITCH(B368, "Gelatos de Leite", 7, "Sorbets", 10, "Gelatos de Leite com Fruta", 13, "Chocolate base água", 16, "Vegano", 19, "Alcoólicos", 22, "Zero", 25, "Gelatos Proteicos", 28, 7), 8)) + (ROUND(P368,4) &gt; INDEX('Tabela de ingredientes'!$O$1:$V$30, SWITCH(B368, "Gelatos de Leite", 8, "Sorbets", 11, "Gelatos de Leite com Fruta", 14, "Chocolate base água", 17, "Vegano", 20, "Alcoólicos", 23, "Zero", 26, "Gelatos Proteicos", 29, 8), 8)) + IF(B368="Gelatos Proteicos", (ROUND(Q368,4)&lt;'Tabela de ingredientes'!$W$28)+(ROUND(Q368,4)&gt;'Tabela de ingredientes'!$W$29), 0) = 0, "Ok", "Revisar"))</f>
        <v/>
      </c>
    </row>
    <row r="369">
      <c r="A369" s="264"/>
      <c r="B369" s="264" t="s">
        <v>187</v>
      </c>
      <c r="C369" s="264" t="s">
        <v>187</v>
      </c>
      <c r="D369" s="264" t="s">
        <v>187</v>
      </c>
      <c r="E369" s="264" t="s">
        <v>187</v>
      </c>
      <c r="F369" s="264" t="s">
        <v>187</v>
      </c>
      <c r="G369" s="264" t="s">
        <v>187</v>
      </c>
      <c r="H369" s="264" t="s">
        <v>187</v>
      </c>
      <c r="I369" s="264" t="s">
        <v>187</v>
      </c>
      <c r="J369" s="264" t="s">
        <v>187</v>
      </c>
      <c r="K369" s="264" t="s">
        <v>187</v>
      </c>
      <c r="L369" s="264" t="s">
        <v>187</v>
      </c>
      <c r="M369" s="264" t="s">
        <v>187</v>
      </c>
      <c r="N369" s="264" t="s">
        <v>187</v>
      </c>
      <c r="O369" s="264" t="s">
        <v>187</v>
      </c>
      <c r="P369" s="264" t="s">
        <v>187</v>
      </c>
      <c r="Q369" s="264" t="s">
        <v>187</v>
      </c>
      <c r="R369" s="264" t="s">
        <v>187</v>
      </c>
      <c r="S369" s="97" t="str">
        <f t="array" ref="S369">IF(A369="","", IF( (ROUND(I369,4) &lt; INDEX('Tabela de ingredientes'!$O$1:$V$30, SWITCH(B369, "Gelatos de Leite", 7, "Sorbets", 10, "Gelatos de Leite com Fruta", 13, "Chocolate base água", 16, "Vegano", 19, "Alcoólicos", 22, "Zero", 25, "Gelatos Proteicos", 28, 7), 1)) + (ROUND(I369,4) &gt; INDEX('Tabela de ingredientes'!$O$1:$V$30, SWITCH(B369, "Gelatos de Leite", 8, "Sorbets", 11, "Gelatos de Leite com Fruta", 14, "Chocolate base água", 17, "Vegano", 20, "Alcoólicos", 23, "Zero", 26, "Gelatos Proteicos", 29, 8), 1)) + (ROUND(J369,4) &lt; INDEX('Tabela de ingredientes'!$O$1:$V$30, SWITCH(B369, "Gelatos de Leite", 7, "Sorbets", 10, "Gelatos de Leite com Fruta", 13, "Chocolate base água", 16, "Vegano", 19, "Alcoólicos", 22, "Zero", 25, "Gelatos Proteicos", 28, 7), 2)) + (ROUND(J369,4) &gt; INDEX('Tabela de ingredientes'!$O$1:$V$30, SWITCH(B369, "Gelatos de Leite", 8, "Sorbets", 11, "Gelatos de Leite com Fruta", 14, "Chocolate base água", 17, "Vegano", 20, "Alcoólicos", 23, "Zero", 26, "Gelatos Proteicos", 29, 8), 2)) + (ROUND(K369,4) &lt; INDEX('Tabela de ingredientes'!$O$1:$V$30, SWITCH(B369, "Gelatos de Leite", 7, "Sorbets", 10, "Gelatos de Leite com Fruta", 13, "Chocolate base água", 16, "Vegano", 19, "Alcoólicos", 22, "Zero", 25, "Gelatos Proteicos", 28, 7), 3)) + (ROUND(K369,4) &gt; INDEX('Tabela de ingredientes'!$O$1:$V$30, SWITCH(B369, "Gelatos de Leite", 8, "Sorbets", 11, "Gelatos de Leite com Fruta", 14, "Chocolate base água", 17, "Vegano", 20, "Alcoólicos", 23, "Zero", 26, "Gelatos Proteicos", 29, 8), 3)) + (ROUND(L369,4) &lt; INDEX('Tabela de ingredientes'!$O$1:$V$30, SWITCH(B369, "Gelatos de Leite", 7, "Sorbets", 10, "Gelatos de Leite com Fruta", 13, "Chocolate base água", 16, "Vegano", 19, "Alcoólicos", 22, "Zero", 25, "Gelatos Proteicos", 28, 7), 4)) + (ROUND(L369,4) &gt; INDEX('Tabela de ingredientes'!$O$1:$V$30, SWITCH(B369, "Gelatos de Leite", 8, "Sorbets", 11, "Gelatos de Leite com Fruta", 14, "Chocolate base água", 17, "Vegano", 20, "Alcoólicos", 23, "Zero", 26, "Gelatos Proteicos", 29, 8), 4)) + (ROUND(M369,4) &lt; INDEX('Tabela de ingredientes'!$O$1:$V$30, SWITCH(B369, "Gelatos de Leite", 7, "Sorbets", 10, "Gelatos de Leite com Fruta", 13, "Chocolate base água", 16, "Vegano", 19, "Alcoólicos", 22, "Zero", 25, "Gelatos Proteicos", 28, 7), 5)) + (ROUND(M369,4) &gt; INDEX('Tabela de ingredientes'!$O$1:$V$30, SWITCH(B369, "Gelatos de Leite", 8, "Sorbets", 11, "Gelatos de Leite com Fruta", 14, "Chocolate base água", 17, "Vegano", 20, "Alcoólicos", 23, "Zero", 26, "Gelatos Proteicos", 29, 8), 5)) + (ROUND(N369,4) &lt; INDEX('Tabela de ingredientes'!$O$1:$V$30, SWITCH(B369, "Gelatos de Leite", 7, "Sorbets", 10, "Gelatos de Leite com Fruta", 13, "Chocolate base água", 16, "Vegano", 19, "Alcoólicos", 22, "Zero", 25, "Gelatos Proteicos", 28, 7), 6)) + (ROUND(N369,4) &gt; INDEX('Tabela de ingredientes'!$O$1:$V$30, SWITCH(B369, "Gelatos de Leite", 8, "Sorbets", 11, "Gelatos de Leite com Fruta", 14, "Chocolate base água", 17, "Vegano", 20, "Alcoólicos", 23, "Zero", 26, "Gelatos Proteicos", 29, 8), 6)) + (ROUND(O369,4) &lt; INDEX('Tabela de ingredientes'!$O$1:$V$30, SWITCH(B369, "Gelatos de Leite", 7, "Sorbets", 10, "Gelatos de Leite com Fruta", 13, "Chocolate base água", 16, "Vegano", 19, "Alcoólicos", 22, "Zero", 25, "Gelatos Proteicos", 28, 7), 7)) + (ROUND(O369,4) &gt; INDEX('Tabela de ingredientes'!$O$1:$V$30, SWITCH(B369, "Gelatos de Leite", 8, "Sorbets", 11, "Gelatos de Leite com Fruta", 14, "Chocolate base água", 17, "Vegano", 20, "Alcoólicos", 23, "Zero", 26, "Gelatos Proteicos", 29, 8), 7)) + (ROUND(P369,4) &lt; INDEX('Tabela de ingredientes'!$O$1:$V$30, SWITCH(B369, "Gelatos de Leite", 7, "Sorbets", 10, "Gelatos de Leite com Fruta", 13, "Chocolate base água", 16, "Vegano", 19, "Alcoólicos", 22, "Zero", 25, "Gelatos Proteicos", 28, 7), 8)) + (ROUND(P369,4) &gt; INDEX('Tabela de ingredientes'!$O$1:$V$30, SWITCH(B369, "Gelatos de Leite", 8, "Sorbets", 11, "Gelatos de Leite com Fruta", 14, "Chocolate base água", 17, "Vegano", 20, "Alcoólicos", 23, "Zero", 26, "Gelatos Proteicos", 29, 8), 8)) + IF(B369="Gelatos Proteicos", (ROUND(Q369,4)&lt;'Tabela de ingredientes'!$W$28)+(ROUND(Q369,4)&gt;'Tabela de ingredientes'!$W$29), 0) = 0, "Ok", "Revisar"))</f>
        <v/>
      </c>
    </row>
    <row r="370">
      <c r="A370" s="264"/>
      <c r="B370" s="264" t="s">
        <v>187</v>
      </c>
      <c r="C370" s="264" t="s">
        <v>187</v>
      </c>
      <c r="D370" s="264" t="s">
        <v>187</v>
      </c>
      <c r="E370" s="264" t="s">
        <v>187</v>
      </c>
      <c r="F370" s="264" t="s">
        <v>187</v>
      </c>
      <c r="G370" s="264" t="s">
        <v>187</v>
      </c>
      <c r="H370" s="264" t="s">
        <v>187</v>
      </c>
      <c r="I370" s="264" t="s">
        <v>187</v>
      </c>
      <c r="J370" s="264" t="s">
        <v>187</v>
      </c>
      <c r="K370" s="264" t="s">
        <v>187</v>
      </c>
      <c r="L370" s="264" t="s">
        <v>187</v>
      </c>
      <c r="M370" s="264" t="s">
        <v>187</v>
      </c>
      <c r="N370" s="264" t="s">
        <v>187</v>
      </c>
      <c r="O370" s="264" t="s">
        <v>187</v>
      </c>
      <c r="P370" s="264" t="s">
        <v>187</v>
      </c>
      <c r="Q370" s="264" t="s">
        <v>187</v>
      </c>
      <c r="R370" s="264" t="s">
        <v>187</v>
      </c>
      <c r="S370" s="97" t="str">
        <f t="array" ref="S370">IF(A370="","", IF( (ROUND(I370,4) &lt; INDEX('Tabela de ingredientes'!$O$1:$V$30, SWITCH(B370, "Gelatos de Leite", 7, "Sorbets", 10, "Gelatos de Leite com Fruta", 13, "Chocolate base água", 16, "Vegano", 19, "Alcoólicos", 22, "Zero", 25, "Gelatos Proteicos", 28, 7), 1)) + (ROUND(I370,4) &gt; INDEX('Tabela de ingredientes'!$O$1:$V$30, SWITCH(B370, "Gelatos de Leite", 8, "Sorbets", 11, "Gelatos de Leite com Fruta", 14, "Chocolate base água", 17, "Vegano", 20, "Alcoólicos", 23, "Zero", 26, "Gelatos Proteicos", 29, 8), 1)) + (ROUND(J370,4) &lt; INDEX('Tabela de ingredientes'!$O$1:$V$30, SWITCH(B370, "Gelatos de Leite", 7, "Sorbets", 10, "Gelatos de Leite com Fruta", 13, "Chocolate base água", 16, "Vegano", 19, "Alcoólicos", 22, "Zero", 25, "Gelatos Proteicos", 28, 7), 2)) + (ROUND(J370,4) &gt; INDEX('Tabela de ingredientes'!$O$1:$V$30, SWITCH(B370, "Gelatos de Leite", 8, "Sorbets", 11, "Gelatos de Leite com Fruta", 14, "Chocolate base água", 17, "Vegano", 20, "Alcoólicos", 23, "Zero", 26, "Gelatos Proteicos", 29, 8), 2)) + (ROUND(K370,4) &lt; INDEX('Tabela de ingredientes'!$O$1:$V$30, SWITCH(B370, "Gelatos de Leite", 7, "Sorbets", 10, "Gelatos de Leite com Fruta", 13, "Chocolate base água", 16, "Vegano", 19, "Alcoólicos", 22, "Zero", 25, "Gelatos Proteicos", 28, 7), 3)) + (ROUND(K370,4) &gt; INDEX('Tabela de ingredientes'!$O$1:$V$30, SWITCH(B370, "Gelatos de Leite", 8, "Sorbets", 11, "Gelatos de Leite com Fruta", 14, "Chocolate base água", 17, "Vegano", 20, "Alcoólicos", 23, "Zero", 26, "Gelatos Proteicos", 29, 8), 3)) + (ROUND(L370,4) &lt; INDEX('Tabela de ingredientes'!$O$1:$V$30, SWITCH(B370, "Gelatos de Leite", 7, "Sorbets", 10, "Gelatos de Leite com Fruta", 13, "Chocolate base água", 16, "Vegano", 19, "Alcoólicos", 22, "Zero", 25, "Gelatos Proteicos", 28, 7), 4)) + (ROUND(L370,4) &gt; INDEX('Tabela de ingredientes'!$O$1:$V$30, SWITCH(B370, "Gelatos de Leite", 8, "Sorbets", 11, "Gelatos de Leite com Fruta", 14, "Chocolate base água", 17, "Vegano", 20, "Alcoólicos", 23, "Zero", 26, "Gelatos Proteicos", 29, 8), 4)) + (ROUND(M370,4) &lt; INDEX('Tabela de ingredientes'!$O$1:$V$30, SWITCH(B370, "Gelatos de Leite", 7, "Sorbets", 10, "Gelatos de Leite com Fruta", 13, "Chocolate base água", 16, "Vegano", 19, "Alcoólicos", 22, "Zero", 25, "Gelatos Proteicos", 28, 7), 5)) + (ROUND(M370,4) &gt; INDEX('Tabela de ingredientes'!$O$1:$V$30, SWITCH(B370, "Gelatos de Leite", 8, "Sorbets", 11, "Gelatos de Leite com Fruta", 14, "Chocolate base água", 17, "Vegano", 20, "Alcoólicos", 23, "Zero", 26, "Gelatos Proteicos", 29, 8), 5)) + (ROUND(N370,4) &lt; INDEX('Tabela de ingredientes'!$O$1:$V$30, SWITCH(B370, "Gelatos de Leite", 7, "Sorbets", 10, "Gelatos de Leite com Fruta", 13, "Chocolate base água", 16, "Vegano", 19, "Alcoólicos", 22, "Zero", 25, "Gelatos Proteicos", 28, 7), 6)) + (ROUND(N370,4) &gt; INDEX('Tabela de ingredientes'!$O$1:$V$30, SWITCH(B370, "Gelatos de Leite", 8, "Sorbets", 11, "Gelatos de Leite com Fruta", 14, "Chocolate base água", 17, "Vegano", 20, "Alcoólicos", 23, "Zero", 26, "Gelatos Proteicos", 29, 8), 6)) + (ROUND(O370,4) &lt; INDEX('Tabela de ingredientes'!$O$1:$V$30, SWITCH(B370, "Gelatos de Leite", 7, "Sorbets", 10, "Gelatos de Leite com Fruta", 13, "Chocolate base água", 16, "Vegano", 19, "Alcoólicos", 22, "Zero", 25, "Gelatos Proteicos", 28, 7), 7)) + (ROUND(O370,4) &gt; INDEX('Tabela de ingredientes'!$O$1:$V$30, SWITCH(B370, "Gelatos de Leite", 8, "Sorbets", 11, "Gelatos de Leite com Fruta", 14, "Chocolate base água", 17, "Vegano", 20, "Alcoólicos", 23, "Zero", 26, "Gelatos Proteicos", 29, 8), 7)) + (ROUND(P370,4) &lt; INDEX('Tabela de ingredientes'!$O$1:$V$30, SWITCH(B370, "Gelatos de Leite", 7, "Sorbets", 10, "Gelatos de Leite com Fruta", 13, "Chocolate base água", 16, "Vegano", 19, "Alcoólicos", 22, "Zero", 25, "Gelatos Proteicos", 28, 7), 8)) + (ROUND(P370,4) &gt; INDEX('Tabela de ingredientes'!$O$1:$V$30, SWITCH(B370, "Gelatos de Leite", 8, "Sorbets", 11, "Gelatos de Leite com Fruta", 14, "Chocolate base água", 17, "Vegano", 20, "Alcoólicos", 23, "Zero", 26, "Gelatos Proteicos", 29, 8), 8)) + IF(B370="Gelatos Proteicos", (ROUND(Q370,4)&lt;'Tabela de ingredientes'!$W$28)+(ROUND(Q370,4)&gt;'Tabela de ingredientes'!$W$29), 0) = 0, "Ok", "Revisar"))</f>
        <v/>
      </c>
    </row>
    <row r="371">
      <c r="A371" s="264"/>
      <c r="B371" s="264" t="s">
        <v>187</v>
      </c>
      <c r="C371" s="264" t="s">
        <v>187</v>
      </c>
      <c r="D371" s="264" t="s">
        <v>187</v>
      </c>
      <c r="E371" s="264" t="s">
        <v>187</v>
      </c>
      <c r="F371" s="264" t="s">
        <v>187</v>
      </c>
      <c r="G371" s="264" t="s">
        <v>187</v>
      </c>
      <c r="H371" s="264" t="s">
        <v>187</v>
      </c>
      <c r="I371" s="264" t="s">
        <v>187</v>
      </c>
      <c r="J371" s="264" t="s">
        <v>187</v>
      </c>
      <c r="K371" s="264" t="s">
        <v>187</v>
      </c>
      <c r="L371" s="264" t="s">
        <v>187</v>
      </c>
      <c r="M371" s="264" t="s">
        <v>187</v>
      </c>
      <c r="N371" s="264" t="s">
        <v>187</v>
      </c>
      <c r="O371" s="264" t="s">
        <v>187</v>
      </c>
      <c r="P371" s="264" t="s">
        <v>187</v>
      </c>
      <c r="Q371" s="264" t="s">
        <v>187</v>
      </c>
      <c r="R371" s="264" t="s">
        <v>187</v>
      </c>
      <c r="S371" s="97" t="str">
        <f t="array" ref="S371">IF(A371="","", IF( (ROUND(I371,4) &lt; INDEX('Tabela de ingredientes'!$O$1:$V$30, SWITCH(B371, "Gelatos de Leite", 7, "Sorbets", 10, "Gelatos de Leite com Fruta", 13, "Chocolate base água", 16, "Vegano", 19, "Alcoólicos", 22, "Zero", 25, "Gelatos Proteicos", 28, 7), 1)) + (ROUND(I371,4) &gt; INDEX('Tabela de ingredientes'!$O$1:$V$30, SWITCH(B371, "Gelatos de Leite", 8, "Sorbets", 11, "Gelatos de Leite com Fruta", 14, "Chocolate base água", 17, "Vegano", 20, "Alcoólicos", 23, "Zero", 26, "Gelatos Proteicos", 29, 8), 1)) + (ROUND(J371,4) &lt; INDEX('Tabela de ingredientes'!$O$1:$V$30, SWITCH(B371, "Gelatos de Leite", 7, "Sorbets", 10, "Gelatos de Leite com Fruta", 13, "Chocolate base água", 16, "Vegano", 19, "Alcoólicos", 22, "Zero", 25, "Gelatos Proteicos", 28, 7), 2)) + (ROUND(J371,4) &gt; INDEX('Tabela de ingredientes'!$O$1:$V$30, SWITCH(B371, "Gelatos de Leite", 8, "Sorbets", 11, "Gelatos de Leite com Fruta", 14, "Chocolate base água", 17, "Vegano", 20, "Alcoólicos", 23, "Zero", 26, "Gelatos Proteicos", 29, 8), 2)) + (ROUND(K371,4) &lt; INDEX('Tabela de ingredientes'!$O$1:$V$30, SWITCH(B371, "Gelatos de Leite", 7, "Sorbets", 10, "Gelatos de Leite com Fruta", 13, "Chocolate base água", 16, "Vegano", 19, "Alcoólicos", 22, "Zero", 25, "Gelatos Proteicos", 28, 7), 3)) + (ROUND(K371,4) &gt; INDEX('Tabela de ingredientes'!$O$1:$V$30, SWITCH(B371, "Gelatos de Leite", 8, "Sorbets", 11, "Gelatos de Leite com Fruta", 14, "Chocolate base água", 17, "Vegano", 20, "Alcoólicos", 23, "Zero", 26, "Gelatos Proteicos", 29, 8), 3)) + (ROUND(L371,4) &lt; INDEX('Tabela de ingredientes'!$O$1:$V$30, SWITCH(B371, "Gelatos de Leite", 7, "Sorbets", 10, "Gelatos de Leite com Fruta", 13, "Chocolate base água", 16, "Vegano", 19, "Alcoólicos", 22, "Zero", 25, "Gelatos Proteicos", 28, 7), 4)) + (ROUND(L371,4) &gt; INDEX('Tabela de ingredientes'!$O$1:$V$30, SWITCH(B371, "Gelatos de Leite", 8, "Sorbets", 11, "Gelatos de Leite com Fruta", 14, "Chocolate base água", 17, "Vegano", 20, "Alcoólicos", 23, "Zero", 26, "Gelatos Proteicos", 29, 8), 4)) + (ROUND(M371,4) &lt; INDEX('Tabela de ingredientes'!$O$1:$V$30, SWITCH(B371, "Gelatos de Leite", 7, "Sorbets", 10, "Gelatos de Leite com Fruta", 13, "Chocolate base água", 16, "Vegano", 19, "Alcoólicos", 22, "Zero", 25, "Gelatos Proteicos", 28, 7), 5)) + (ROUND(M371,4) &gt; INDEX('Tabela de ingredientes'!$O$1:$V$30, SWITCH(B371, "Gelatos de Leite", 8, "Sorbets", 11, "Gelatos de Leite com Fruta", 14, "Chocolate base água", 17, "Vegano", 20, "Alcoólicos", 23, "Zero", 26, "Gelatos Proteicos", 29, 8), 5)) + (ROUND(N371,4) &lt; INDEX('Tabela de ingredientes'!$O$1:$V$30, SWITCH(B371, "Gelatos de Leite", 7, "Sorbets", 10, "Gelatos de Leite com Fruta", 13, "Chocolate base água", 16, "Vegano", 19, "Alcoólicos", 22, "Zero", 25, "Gelatos Proteicos", 28, 7), 6)) + (ROUND(N371,4) &gt; INDEX('Tabela de ingredientes'!$O$1:$V$30, SWITCH(B371, "Gelatos de Leite", 8, "Sorbets", 11, "Gelatos de Leite com Fruta", 14, "Chocolate base água", 17, "Vegano", 20, "Alcoólicos", 23, "Zero", 26, "Gelatos Proteicos", 29, 8), 6)) + (ROUND(O371,4) &lt; INDEX('Tabela de ingredientes'!$O$1:$V$30, SWITCH(B371, "Gelatos de Leite", 7, "Sorbets", 10, "Gelatos de Leite com Fruta", 13, "Chocolate base água", 16, "Vegano", 19, "Alcoólicos", 22, "Zero", 25, "Gelatos Proteicos", 28, 7), 7)) + (ROUND(O371,4) &gt; INDEX('Tabela de ingredientes'!$O$1:$V$30, SWITCH(B371, "Gelatos de Leite", 8, "Sorbets", 11, "Gelatos de Leite com Fruta", 14, "Chocolate base água", 17, "Vegano", 20, "Alcoólicos", 23, "Zero", 26, "Gelatos Proteicos", 29, 8), 7)) + (ROUND(P371,4) &lt; INDEX('Tabela de ingredientes'!$O$1:$V$30, SWITCH(B371, "Gelatos de Leite", 7, "Sorbets", 10, "Gelatos de Leite com Fruta", 13, "Chocolate base água", 16, "Vegano", 19, "Alcoólicos", 22, "Zero", 25, "Gelatos Proteicos", 28, 7), 8)) + (ROUND(P371,4) &gt; INDEX('Tabela de ingredientes'!$O$1:$V$30, SWITCH(B371, "Gelatos de Leite", 8, "Sorbets", 11, "Gelatos de Leite com Fruta", 14, "Chocolate base água", 17, "Vegano", 20, "Alcoólicos", 23, "Zero", 26, "Gelatos Proteicos", 29, 8), 8)) + IF(B371="Gelatos Proteicos", (ROUND(Q371,4)&lt;'Tabela de ingredientes'!$W$28)+(ROUND(Q371,4)&gt;'Tabela de ingredientes'!$W$29), 0) = 0, "Ok", "Revisar"))</f>
        <v/>
      </c>
    </row>
    <row r="372">
      <c r="A372" s="264"/>
      <c r="B372" s="264" t="s">
        <v>187</v>
      </c>
      <c r="C372" s="264" t="s">
        <v>187</v>
      </c>
      <c r="D372" s="264" t="s">
        <v>187</v>
      </c>
      <c r="E372" s="264" t="s">
        <v>187</v>
      </c>
      <c r="F372" s="264" t="s">
        <v>187</v>
      </c>
      <c r="G372" s="264" t="s">
        <v>187</v>
      </c>
      <c r="H372" s="264" t="s">
        <v>187</v>
      </c>
      <c r="I372" s="264" t="s">
        <v>187</v>
      </c>
      <c r="J372" s="264" t="s">
        <v>187</v>
      </c>
      <c r="K372" s="264" t="s">
        <v>187</v>
      </c>
      <c r="L372" s="264" t="s">
        <v>187</v>
      </c>
      <c r="M372" s="264" t="s">
        <v>187</v>
      </c>
      <c r="N372" s="264" t="s">
        <v>187</v>
      </c>
      <c r="O372" s="264" t="s">
        <v>187</v>
      </c>
      <c r="P372" s="264" t="s">
        <v>187</v>
      </c>
      <c r="Q372" s="264" t="s">
        <v>187</v>
      </c>
      <c r="R372" s="264" t="s">
        <v>187</v>
      </c>
      <c r="S372" s="97" t="str">
        <f t="array" ref="S372">IF(A372="","", IF( (ROUND(I372,4) &lt; INDEX('Tabela de ingredientes'!$O$1:$V$30, SWITCH(B372, "Gelatos de Leite", 7, "Sorbets", 10, "Gelatos de Leite com Fruta", 13, "Chocolate base água", 16, "Vegano", 19, "Alcoólicos", 22, "Zero", 25, "Gelatos Proteicos", 28, 7), 1)) + (ROUND(I372,4) &gt; INDEX('Tabela de ingredientes'!$O$1:$V$30, SWITCH(B372, "Gelatos de Leite", 8, "Sorbets", 11, "Gelatos de Leite com Fruta", 14, "Chocolate base água", 17, "Vegano", 20, "Alcoólicos", 23, "Zero", 26, "Gelatos Proteicos", 29, 8), 1)) + (ROUND(J372,4) &lt; INDEX('Tabela de ingredientes'!$O$1:$V$30, SWITCH(B372, "Gelatos de Leite", 7, "Sorbets", 10, "Gelatos de Leite com Fruta", 13, "Chocolate base água", 16, "Vegano", 19, "Alcoólicos", 22, "Zero", 25, "Gelatos Proteicos", 28, 7), 2)) + (ROUND(J372,4) &gt; INDEX('Tabela de ingredientes'!$O$1:$V$30, SWITCH(B372, "Gelatos de Leite", 8, "Sorbets", 11, "Gelatos de Leite com Fruta", 14, "Chocolate base água", 17, "Vegano", 20, "Alcoólicos", 23, "Zero", 26, "Gelatos Proteicos", 29, 8), 2)) + (ROUND(K372,4) &lt; INDEX('Tabela de ingredientes'!$O$1:$V$30, SWITCH(B372, "Gelatos de Leite", 7, "Sorbets", 10, "Gelatos de Leite com Fruta", 13, "Chocolate base água", 16, "Vegano", 19, "Alcoólicos", 22, "Zero", 25, "Gelatos Proteicos", 28, 7), 3)) + (ROUND(K372,4) &gt; INDEX('Tabela de ingredientes'!$O$1:$V$30, SWITCH(B372, "Gelatos de Leite", 8, "Sorbets", 11, "Gelatos de Leite com Fruta", 14, "Chocolate base água", 17, "Vegano", 20, "Alcoólicos", 23, "Zero", 26, "Gelatos Proteicos", 29, 8), 3)) + (ROUND(L372,4) &lt; INDEX('Tabela de ingredientes'!$O$1:$V$30, SWITCH(B372, "Gelatos de Leite", 7, "Sorbets", 10, "Gelatos de Leite com Fruta", 13, "Chocolate base água", 16, "Vegano", 19, "Alcoólicos", 22, "Zero", 25, "Gelatos Proteicos", 28, 7), 4)) + (ROUND(L372,4) &gt; INDEX('Tabela de ingredientes'!$O$1:$V$30, SWITCH(B372, "Gelatos de Leite", 8, "Sorbets", 11, "Gelatos de Leite com Fruta", 14, "Chocolate base água", 17, "Vegano", 20, "Alcoólicos", 23, "Zero", 26, "Gelatos Proteicos", 29, 8), 4)) + (ROUND(M372,4) &lt; INDEX('Tabela de ingredientes'!$O$1:$V$30, SWITCH(B372, "Gelatos de Leite", 7, "Sorbets", 10, "Gelatos de Leite com Fruta", 13, "Chocolate base água", 16, "Vegano", 19, "Alcoólicos", 22, "Zero", 25, "Gelatos Proteicos", 28, 7), 5)) + (ROUND(M372,4) &gt; INDEX('Tabela de ingredientes'!$O$1:$V$30, SWITCH(B372, "Gelatos de Leite", 8, "Sorbets", 11, "Gelatos de Leite com Fruta", 14, "Chocolate base água", 17, "Vegano", 20, "Alcoólicos", 23, "Zero", 26, "Gelatos Proteicos", 29, 8), 5)) + (ROUND(N372,4) &lt; INDEX('Tabela de ingredientes'!$O$1:$V$30, SWITCH(B372, "Gelatos de Leite", 7, "Sorbets", 10, "Gelatos de Leite com Fruta", 13, "Chocolate base água", 16, "Vegano", 19, "Alcoólicos", 22, "Zero", 25, "Gelatos Proteicos", 28, 7), 6)) + (ROUND(N372,4) &gt; INDEX('Tabela de ingredientes'!$O$1:$V$30, SWITCH(B372, "Gelatos de Leite", 8, "Sorbets", 11, "Gelatos de Leite com Fruta", 14, "Chocolate base água", 17, "Vegano", 20, "Alcoólicos", 23, "Zero", 26, "Gelatos Proteicos", 29, 8), 6)) + (ROUND(O372,4) &lt; INDEX('Tabela de ingredientes'!$O$1:$V$30, SWITCH(B372, "Gelatos de Leite", 7, "Sorbets", 10, "Gelatos de Leite com Fruta", 13, "Chocolate base água", 16, "Vegano", 19, "Alcoólicos", 22, "Zero", 25, "Gelatos Proteicos", 28, 7), 7)) + (ROUND(O372,4) &gt; INDEX('Tabela de ingredientes'!$O$1:$V$30, SWITCH(B372, "Gelatos de Leite", 8, "Sorbets", 11, "Gelatos de Leite com Fruta", 14, "Chocolate base água", 17, "Vegano", 20, "Alcoólicos", 23, "Zero", 26, "Gelatos Proteicos", 29, 8), 7)) + (ROUND(P372,4) &lt; INDEX('Tabela de ingredientes'!$O$1:$V$30, SWITCH(B372, "Gelatos de Leite", 7, "Sorbets", 10, "Gelatos de Leite com Fruta", 13, "Chocolate base água", 16, "Vegano", 19, "Alcoólicos", 22, "Zero", 25, "Gelatos Proteicos", 28, 7), 8)) + (ROUND(P372,4) &gt; INDEX('Tabela de ingredientes'!$O$1:$V$30, SWITCH(B372, "Gelatos de Leite", 8, "Sorbets", 11, "Gelatos de Leite com Fruta", 14, "Chocolate base água", 17, "Vegano", 20, "Alcoólicos", 23, "Zero", 26, "Gelatos Proteicos", 29, 8), 8)) + IF(B372="Gelatos Proteicos", (ROUND(Q372,4)&lt;'Tabela de ingredientes'!$W$28)+(ROUND(Q372,4)&gt;'Tabela de ingredientes'!$W$29), 0) = 0, "Ok", "Revisar"))</f>
        <v/>
      </c>
    </row>
    <row r="373">
      <c r="A373" s="264"/>
      <c r="B373" s="264" t="s">
        <v>187</v>
      </c>
      <c r="C373" s="264" t="s">
        <v>187</v>
      </c>
      <c r="D373" s="264" t="s">
        <v>187</v>
      </c>
      <c r="E373" s="264" t="s">
        <v>187</v>
      </c>
      <c r="F373" s="264" t="s">
        <v>187</v>
      </c>
      <c r="G373" s="264" t="s">
        <v>187</v>
      </c>
      <c r="H373" s="264" t="s">
        <v>187</v>
      </c>
      <c r="I373" s="264" t="s">
        <v>187</v>
      </c>
      <c r="J373" s="264" t="s">
        <v>187</v>
      </c>
      <c r="K373" s="264" t="s">
        <v>187</v>
      </c>
      <c r="L373" s="264" t="s">
        <v>187</v>
      </c>
      <c r="M373" s="264" t="s">
        <v>187</v>
      </c>
      <c r="N373" s="264" t="s">
        <v>187</v>
      </c>
      <c r="O373" s="264" t="s">
        <v>187</v>
      </c>
      <c r="P373" s="264" t="s">
        <v>187</v>
      </c>
      <c r="Q373" s="264" t="s">
        <v>187</v>
      </c>
      <c r="R373" s="264" t="s">
        <v>187</v>
      </c>
      <c r="S373" s="97" t="str">
        <f t="array" ref="S373">IF(A373="","", IF( (ROUND(I373,4) &lt; INDEX('Tabela de ingredientes'!$O$1:$V$30, SWITCH(B373, "Gelatos de Leite", 7, "Sorbets", 10, "Gelatos de Leite com Fruta", 13, "Chocolate base água", 16, "Vegano", 19, "Alcoólicos", 22, "Zero", 25, "Gelatos Proteicos", 28, 7), 1)) + (ROUND(I373,4) &gt; INDEX('Tabela de ingredientes'!$O$1:$V$30, SWITCH(B373, "Gelatos de Leite", 8, "Sorbets", 11, "Gelatos de Leite com Fruta", 14, "Chocolate base água", 17, "Vegano", 20, "Alcoólicos", 23, "Zero", 26, "Gelatos Proteicos", 29, 8), 1)) + (ROUND(J373,4) &lt; INDEX('Tabela de ingredientes'!$O$1:$V$30, SWITCH(B373, "Gelatos de Leite", 7, "Sorbets", 10, "Gelatos de Leite com Fruta", 13, "Chocolate base água", 16, "Vegano", 19, "Alcoólicos", 22, "Zero", 25, "Gelatos Proteicos", 28, 7), 2)) + (ROUND(J373,4) &gt; INDEX('Tabela de ingredientes'!$O$1:$V$30, SWITCH(B373, "Gelatos de Leite", 8, "Sorbets", 11, "Gelatos de Leite com Fruta", 14, "Chocolate base água", 17, "Vegano", 20, "Alcoólicos", 23, "Zero", 26, "Gelatos Proteicos", 29, 8), 2)) + (ROUND(K373,4) &lt; INDEX('Tabela de ingredientes'!$O$1:$V$30, SWITCH(B373, "Gelatos de Leite", 7, "Sorbets", 10, "Gelatos de Leite com Fruta", 13, "Chocolate base água", 16, "Vegano", 19, "Alcoólicos", 22, "Zero", 25, "Gelatos Proteicos", 28, 7), 3)) + (ROUND(K373,4) &gt; INDEX('Tabela de ingredientes'!$O$1:$V$30, SWITCH(B373, "Gelatos de Leite", 8, "Sorbets", 11, "Gelatos de Leite com Fruta", 14, "Chocolate base água", 17, "Vegano", 20, "Alcoólicos", 23, "Zero", 26, "Gelatos Proteicos", 29, 8), 3)) + (ROUND(L373,4) &lt; INDEX('Tabela de ingredientes'!$O$1:$V$30, SWITCH(B373, "Gelatos de Leite", 7, "Sorbets", 10, "Gelatos de Leite com Fruta", 13, "Chocolate base água", 16, "Vegano", 19, "Alcoólicos", 22, "Zero", 25, "Gelatos Proteicos", 28, 7), 4)) + (ROUND(L373,4) &gt; INDEX('Tabela de ingredientes'!$O$1:$V$30, SWITCH(B373, "Gelatos de Leite", 8, "Sorbets", 11, "Gelatos de Leite com Fruta", 14, "Chocolate base água", 17, "Vegano", 20, "Alcoólicos", 23, "Zero", 26, "Gelatos Proteicos", 29, 8), 4)) + (ROUND(M373,4) &lt; INDEX('Tabela de ingredientes'!$O$1:$V$30, SWITCH(B373, "Gelatos de Leite", 7, "Sorbets", 10, "Gelatos de Leite com Fruta", 13, "Chocolate base água", 16, "Vegano", 19, "Alcoólicos", 22, "Zero", 25, "Gelatos Proteicos", 28, 7), 5)) + (ROUND(M373,4) &gt; INDEX('Tabela de ingredientes'!$O$1:$V$30, SWITCH(B373, "Gelatos de Leite", 8, "Sorbets", 11, "Gelatos de Leite com Fruta", 14, "Chocolate base água", 17, "Vegano", 20, "Alcoólicos", 23, "Zero", 26, "Gelatos Proteicos", 29, 8), 5)) + (ROUND(N373,4) &lt; INDEX('Tabela de ingredientes'!$O$1:$V$30, SWITCH(B373, "Gelatos de Leite", 7, "Sorbets", 10, "Gelatos de Leite com Fruta", 13, "Chocolate base água", 16, "Vegano", 19, "Alcoólicos", 22, "Zero", 25, "Gelatos Proteicos", 28, 7), 6)) + (ROUND(N373,4) &gt; INDEX('Tabela de ingredientes'!$O$1:$V$30, SWITCH(B373, "Gelatos de Leite", 8, "Sorbets", 11, "Gelatos de Leite com Fruta", 14, "Chocolate base água", 17, "Vegano", 20, "Alcoólicos", 23, "Zero", 26, "Gelatos Proteicos", 29, 8), 6)) + (ROUND(O373,4) &lt; INDEX('Tabela de ingredientes'!$O$1:$V$30, SWITCH(B373, "Gelatos de Leite", 7, "Sorbets", 10, "Gelatos de Leite com Fruta", 13, "Chocolate base água", 16, "Vegano", 19, "Alcoólicos", 22, "Zero", 25, "Gelatos Proteicos", 28, 7), 7)) + (ROUND(O373,4) &gt; INDEX('Tabela de ingredientes'!$O$1:$V$30, SWITCH(B373, "Gelatos de Leite", 8, "Sorbets", 11, "Gelatos de Leite com Fruta", 14, "Chocolate base água", 17, "Vegano", 20, "Alcoólicos", 23, "Zero", 26, "Gelatos Proteicos", 29, 8), 7)) + (ROUND(P373,4) &lt; INDEX('Tabela de ingredientes'!$O$1:$V$30, SWITCH(B373, "Gelatos de Leite", 7, "Sorbets", 10, "Gelatos de Leite com Fruta", 13, "Chocolate base água", 16, "Vegano", 19, "Alcoólicos", 22, "Zero", 25, "Gelatos Proteicos", 28, 7), 8)) + (ROUND(P373,4) &gt; INDEX('Tabela de ingredientes'!$O$1:$V$30, SWITCH(B373, "Gelatos de Leite", 8, "Sorbets", 11, "Gelatos de Leite com Fruta", 14, "Chocolate base água", 17, "Vegano", 20, "Alcoólicos", 23, "Zero", 26, "Gelatos Proteicos", 29, 8), 8)) + IF(B373="Gelatos Proteicos", (ROUND(Q373,4)&lt;'Tabela de ingredientes'!$W$28)+(ROUND(Q373,4)&gt;'Tabela de ingredientes'!$W$29), 0) = 0, "Ok", "Revisar"))</f>
        <v/>
      </c>
    </row>
    <row r="374">
      <c r="A374" s="264"/>
      <c r="B374" s="264" t="s">
        <v>187</v>
      </c>
      <c r="C374" s="264" t="s">
        <v>187</v>
      </c>
      <c r="D374" s="264" t="s">
        <v>187</v>
      </c>
      <c r="E374" s="264" t="s">
        <v>187</v>
      </c>
      <c r="F374" s="264" t="s">
        <v>187</v>
      </c>
      <c r="G374" s="264" t="s">
        <v>187</v>
      </c>
      <c r="H374" s="264" t="s">
        <v>187</v>
      </c>
      <c r="I374" s="264" t="s">
        <v>187</v>
      </c>
      <c r="J374" s="264" t="s">
        <v>187</v>
      </c>
      <c r="K374" s="264" t="s">
        <v>187</v>
      </c>
      <c r="L374" s="264" t="s">
        <v>187</v>
      </c>
      <c r="M374" s="264" t="s">
        <v>187</v>
      </c>
      <c r="N374" s="264" t="s">
        <v>187</v>
      </c>
      <c r="O374" s="264" t="s">
        <v>187</v>
      </c>
      <c r="P374" s="264" t="s">
        <v>187</v>
      </c>
      <c r="Q374" s="264" t="s">
        <v>187</v>
      </c>
      <c r="R374" s="264" t="s">
        <v>187</v>
      </c>
      <c r="S374" s="97" t="str">
        <f t="array" ref="S374">IF(A374="","", IF( (ROUND(I374,4) &lt; INDEX('Tabela de ingredientes'!$O$1:$V$30, SWITCH(B374, "Gelatos de Leite", 7, "Sorbets", 10, "Gelatos de Leite com Fruta", 13, "Chocolate base água", 16, "Vegano", 19, "Alcoólicos", 22, "Zero", 25, "Gelatos Proteicos", 28, 7), 1)) + (ROUND(I374,4) &gt; INDEX('Tabela de ingredientes'!$O$1:$V$30, SWITCH(B374, "Gelatos de Leite", 8, "Sorbets", 11, "Gelatos de Leite com Fruta", 14, "Chocolate base água", 17, "Vegano", 20, "Alcoólicos", 23, "Zero", 26, "Gelatos Proteicos", 29, 8), 1)) + (ROUND(J374,4) &lt; INDEX('Tabela de ingredientes'!$O$1:$V$30, SWITCH(B374, "Gelatos de Leite", 7, "Sorbets", 10, "Gelatos de Leite com Fruta", 13, "Chocolate base água", 16, "Vegano", 19, "Alcoólicos", 22, "Zero", 25, "Gelatos Proteicos", 28, 7), 2)) + (ROUND(J374,4) &gt; INDEX('Tabela de ingredientes'!$O$1:$V$30, SWITCH(B374, "Gelatos de Leite", 8, "Sorbets", 11, "Gelatos de Leite com Fruta", 14, "Chocolate base água", 17, "Vegano", 20, "Alcoólicos", 23, "Zero", 26, "Gelatos Proteicos", 29, 8), 2)) + (ROUND(K374,4) &lt; INDEX('Tabela de ingredientes'!$O$1:$V$30, SWITCH(B374, "Gelatos de Leite", 7, "Sorbets", 10, "Gelatos de Leite com Fruta", 13, "Chocolate base água", 16, "Vegano", 19, "Alcoólicos", 22, "Zero", 25, "Gelatos Proteicos", 28, 7), 3)) + (ROUND(K374,4) &gt; INDEX('Tabela de ingredientes'!$O$1:$V$30, SWITCH(B374, "Gelatos de Leite", 8, "Sorbets", 11, "Gelatos de Leite com Fruta", 14, "Chocolate base água", 17, "Vegano", 20, "Alcoólicos", 23, "Zero", 26, "Gelatos Proteicos", 29, 8), 3)) + (ROUND(L374,4) &lt; INDEX('Tabela de ingredientes'!$O$1:$V$30, SWITCH(B374, "Gelatos de Leite", 7, "Sorbets", 10, "Gelatos de Leite com Fruta", 13, "Chocolate base água", 16, "Vegano", 19, "Alcoólicos", 22, "Zero", 25, "Gelatos Proteicos", 28, 7), 4)) + (ROUND(L374,4) &gt; INDEX('Tabela de ingredientes'!$O$1:$V$30, SWITCH(B374, "Gelatos de Leite", 8, "Sorbets", 11, "Gelatos de Leite com Fruta", 14, "Chocolate base água", 17, "Vegano", 20, "Alcoólicos", 23, "Zero", 26, "Gelatos Proteicos", 29, 8), 4)) + (ROUND(M374,4) &lt; INDEX('Tabela de ingredientes'!$O$1:$V$30, SWITCH(B374, "Gelatos de Leite", 7, "Sorbets", 10, "Gelatos de Leite com Fruta", 13, "Chocolate base água", 16, "Vegano", 19, "Alcoólicos", 22, "Zero", 25, "Gelatos Proteicos", 28, 7), 5)) + (ROUND(M374,4) &gt; INDEX('Tabela de ingredientes'!$O$1:$V$30, SWITCH(B374, "Gelatos de Leite", 8, "Sorbets", 11, "Gelatos de Leite com Fruta", 14, "Chocolate base água", 17, "Vegano", 20, "Alcoólicos", 23, "Zero", 26, "Gelatos Proteicos", 29, 8), 5)) + (ROUND(N374,4) &lt; INDEX('Tabela de ingredientes'!$O$1:$V$30, SWITCH(B374, "Gelatos de Leite", 7, "Sorbets", 10, "Gelatos de Leite com Fruta", 13, "Chocolate base água", 16, "Vegano", 19, "Alcoólicos", 22, "Zero", 25, "Gelatos Proteicos", 28, 7), 6)) + (ROUND(N374,4) &gt; INDEX('Tabela de ingredientes'!$O$1:$V$30, SWITCH(B374, "Gelatos de Leite", 8, "Sorbets", 11, "Gelatos de Leite com Fruta", 14, "Chocolate base água", 17, "Vegano", 20, "Alcoólicos", 23, "Zero", 26, "Gelatos Proteicos", 29, 8), 6)) + (ROUND(O374,4) &lt; INDEX('Tabela de ingredientes'!$O$1:$V$30, SWITCH(B374, "Gelatos de Leite", 7, "Sorbets", 10, "Gelatos de Leite com Fruta", 13, "Chocolate base água", 16, "Vegano", 19, "Alcoólicos", 22, "Zero", 25, "Gelatos Proteicos", 28, 7), 7)) + (ROUND(O374,4) &gt; INDEX('Tabela de ingredientes'!$O$1:$V$30, SWITCH(B374, "Gelatos de Leite", 8, "Sorbets", 11, "Gelatos de Leite com Fruta", 14, "Chocolate base água", 17, "Vegano", 20, "Alcoólicos", 23, "Zero", 26, "Gelatos Proteicos", 29, 8), 7)) + (ROUND(P374,4) &lt; INDEX('Tabela de ingredientes'!$O$1:$V$30, SWITCH(B374, "Gelatos de Leite", 7, "Sorbets", 10, "Gelatos de Leite com Fruta", 13, "Chocolate base água", 16, "Vegano", 19, "Alcoólicos", 22, "Zero", 25, "Gelatos Proteicos", 28, 7), 8)) + (ROUND(P374,4) &gt; INDEX('Tabela de ingredientes'!$O$1:$V$30, SWITCH(B374, "Gelatos de Leite", 8, "Sorbets", 11, "Gelatos de Leite com Fruta", 14, "Chocolate base água", 17, "Vegano", 20, "Alcoólicos", 23, "Zero", 26, "Gelatos Proteicos", 29, 8), 8)) + IF(B374="Gelatos Proteicos", (ROUND(Q374,4)&lt;'Tabela de ingredientes'!$W$28)+(ROUND(Q374,4)&gt;'Tabela de ingredientes'!$W$29), 0) = 0, "Ok", "Revisar"))</f>
        <v/>
      </c>
    </row>
    <row r="375">
      <c r="A375" s="264"/>
      <c r="B375" s="264" t="s">
        <v>187</v>
      </c>
      <c r="C375" s="264" t="s">
        <v>187</v>
      </c>
      <c r="D375" s="264" t="s">
        <v>187</v>
      </c>
      <c r="E375" s="264" t="s">
        <v>187</v>
      </c>
      <c r="F375" s="264" t="s">
        <v>187</v>
      </c>
      <c r="G375" s="264" t="s">
        <v>187</v>
      </c>
      <c r="H375" s="264" t="s">
        <v>187</v>
      </c>
      <c r="I375" s="264" t="s">
        <v>187</v>
      </c>
      <c r="J375" s="264" t="s">
        <v>187</v>
      </c>
      <c r="K375" s="264" t="s">
        <v>187</v>
      </c>
      <c r="L375" s="264" t="s">
        <v>187</v>
      </c>
      <c r="M375" s="264" t="s">
        <v>187</v>
      </c>
      <c r="N375" s="264" t="s">
        <v>187</v>
      </c>
      <c r="O375" s="264" t="s">
        <v>187</v>
      </c>
      <c r="P375" s="264" t="s">
        <v>187</v>
      </c>
      <c r="Q375" s="264" t="s">
        <v>187</v>
      </c>
      <c r="R375" s="264" t="s">
        <v>187</v>
      </c>
      <c r="S375" s="97" t="str">
        <f t="array" ref="S375">IF(A375="","", IF( (ROUND(I375,4) &lt; INDEX('Tabela de ingredientes'!$O$1:$V$30, SWITCH(B375, "Gelatos de Leite", 7, "Sorbets", 10, "Gelatos de Leite com Fruta", 13, "Chocolate base água", 16, "Vegano", 19, "Alcoólicos", 22, "Zero", 25, "Gelatos Proteicos", 28, 7), 1)) + (ROUND(I375,4) &gt; INDEX('Tabela de ingredientes'!$O$1:$V$30, SWITCH(B375, "Gelatos de Leite", 8, "Sorbets", 11, "Gelatos de Leite com Fruta", 14, "Chocolate base água", 17, "Vegano", 20, "Alcoólicos", 23, "Zero", 26, "Gelatos Proteicos", 29, 8), 1)) + (ROUND(J375,4) &lt; INDEX('Tabela de ingredientes'!$O$1:$V$30, SWITCH(B375, "Gelatos de Leite", 7, "Sorbets", 10, "Gelatos de Leite com Fruta", 13, "Chocolate base água", 16, "Vegano", 19, "Alcoólicos", 22, "Zero", 25, "Gelatos Proteicos", 28, 7), 2)) + (ROUND(J375,4) &gt; INDEX('Tabela de ingredientes'!$O$1:$V$30, SWITCH(B375, "Gelatos de Leite", 8, "Sorbets", 11, "Gelatos de Leite com Fruta", 14, "Chocolate base água", 17, "Vegano", 20, "Alcoólicos", 23, "Zero", 26, "Gelatos Proteicos", 29, 8), 2)) + (ROUND(K375,4) &lt; INDEX('Tabela de ingredientes'!$O$1:$V$30, SWITCH(B375, "Gelatos de Leite", 7, "Sorbets", 10, "Gelatos de Leite com Fruta", 13, "Chocolate base água", 16, "Vegano", 19, "Alcoólicos", 22, "Zero", 25, "Gelatos Proteicos", 28, 7), 3)) + (ROUND(K375,4) &gt; INDEX('Tabela de ingredientes'!$O$1:$V$30, SWITCH(B375, "Gelatos de Leite", 8, "Sorbets", 11, "Gelatos de Leite com Fruta", 14, "Chocolate base água", 17, "Vegano", 20, "Alcoólicos", 23, "Zero", 26, "Gelatos Proteicos", 29, 8), 3)) + (ROUND(L375,4) &lt; INDEX('Tabela de ingredientes'!$O$1:$V$30, SWITCH(B375, "Gelatos de Leite", 7, "Sorbets", 10, "Gelatos de Leite com Fruta", 13, "Chocolate base água", 16, "Vegano", 19, "Alcoólicos", 22, "Zero", 25, "Gelatos Proteicos", 28, 7), 4)) + (ROUND(L375,4) &gt; INDEX('Tabela de ingredientes'!$O$1:$V$30, SWITCH(B375, "Gelatos de Leite", 8, "Sorbets", 11, "Gelatos de Leite com Fruta", 14, "Chocolate base água", 17, "Vegano", 20, "Alcoólicos", 23, "Zero", 26, "Gelatos Proteicos", 29, 8), 4)) + (ROUND(M375,4) &lt; INDEX('Tabela de ingredientes'!$O$1:$V$30, SWITCH(B375, "Gelatos de Leite", 7, "Sorbets", 10, "Gelatos de Leite com Fruta", 13, "Chocolate base água", 16, "Vegano", 19, "Alcoólicos", 22, "Zero", 25, "Gelatos Proteicos", 28, 7), 5)) + (ROUND(M375,4) &gt; INDEX('Tabela de ingredientes'!$O$1:$V$30, SWITCH(B375, "Gelatos de Leite", 8, "Sorbets", 11, "Gelatos de Leite com Fruta", 14, "Chocolate base água", 17, "Vegano", 20, "Alcoólicos", 23, "Zero", 26, "Gelatos Proteicos", 29, 8), 5)) + (ROUND(N375,4) &lt; INDEX('Tabela de ingredientes'!$O$1:$V$30, SWITCH(B375, "Gelatos de Leite", 7, "Sorbets", 10, "Gelatos de Leite com Fruta", 13, "Chocolate base água", 16, "Vegano", 19, "Alcoólicos", 22, "Zero", 25, "Gelatos Proteicos", 28, 7), 6)) + (ROUND(N375,4) &gt; INDEX('Tabela de ingredientes'!$O$1:$V$30, SWITCH(B375, "Gelatos de Leite", 8, "Sorbets", 11, "Gelatos de Leite com Fruta", 14, "Chocolate base água", 17, "Vegano", 20, "Alcoólicos", 23, "Zero", 26, "Gelatos Proteicos", 29, 8), 6)) + (ROUND(O375,4) &lt; INDEX('Tabela de ingredientes'!$O$1:$V$30, SWITCH(B375, "Gelatos de Leite", 7, "Sorbets", 10, "Gelatos de Leite com Fruta", 13, "Chocolate base água", 16, "Vegano", 19, "Alcoólicos", 22, "Zero", 25, "Gelatos Proteicos", 28, 7), 7)) + (ROUND(O375,4) &gt; INDEX('Tabela de ingredientes'!$O$1:$V$30, SWITCH(B375, "Gelatos de Leite", 8, "Sorbets", 11, "Gelatos de Leite com Fruta", 14, "Chocolate base água", 17, "Vegano", 20, "Alcoólicos", 23, "Zero", 26, "Gelatos Proteicos", 29, 8), 7)) + (ROUND(P375,4) &lt; INDEX('Tabela de ingredientes'!$O$1:$V$30, SWITCH(B375, "Gelatos de Leite", 7, "Sorbets", 10, "Gelatos de Leite com Fruta", 13, "Chocolate base água", 16, "Vegano", 19, "Alcoólicos", 22, "Zero", 25, "Gelatos Proteicos", 28, 7), 8)) + (ROUND(P375,4) &gt; INDEX('Tabela de ingredientes'!$O$1:$V$30, SWITCH(B375, "Gelatos de Leite", 8, "Sorbets", 11, "Gelatos de Leite com Fruta", 14, "Chocolate base água", 17, "Vegano", 20, "Alcoólicos", 23, "Zero", 26, "Gelatos Proteicos", 29, 8), 8)) + IF(B375="Gelatos Proteicos", (ROUND(Q375,4)&lt;'Tabela de ingredientes'!$W$28)+(ROUND(Q375,4)&gt;'Tabela de ingredientes'!$W$29), 0) = 0, "Ok", "Revisar"))</f>
        <v/>
      </c>
    </row>
    <row r="376">
      <c r="A376" s="264"/>
      <c r="B376" s="264" t="s">
        <v>187</v>
      </c>
      <c r="C376" s="264" t="s">
        <v>187</v>
      </c>
      <c r="D376" s="264" t="s">
        <v>187</v>
      </c>
      <c r="E376" s="264" t="s">
        <v>187</v>
      </c>
      <c r="F376" s="264" t="s">
        <v>187</v>
      </c>
      <c r="G376" s="264" t="s">
        <v>187</v>
      </c>
      <c r="H376" s="264" t="s">
        <v>187</v>
      </c>
      <c r="I376" s="264" t="s">
        <v>187</v>
      </c>
      <c r="J376" s="264" t="s">
        <v>187</v>
      </c>
      <c r="K376" s="264" t="s">
        <v>187</v>
      </c>
      <c r="L376" s="264" t="s">
        <v>187</v>
      </c>
      <c r="M376" s="264" t="s">
        <v>187</v>
      </c>
      <c r="N376" s="264" t="s">
        <v>187</v>
      </c>
      <c r="O376" s="264" t="s">
        <v>187</v>
      </c>
      <c r="P376" s="264" t="s">
        <v>187</v>
      </c>
      <c r="Q376" s="264" t="s">
        <v>187</v>
      </c>
      <c r="R376" s="264" t="s">
        <v>187</v>
      </c>
      <c r="S376" s="97" t="str">
        <f t="array" ref="S376">IF(A376="","", IF( (ROUND(I376,4) &lt; INDEX('Tabela de ingredientes'!$O$1:$V$30, SWITCH(B376, "Gelatos de Leite", 7, "Sorbets", 10, "Gelatos de Leite com Fruta", 13, "Chocolate base água", 16, "Vegano", 19, "Alcoólicos", 22, "Zero", 25, "Gelatos Proteicos", 28, 7), 1)) + (ROUND(I376,4) &gt; INDEX('Tabela de ingredientes'!$O$1:$V$30, SWITCH(B376, "Gelatos de Leite", 8, "Sorbets", 11, "Gelatos de Leite com Fruta", 14, "Chocolate base água", 17, "Vegano", 20, "Alcoólicos", 23, "Zero", 26, "Gelatos Proteicos", 29, 8), 1)) + (ROUND(J376,4) &lt; INDEX('Tabela de ingredientes'!$O$1:$V$30, SWITCH(B376, "Gelatos de Leite", 7, "Sorbets", 10, "Gelatos de Leite com Fruta", 13, "Chocolate base água", 16, "Vegano", 19, "Alcoólicos", 22, "Zero", 25, "Gelatos Proteicos", 28, 7), 2)) + (ROUND(J376,4) &gt; INDEX('Tabela de ingredientes'!$O$1:$V$30, SWITCH(B376, "Gelatos de Leite", 8, "Sorbets", 11, "Gelatos de Leite com Fruta", 14, "Chocolate base água", 17, "Vegano", 20, "Alcoólicos", 23, "Zero", 26, "Gelatos Proteicos", 29, 8), 2)) + (ROUND(K376,4) &lt; INDEX('Tabela de ingredientes'!$O$1:$V$30, SWITCH(B376, "Gelatos de Leite", 7, "Sorbets", 10, "Gelatos de Leite com Fruta", 13, "Chocolate base água", 16, "Vegano", 19, "Alcoólicos", 22, "Zero", 25, "Gelatos Proteicos", 28, 7), 3)) + (ROUND(K376,4) &gt; INDEX('Tabela de ingredientes'!$O$1:$V$30, SWITCH(B376, "Gelatos de Leite", 8, "Sorbets", 11, "Gelatos de Leite com Fruta", 14, "Chocolate base água", 17, "Vegano", 20, "Alcoólicos", 23, "Zero", 26, "Gelatos Proteicos", 29, 8), 3)) + (ROUND(L376,4) &lt; INDEX('Tabela de ingredientes'!$O$1:$V$30, SWITCH(B376, "Gelatos de Leite", 7, "Sorbets", 10, "Gelatos de Leite com Fruta", 13, "Chocolate base água", 16, "Vegano", 19, "Alcoólicos", 22, "Zero", 25, "Gelatos Proteicos", 28, 7), 4)) + (ROUND(L376,4) &gt; INDEX('Tabela de ingredientes'!$O$1:$V$30, SWITCH(B376, "Gelatos de Leite", 8, "Sorbets", 11, "Gelatos de Leite com Fruta", 14, "Chocolate base água", 17, "Vegano", 20, "Alcoólicos", 23, "Zero", 26, "Gelatos Proteicos", 29, 8), 4)) + (ROUND(M376,4) &lt; INDEX('Tabela de ingredientes'!$O$1:$V$30, SWITCH(B376, "Gelatos de Leite", 7, "Sorbets", 10, "Gelatos de Leite com Fruta", 13, "Chocolate base água", 16, "Vegano", 19, "Alcoólicos", 22, "Zero", 25, "Gelatos Proteicos", 28, 7), 5)) + (ROUND(M376,4) &gt; INDEX('Tabela de ingredientes'!$O$1:$V$30, SWITCH(B376, "Gelatos de Leite", 8, "Sorbets", 11, "Gelatos de Leite com Fruta", 14, "Chocolate base água", 17, "Vegano", 20, "Alcoólicos", 23, "Zero", 26, "Gelatos Proteicos", 29, 8), 5)) + (ROUND(N376,4) &lt; INDEX('Tabela de ingredientes'!$O$1:$V$30, SWITCH(B376, "Gelatos de Leite", 7, "Sorbets", 10, "Gelatos de Leite com Fruta", 13, "Chocolate base água", 16, "Vegano", 19, "Alcoólicos", 22, "Zero", 25, "Gelatos Proteicos", 28, 7), 6)) + (ROUND(N376,4) &gt; INDEX('Tabela de ingredientes'!$O$1:$V$30, SWITCH(B376, "Gelatos de Leite", 8, "Sorbets", 11, "Gelatos de Leite com Fruta", 14, "Chocolate base água", 17, "Vegano", 20, "Alcoólicos", 23, "Zero", 26, "Gelatos Proteicos", 29, 8), 6)) + (ROUND(O376,4) &lt; INDEX('Tabela de ingredientes'!$O$1:$V$30, SWITCH(B376, "Gelatos de Leite", 7, "Sorbets", 10, "Gelatos de Leite com Fruta", 13, "Chocolate base água", 16, "Vegano", 19, "Alcoólicos", 22, "Zero", 25, "Gelatos Proteicos", 28, 7), 7)) + (ROUND(O376,4) &gt; INDEX('Tabela de ingredientes'!$O$1:$V$30, SWITCH(B376, "Gelatos de Leite", 8, "Sorbets", 11, "Gelatos de Leite com Fruta", 14, "Chocolate base água", 17, "Vegano", 20, "Alcoólicos", 23, "Zero", 26, "Gelatos Proteicos", 29, 8), 7)) + (ROUND(P376,4) &lt; INDEX('Tabela de ingredientes'!$O$1:$V$30, SWITCH(B376, "Gelatos de Leite", 7, "Sorbets", 10, "Gelatos de Leite com Fruta", 13, "Chocolate base água", 16, "Vegano", 19, "Alcoólicos", 22, "Zero", 25, "Gelatos Proteicos", 28, 7), 8)) + (ROUND(P376,4) &gt; INDEX('Tabela de ingredientes'!$O$1:$V$30, SWITCH(B376, "Gelatos de Leite", 8, "Sorbets", 11, "Gelatos de Leite com Fruta", 14, "Chocolate base água", 17, "Vegano", 20, "Alcoólicos", 23, "Zero", 26, "Gelatos Proteicos", 29, 8), 8)) + IF(B376="Gelatos Proteicos", (ROUND(Q376,4)&lt;'Tabela de ingredientes'!$W$28)+(ROUND(Q376,4)&gt;'Tabela de ingredientes'!$W$29), 0) = 0, "Ok", "Revisar"))</f>
        <v/>
      </c>
    </row>
    <row r="377">
      <c r="A377" s="264"/>
      <c r="B377" s="264" t="s">
        <v>187</v>
      </c>
      <c r="C377" s="264" t="s">
        <v>187</v>
      </c>
      <c r="D377" s="264" t="s">
        <v>187</v>
      </c>
      <c r="E377" s="264" t="s">
        <v>187</v>
      </c>
      <c r="F377" s="264" t="s">
        <v>187</v>
      </c>
      <c r="G377" s="264" t="s">
        <v>187</v>
      </c>
      <c r="H377" s="264" t="s">
        <v>187</v>
      </c>
      <c r="I377" s="264" t="s">
        <v>187</v>
      </c>
      <c r="J377" s="264" t="s">
        <v>187</v>
      </c>
      <c r="K377" s="264" t="s">
        <v>187</v>
      </c>
      <c r="L377" s="264" t="s">
        <v>187</v>
      </c>
      <c r="M377" s="264" t="s">
        <v>187</v>
      </c>
      <c r="N377" s="264" t="s">
        <v>187</v>
      </c>
      <c r="O377" s="264" t="s">
        <v>187</v>
      </c>
      <c r="P377" s="264" t="s">
        <v>187</v>
      </c>
      <c r="Q377" s="264" t="s">
        <v>187</v>
      </c>
      <c r="R377" s="264" t="s">
        <v>187</v>
      </c>
      <c r="S377" s="97" t="str">
        <f t="array" ref="S377">IF(A377="","", IF( (ROUND(I377,4) &lt; INDEX('Tabela de ingredientes'!$O$1:$V$30, SWITCH(B377, "Gelatos de Leite", 7, "Sorbets", 10, "Gelatos de Leite com Fruta", 13, "Chocolate base água", 16, "Vegano", 19, "Alcoólicos", 22, "Zero", 25, "Gelatos Proteicos", 28, 7), 1)) + (ROUND(I377,4) &gt; INDEX('Tabela de ingredientes'!$O$1:$V$30, SWITCH(B377, "Gelatos de Leite", 8, "Sorbets", 11, "Gelatos de Leite com Fruta", 14, "Chocolate base água", 17, "Vegano", 20, "Alcoólicos", 23, "Zero", 26, "Gelatos Proteicos", 29, 8), 1)) + (ROUND(J377,4) &lt; INDEX('Tabela de ingredientes'!$O$1:$V$30, SWITCH(B377, "Gelatos de Leite", 7, "Sorbets", 10, "Gelatos de Leite com Fruta", 13, "Chocolate base água", 16, "Vegano", 19, "Alcoólicos", 22, "Zero", 25, "Gelatos Proteicos", 28, 7), 2)) + (ROUND(J377,4) &gt; INDEX('Tabela de ingredientes'!$O$1:$V$30, SWITCH(B377, "Gelatos de Leite", 8, "Sorbets", 11, "Gelatos de Leite com Fruta", 14, "Chocolate base água", 17, "Vegano", 20, "Alcoólicos", 23, "Zero", 26, "Gelatos Proteicos", 29, 8), 2)) + (ROUND(K377,4) &lt; INDEX('Tabela de ingredientes'!$O$1:$V$30, SWITCH(B377, "Gelatos de Leite", 7, "Sorbets", 10, "Gelatos de Leite com Fruta", 13, "Chocolate base água", 16, "Vegano", 19, "Alcoólicos", 22, "Zero", 25, "Gelatos Proteicos", 28, 7), 3)) + (ROUND(K377,4) &gt; INDEX('Tabela de ingredientes'!$O$1:$V$30, SWITCH(B377, "Gelatos de Leite", 8, "Sorbets", 11, "Gelatos de Leite com Fruta", 14, "Chocolate base água", 17, "Vegano", 20, "Alcoólicos", 23, "Zero", 26, "Gelatos Proteicos", 29, 8), 3)) + (ROUND(L377,4) &lt; INDEX('Tabela de ingredientes'!$O$1:$V$30, SWITCH(B377, "Gelatos de Leite", 7, "Sorbets", 10, "Gelatos de Leite com Fruta", 13, "Chocolate base água", 16, "Vegano", 19, "Alcoólicos", 22, "Zero", 25, "Gelatos Proteicos", 28, 7), 4)) + (ROUND(L377,4) &gt; INDEX('Tabela de ingredientes'!$O$1:$V$30, SWITCH(B377, "Gelatos de Leite", 8, "Sorbets", 11, "Gelatos de Leite com Fruta", 14, "Chocolate base água", 17, "Vegano", 20, "Alcoólicos", 23, "Zero", 26, "Gelatos Proteicos", 29, 8), 4)) + (ROUND(M377,4) &lt; INDEX('Tabela de ingredientes'!$O$1:$V$30, SWITCH(B377, "Gelatos de Leite", 7, "Sorbets", 10, "Gelatos de Leite com Fruta", 13, "Chocolate base água", 16, "Vegano", 19, "Alcoólicos", 22, "Zero", 25, "Gelatos Proteicos", 28, 7), 5)) + (ROUND(M377,4) &gt; INDEX('Tabela de ingredientes'!$O$1:$V$30, SWITCH(B377, "Gelatos de Leite", 8, "Sorbets", 11, "Gelatos de Leite com Fruta", 14, "Chocolate base água", 17, "Vegano", 20, "Alcoólicos", 23, "Zero", 26, "Gelatos Proteicos", 29, 8), 5)) + (ROUND(N377,4) &lt; INDEX('Tabela de ingredientes'!$O$1:$V$30, SWITCH(B377, "Gelatos de Leite", 7, "Sorbets", 10, "Gelatos de Leite com Fruta", 13, "Chocolate base água", 16, "Vegano", 19, "Alcoólicos", 22, "Zero", 25, "Gelatos Proteicos", 28, 7), 6)) + (ROUND(N377,4) &gt; INDEX('Tabela de ingredientes'!$O$1:$V$30, SWITCH(B377, "Gelatos de Leite", 8, "Sorbets", 11, "Gelatos de Leite com Fruta", 14, "Chocolate base água", 17, "Vegano", 20, "Alcoólicos", 23, "Zero", 26, "Gelatos Proteicos", 29, 8), 6)) + (ROUND(O377,4) &lt; INDEX('Tabela de ingredientes'!$O$1:$V$30, SWITCH(B377, "Gelatos de Leite", 7, "Sorbets", 10, "Gelatos de Leite com Fruta", 13, "Chocolate base água", 16, "Vegano", 19, "Alcoólicos", 22, "Zero", 25, "Gelatos Proteicos", 28, 7), 7)) + (ROUND(O377,4) &gt; INDEX('Tabela de ingredientes'!$O$1:$V$30, SWITCH(B377, "Gelatos de Leite", 8, "Sorbets", 11, "Gelatos de Leite com Fruta", 14, "Chocolate base água", 17, "Vegano", 20, "Alcoólicos", 23, "Zero", 26, "Gelatos Proteicos", 29, 8), 7)) + (ROUND(P377,4) &lt; INDEX('Tabela de ingredientes'!$O$1:$V$30, SWITCH(B377, "Gelatos de Leite", 7, "Sorbets", 10, "Gelatos de Leite com Fruta", 13, "Chocolate base água", 16, "Vegano", 19, "Alcoólicos", 22, "Zero", 25, "Gelatos Proteicos", 28, 7), 8)) + (ROUND(P377,4) &gt; INDEX('Tabela de ingredientes'!$O$1:$V$30, SWITCH(B377, "Gelatos de Leite", 8, "Sorbets", 11, "Gelatos de Leite com Fruta", 14, "Chocolate base água", 17, "Vegano", 20, "Alcoólicos", 23, "Zero", 26, "Gelatos Proteicos", 29, 8), 8)) + IF(B377="Gelatos Proteicos", (ROUND(Q377,4)&lt;'Tabela de ingredientes'!$W$28)+(ROUND(Q377,4)&gt;'Tabela de ingredientes'!$W$29), 0) = 0, "Ok", "Revisar"))</f>
        <v/>
      </c>
    </row>
    <row r="378">
      <c r="A378" s="264"/>
      <c r="B378" s="264" t="s">
        <v>187</v>
      </c>
      <c r="C378" s="264" t="s">
        <v>187</v>
      </c>
      <c r="D378" s="264" t="s">
        <v>187</v>
      </c>
      <c r="E378" s="264" t="s">
        <v>187</v>
      </c>
      <c r="F378" s="264" t="s">
        <v>187</v>
      </c>
      <c r="G378" s="264" t="s">
        <v>187</v>
      </c>
      <c r="H378" s="264" t="s">
        <v>187</v>
      </c>
      <c r="I378" s="264" t="s">
        <v>187</v>
      </c>
      <c r="J378" s="264" t="s">
        <v>187</v>
      </c>
      <c r="K378" s="264" t="s">
        <v>187</v>
      </c>
      <c r="L378" s="264" t="s">
        <v>187</v>
      </c>
      <c r="M378" s="264" t="s">
        <v>187</v>
      </c>
      <c r="N378" s="264" t="s">
        <v>187</v>
      </c>
      <c r="O378" s="264" t="s">
        <v>187</v>
      </c>
      <c r="P378" s="264" t="s">
        <v>187</v>
      </c>
      <c r="Q378" s="264" t="s">
        <v>187</v>
      </c>
      <c r="R378" s="264" t="s">
        <v>187</v>
      </c>
      <c r="S378" s="97" t="str">
        <f t="array" ref="S378">IF(A378="","", IF( (ROUND(I378,4) &lt; INDEX('Tabela de ingredientes'!$O$1:$V$30, SWITCH(B378, "Gelatos de Leite", 7, "Sorbets", 10, "Gelatos de Leite com Fruta", 13, "Chocolate base água", 16, "Vegano", 19, "Alcoólicos", 22, "Zero", 25, "Gelatos Proteicos", 28, 7), 1)) + (ROUND(I378,4) &gt; INDEX('Tabela de ingredientes'!$O$1:$V$30, SWITCH(B378, "Gelatos de Leite", 8, "Sorbets", 11, "Gelatos de Leite com Fruta", 14, "Chocolate base água", 17, "Vegano", 20, "Alcoólicos", 23, "Zero", 26, "Gelatos Proteicos", 29, 8), 1)) + (ROUND(J378,4) &lt; INDEX('Tabela de ingredientes'!$O$1:$V$30, SWITCH(B378, "Gelatos de Leite", 7, "Sorbets", 10, "Gelatos de Leite com Fruta", 13, "Chocolate base água", 16, "Vegano", 19, "Alcoólicos", 22, "Zero", 25, "Gelatos Proteicos", 28, 7), 2)) + (ROUND(J378,4) &gt; INDEX('Tabela de ingredientes'!$O$1:$V$30, SWITCH(B378, "Gelatos de Leite", 8, "Sorbets", 11, "Gelatos de Leite com Fruta", 14, "Chocolate base água", 17, "Vegano", 20, "Alcoólicos", 23, "Zero", 26, "Gelatos Proteicos", 29, 8), 2)) + (ROUND(K378,4) &lt; INDEX('Tabela de ingredientes'!$O$1:$V$30, SWITCH(B378, "Gelatos de Leite", 7, "Sorbets", 10, "Gelatos de Leite com Fruta", 13, "Chocolate base água", 16, "Vegano", 19, "Alcoólicos", 22, "Zero", 25, "Gelatos Proteicos", 28, 7), 3)) + (ROUND(K378,4) &gt; INDEX('Tabela de ingredientes'!$O$1:$V$30, SWITCH(B378, "Gelatos de Leite", 8, "Sorbets", 11, "Gelatos de Leite com Fruta", 14, "Chocolate base água", 17, "Vegano", 20, "Alcoólicos", 23, "Zero", 26, "Gelatos Proteicos", 29, 8), 3)) + (ROUND(L378,4) &lt; INDEX('Tabela de ingredientes'!$O$1:$V$30, SWITCH(B378, "Gelatos de Leite", 7, "Sorbets", 10, "Gelatos de Leite com Fruta", 13, "Chocolate base água", 16, "Vegano", 19, "Alcoólicos", 22, "Zero", 25, "Gelatos Proteicos", 28, 7), 4)) + (ROUND(L378,4) &gt; INDEX('Tabela de ingredientes'!$O$1:$V$30, SWITCH(B378, "Gelatos de Leite", 8, "Sorbets", 11, "Gelatos de Leite com Fruta", 14, "Chocolate base água", 17, "Vegano", 20, "Alcoólicos", 23, "Zero", 26, "Gelatos Proteicos", 29, 8), 4)) + (ROUND(M378,4) &lt; INDEX('Tabela de ingredientes'!$O$1:$V$30, SWITCH(B378, "Gelatos de Leite", 7, "Sorbets", 10, "Gelatos de Leite com Fruta", 13, "Chocolate base água", 16, "Vegano", 19, "Alcoólicos", 22, "Zero", 25, "Gelatos Proteicos", 28, 7), 5)) + (ROUND(M378,4) &gt; INDEX('Tabela de ingredientes'!$O$1:$V$30, SWITCH(B378, "Gelatos de Leite", 8, "Sorbets", 11, "Gelatos de Leite com Fruta", 14, "Chocolate base água", 17, "Vegano", 20, "Alcoólicos", 23, "Zero", 26, "Gelatos Proteicos", 29, 8), 5)) + (ROUND(N378,4) &lt; INDEX('Tabela de ingredientes'!$O$1:$V$30, SWITCH(B378, "Gelatos de Leite", 7, "Sorbets", 10, "Gelatos de Leite com Fruta", 13, "Chocolate base água", 16, "Vegano", 19, "Alcoólicos", 22, "Zero", 25, "Gelatos Proteicos", 28, 7), 6)) + (ROUND(N378,4) &gt; INDEX('Tabela de ingredientes'!$O$1:$V$30, SWITCH(B378, "Gelatos de Leite", 8, "Sorbets", 11, "Gelatos de Leite com Fruta", 14, "Chocolate base água", 17, "Vegano", 20, "Alcoólicos", 23, "Zero", 26, "Gelatos Proteicos", 29, 8), 6)) + (ROUND(O378,4) &lt; INDEX('Tabela de ingredientes'!$O$1:$V$30, SWITCH(B378, "Gelatos de Leite", 7, "Sorbets", 10, "Gelatos de Leite com Fruta", 13, "Chocolate base água", 16, "Vegano", 19, "Alcoólicos", 22, "Zero", 25, "Gelatos Proteicos", 28, 7), 7)) + (ROUND(O378,4) &gt; INDEX('Tabela de ingredientes'!$O$1:$V$30, SWITCH(B378, "Gelatos de Leite", 8, "Sorbets", 11, "Gelatos de Leite com Fruta", 14, "Chocolate base água", 17, "Vegano", 20, "Alcoólicos", 23, "Zero", 26, "Gelatos Proteicos", 29, 8), 7)) + (ROUND(P378,4) &lt; INDEX('Tabela de ingredientes'!$O$1:$V$30, SWITCH(B378, "Gelatos de Leite", 7, "Sorbets", 10, "Gelatos de Leite com Fruta", 13, "Chocolate base água", 16, "Vegano", 19, "Alcoólicos", 22, "Zero", 25, "Gelatos Proteicos", 28, 7), 8)) + (ROUND(P378,4) &gt; INDEX('Tabela de ingredientes'!$O$1:$V$30, SWITCH(B378, "Gelatos de Leite", 8, "Sorbets", 11, "Gelatos de Leite com Fruta", 14, "Chocolate base água", 17, "Vegano", 20, "Alcoólicos", 23, "Zero", 26, "Gelatos Proteicos", 29, 8), 8)) + IF(B378="Gelatos Proteicos", (ROUND(Q378,4)&lt;'Tabela de ingredientes'!$W$28)+(ROUND(Q378,4)&gt;'Tabela de ingredientes'!$W$29), 0) = 0, "Ok", "Revisar"))</f>
        <v/>
      </c>
    </row>
    <row r="379">
      <c r="A379" s="264"/>
      <c r="B379" s="264" t="s">
        <v>187</v>
      </c>
      <c r="C379" s="264" t="s">
        <v>187</v>
      </c>
      <c r="D379" s="264" t="s">
        <v>187</v>
      </c>
      <c r="E379" s="264" t="s">
        <v>187</v>
      </c>
      <c r="F379" s="264" t="s">
        <v>187</v>
      </c>
      <c r="G379" s="264" t="s">
        <v>187</v>
      </c>
      <c r="H379" s="264" t="s">
        <v>187</v>
      </c>
      <c r="I379" s="264" t="s">
        <v>187</v>
      </c>
      <c r="J379" s="264" t="s">
        <v>187</v>
      </c>
      <c r="K379" s="264" t="s">
        <v>187</v>
      </c>
      <c r="L379" s="264" t="s">
        <v>187</v>
      </c>
      <c r="M379" s="264" t="s">
        <v>187</v>
      </c>
      <c r="N379" s="264" t="s">
        <v>187</v>
      </c>
      <c r="O379" s="264" t="s">
        <v>187</v>
      </c>
      <c r="P379" s="264" t="s">
        <v>187</v>
      </c>
      <c r="Q379" s="264" t="s">
        <v>187</v>
      </c>
      <c r="R379" s="264" t="s">
        <v>187</v>
      </c>
      <c r="S379" s="97" t="str">
        <f t="array" ref="S379">IF(A379="","", IF( (ROUND(I379,4) &lt; INDEX('Tabela de ingredientes'!$O$1:$V$30, SWITCH(B379, "Gelatos de Leite", 7, "Sorbets", 10, "Gelatos de Leite com Fruta", 13, "Chocolate base água", 16, "Vegano", 19, "Alcoólicos", 22, "Zero", 25, "Gelatos Proteicos", 28, 7), 1)) + (ROUND(I379,4) &gt; INDEX('Tabela de ingredientes'!$O$1:$V$30, SWITCH(B379, "Gelatos de Leite", 8, "Sorbets", 11, "Gelatos de Leite com Fruta", 14, "Chocolate base água", 17, "Vegano", 20, "Alcoólicos", 23, "Zero", 26, "Gelatos Proteicos", 29, 8), 1)) + (ROUND(J379,4) &lt; INDEX('Tabela de ingredientes'!$O$1:$V$30, SWITCH(B379, "Gelatos de Leite", 7, "Sorbets", 10, "Gelatos de Leite com Fruta", 13, "Chocolate base água", 16, "Vegano", 19, "Alcoólicos", 22, "Zero", 25, "Gelatos Proteicos", 28, 7), 2)) + (ROUND(J379,4) &gt; INDEX('Tabela de ingredientes'!$O$1:$V$30, SWITCH(B379, "Gelatos de Leite", 8, "Sorbets", 11, "Gelatos de Leite com Fruta", 14, "Chocolate base água", 17, "Vegano", 20, "Alcoólicos", 23, "Zero", 26, "Gelatos Proteicos", 29, 8), 2)) + (ROUND(K379,4) &lt; INDEX('Tabela de ingredientes'!$O$1:$V$30, SWITCH(B379, "Gelatos de Leite", 7, "Sorbets", 10, "Gelatos de Leite com Fruta", 13, "Chocolate base água", 16, "Vegano", 19, "Alcoólicos", 22, "Zero", 25, "Gelatos Proteicos", 28, 7), 3)) + (ROUND(K379,4) &gt; INDEX('Tabela de ingredientes'!$O$1:$V$30, SWITCH(B379, "Gelatos de Leite", 8, "Sorbets", 11, "Gelatos de Leite com Fruta", 14, "Chocolate base água", 17, "Vegano", 20, "Alcoólicos", 23, "Zero", 26, "Gelatos Proteicos", 29, 8), 3)) + (ROUND(L379,4) &lt; INDEX('Tabela de ingredientes'!$O$1:$V$30, SWITCH(B379, "Gelatos de Leite", 7, "Sorbets", 10, "Gelatos de Leite com Fruta", 13, "Chocolate base água", 16, "Vegano", 19, "Alcoólicos", 22, "Zero", 25, "Gelatos Proteicos", 28, 7), 4)) + (ROUND(L379,4) &gt; INDEX('Tabela de ingredientes'!$O$1:$V$30, SWITCH(B379, "Gelatos de Leite", 8, "Sorbets", 11, "Gelatos de Leite com Fruta", 14, "Chocolate base água", 17, "Vegano", 20, "Alcoólicos", 23, "Zero", 26, "Gelatos Proteicos", 29, 8), 4)) + (ROUND(M379,4) &lt; INDEX('Tabela de ingredientes'!$O$1:$V$30, SWITCH(B379, "Gelatos de Leite", 7, "Sorbets", 10, "Gelatos de Leite com Fruta", 13, "Chocolate base água", 16, "Vegano", 19, "Alcoólicos", 22, "Zero", 25, "Gelatos Proteicos", 28, 7), 5)) + (ROUND(M379,4) &gt; INDEX('Tabela de ingredientes'!$O$1:$V$30, SWITCH(B379, "Gelatos de Leite", 8, "Sorbets", 11, "Gelatos de Leite com Fruta", 14, "Chocolate base água", 17, "Vegano", 20, "Alcoólicos", 23, "Zero", 26, "Gelatos Proteicos", 29, 8), 5)) + (ROUND(N379,4) &lt; INDEX('Tabela de ingredientes'!$O$1:$V$30, SWITCH(B379, "Gelatos de Leite", 7, "Sorbets", 10, "Gelatos de Leite com Fruta", 13, "Chocolate base água", 16, "Vegano", 19, "Alcoólicos", 22, "Zero", 25, "Gelatos Proteicos", 28, 7), 6)) + (ROUND(N379,4) &gt; INDEX('Tabela de ingredientes'!$O$1:$V$30, SWITCH(B379, "Gelatos de Leite", 8, "Sorbets", 11, "Gelatos de Leite com Fruta", 14, "Chocolate base água", 17, "Vegano", 20, "Alcoólicos", 23, "Zero", 26, "Gelatos Proteicos", 29, 8), 6)) + (ROUND(O379,4) &lt; INDEX('Tabela de ingredientes'!$O$1:$V$30, SWITCH(B379, "Gelatos de Leite", 7, "Sorbets", 10, "Gelatos de Leite com Fruta", 13, "Chocolate base água", 16, "Vegano", 19, "Alcoólicos", 22, "Zero", 25, "Gelatos Proteicos", 28, 7), 7)) + (ROUND(O379,4) &gt; INDEX('Tabela de ingredientes'!$O$1:$V$30, SWITCH(B379, "Gelatos de Leite", 8, "Sorbets", 11, "Gelatos de Leite com Fruta", 14, "Chocolate base água", 17, "Vegano", 20, "Alcoólicos", 23, "Zero", 26, "Gelatos Proteicos", 29, 8), 7)) + (ROUND(P379,4) &lt; INDEX('Tabela de ingredientes'!$O$1:$V$30, SWITCH(B379, "Gelatos de Leite", 7, "Sorbets", 10, "Gelatos de Leite com Fruta", 13, "Chocolate base água", 16, "Vegano", 19, "Alcoólicos", 22, "Zero", 25, "Gelatos Proteicos", 28, 7), 8)) + (ROUND(P379,4) &gt; INDEX('Tabela de ingredientes'!$O$1:$V$30, SWITCH(B379, "Gelatos de Leite", 8, "Sorbets", 11, "Gelatos de Leite com Fruta", 14, "Chocolate base água", 17, "Vegano", 20, "Alcoólicos", 23, "Zero", 26, "Gelatos Proteicos", 29, 8), 8)) + IF(B379="Gelatos Proteicos", (ROUND(Q379,4)&lt;'Tabela de ingredientes'!$W$28)+(ROUND(Q379,4)&gt;'Tabela de ingredientes'!$W$29), 0) = 0, "Ok", "Revisar"))</f>
        <v/>
      </c>
    </row>
    <row r="380">
      <c r="A380" s="264"/>
      <c r="B380" s="264" t="s">
        <v>187</v>
      </c>
      <c r="C380" s="264" t="s">
        <v>187</v>
      </c>
      <c r="D380" s="264" t="s">
        <v>187</v>
      </c>
      <c r="E380" s="264" t="s">
        <v>187</v>
      </c>
      <c r="F380" s="264" t="s">
        <v>187</v>
      </c>
      <c r="G380" s="264" t="s">
        <v>187</v>
      </c>
      <c r="H380" s="264" t="s">
        <v>187</v>
      </c>
      <c r="I380" s="264" t="s">
        <v>187</v>
      </c>
      <c r="J380" s="264" t="s">
        <v>187</v>
      </c>
      <c r="K380" s="264" t="s">
        <v>187</v>
      </c>
      <c r="L380" s="264" t="s">
        <v>187</v>
      </c>
      <c r="M380" s="264" t="s">
        <v>187</v>
      </c>
      <c r="N380" s="264" t="s">
        <v>187</v>
      </c>
      <c r="O380" s="264" t="s">
        <v>187</v>
      </c>
      <c r="P380" s="264" t="s">
        <v>187</v>
      </c>
      <c r="Q380" s="264" t="s">
        <v>187</v>
      </c>
      <c r="R380" s="264" t="s">
        <v>187</v>
      </c>
      <c r="S380" s="97" t="str">
        <f t="array" ref="S380">IF(A380="","", IF( (ROUND(I380,4) &lt; INDEX('Tabela de ingredientes'!$O$1:$V$30, SWITCH(B380, "Gelatos de Leite", 7, "Sorbets", 10, "Gelatos de Leite com Fruta", 13, "Chocolate base água", 16, "Vegano", 19, "Alcoólicos", 22, "Zero", 25, "Gelatos Proteicos", 28, 7), 1)) + (ROUND(I380,4) &gt; INDEX('Tabela de ingredientes'!$O$1:$V$30, SWITCH(B380, "Gelatos de Leite", 8, "Sorbets", 11, "Gelatos de Leite com Fruta", 14, "Chocolate base água", 17, "Vegano", 20, "Alcoólicos", 23, "Zero", 26, "Gelatos Proteicos", 29, 8), 1)) + (ROUND(J380,4) &lt; INDEX('Tabela de ingredientes'!$O$1:$V$30, SWITCH(B380, "Gelatos de Leite", 7, "Sorbets", 10, "Gelatos de Leite com Fruta", 13, "Chocolate base água", 16, "Vegano", 19, "Alcoólicos", 22, "Zero", 25, "Gelatos Proteicos", 28, 7), 2)) + (ROUND(J380,4) &gt; INDEX('Tabela de ingredientes'!$O$1:$V$30, SWITCH(B380, "Gelatos de Leite", 8, "Sorbets", 11, "Gelatos de Leite com Fruta", 14, "Chocolate base água", 17, "Vegano", 20, "Alcoólicos", 23, "Zero", 26, "Gelatos Proteicos", 29, 8), 2)) + (ROUND(K380,4) &lt; INDEX('Tabela de ingredientes'!$O$1:$V$30, SWITCH(B380, "Gelatos de Leite", 7, "Sorbets", 10, "Gelatos de Leite com Fruta", 13, "Chocolate base água", 16, "Vegano", 19, "Alcoólicos", 22, "Zero", 25, "Gelatos Proteicos", 28, 7), 3)) + (ROUND(K380,4) &gt; INDEX('Tabela de ingredientes'!$O$1:$V$30, SWITCH(B380, "Gelatos de Leite", 8, "Sorbets", 11, "Gelatos de Leite com Fruta", 14, "Chocolate base água", 17, "Vegano", 20, "Alcoólicos", 23, "Zero", 26, "Gelatos Proteicos", 29, 8), 3)) + (ROUND(L380,4) &lt; INDEX('Tabela de ingredientes'!$O$1:$V$30, SWITCH(B380, "Gelatos de Leite", 7, "Sorbets", 10, "Gelatos de Leite com Fruta", 13, "Chocolate base água", 16, "Vegano", 19, "Alcoólicos", 22, "Zero", 25, "Gelatos Proteicos", 28, 7), 4)) + (ROUND(L380,4) &gt; INDEX('Tabela de ingredientes'!$O$1:$V$30, SWITCH(B380, "Gelatos de Leite", 8, "Sorbets", 11, "Gelatos de Leite com Fruta", 14, "Chocolate base água", 17, "Vegano", 20, "Alcoólicos", 23, "Zero", 26, "Gelatos Proteicos", 29, 8), 4)) + (ROUND(M380,4) &lt; INDEX('Tabela de ingredientes'!$O$1:$V$30, SWITCH(B380, "Gelatos de Leite", 7, "Sorbets", 10, "Gelatos de Leite com Fruta", 13, "Chocolate base água", 16, "Vegano", 19, "Alcoólicos", 22, "Zero", 25, "Gelatos Proteicos", 28, 7), 5)) + (ROUND(M380,4) &gt; INDEX('Tabela de ingredientes'!$O$1:$V$30, SWITCH(B380, "Gelatos de Leite", 8, "Sorbets", 11, "Gelatos de Leite com Fruta", 14, "Chocolate base água", 17, "Vegano", 20, "Alcoólicos", 23, "Zero", 26, "Gelatos Proteicos", 29, 8), 5)) + (ROUND(N380,4) &lt; INDEX('Tabela de ingredientes'!$O$1:$V$30, SWITCH(B380, "Gelatos de Leite", 7, "Sorbets", 10, "Gelatos de Leite com Fruta", 13, "Chocolate base água", 16, "Vegano", 19, "Alcoólicos", 22, "Zero", 25, "Gelatos Proteicos", 28, 7), 6)) + (ROUND(N380,4) &gt; INDEX('Tabela de ingredientes'!$O$1:$V$30, SWITCH(B380, "Gelatos de Leite", 8, "Sorbets", 11, "Gelatos de Leite com Fruta", 14, "Chocolate base água", 17, "Vegano", 20, "Alcoólicos", 23, "Zero", 26, "Gelatos Proteicos", 29, 8), 6)) + (ROUND(O380,4) &lt; INDEX('Tabela de ingredientes'!$O$1:$V$30, SWITCH(B380, "Gelatos de Leite", 7, "Sorbets", 10, "Gelatos de Leite com Fruta", 13, "Chocolate base água", 16, "Vegano", 19, "Alcoólicos", 22, "Zero", 25, "Gelatos Proteicos", 28, 7), 7)) + (ROUND(O380,4) &gt; INDEX('Tabela de ingredientes'!$O$1:$V$30, SWITCH(B380, "Gelatos de Leite", 8, "Sorbets", 11, "Gelatos de Leite com Fruta", 14, "Chocolate base água", 17, "Vegano", 20, "Alcoólicos", 23, "Zero", 26, "Gelatos Proteicos", 29, 8), 7)) + (ROUND(P380,4) &lt; INDEX('Tabela de ingredientes'!$O$1:$V$30, SWITCH(B380, "Gelatos de Leite", 7, "Sorbets", 10, "Gelatos de Leite com Fruta", 13, "Chocolate base água", 16, "Vegano", 19, "Alcoólicos", 22, "Zero", 25, "Gelatos Proteicos", 28, 7), 8)) + (ROUND(P380,4) &gt; INDEX('Tabela de ingredientes'!$O$1:$V$30, SWITCH(B380, "Gelatos de Leite", 8, "Sorbets", 11, "Gelatos de Leite com Fruta", 14, "Chocolate base água", 17, "Vegano", 20, "Alcoólicos", 23, "Zero", 26, "Gelatos Proteicos", 29, 8), 8)) + IF(B380="Gelatos Proteicos", (ROUND(Q380,4)&lt;'Tabela de ingredientes'!$W$28)+(ROUND(Q380,4)&gt;'Tabela de ingredientes'!$W$29), 0) = 0, "Ok", "Revisar"))</f>
        <v/>
      </c>
    </row>
    <row r="381">
      <c r="A381" s="264"/>
      <c r="B381" s="264" t="s">
        <v>187</v>
      </c>
      <c r="C381" s="264" t="s">
        <v>187</v>
      </c>
      <c r="D381" s="264" t="s">
        <v>187</v>
      </c>
      <c r="E381" s="264" t="s">
        <v>187</v>
      </c>
      <c r="F381" s="264" t="s">
        <v>187</v>
      </c>
      <c r="G381" s="264" t="s">
        <v>187</v>
      </c>
      <c r="H381" s="264" t="s">
        <v>187</v>
      </c>
      <c r="I381" s="264" t="s">
        <v>187</v>
      </c>
      <c r="J381" s="264" t="s">
        <v>187</v>
      </c>
      <c r="K381" s="264" t="s">
        <v>187</v>
      </c>
      <c r="L381" s="264" t="s">
        <v>187</v>
      </c>
      <c r="M381" s="264" t="s">
        <v>187</v>
      </c>
      <c r="N381" s="264" t="s">
        <v>187</v>
      </c>
      <c r="O381" s="264" t="s">
        <v>187</v>
      </c>
      <c r="P381" s="264" t="s">
        <v>187</v>
      </c>
      <c r="Q381" s="264" t="s">
        <v>187</v>
      </c>
      <c r="R381" s="264" t="s">
        <v>187</v>
      </c>
      <c r="S381" s="97" t="str">
        <f t="array" ref="S381">IF(A381="","", IF( (ROUND(I381,4) &lt; INDEX('Tabela de ingredientes'!$O$1:$V$30, SWITCH(B381, "Gelatos de Leite", 7, "Sorbets", 10, "Gelatos de Leite com Fruta", 13, "Chocolate base água", 16, "Vegano", 19, "Alcoólicos", 22, "Zero", 25, "Gelatos Proteicos", 28, 7), 1)) + (ROUND(I381,4) &gt; INDEX('Tabela de ingredientes'!$O$1:$V$30, SWITCH(B381, "Gelatos de Leite", 8, "Sorbets", 11, "Gelatos de Leite com Fruta", 14, "Chocolate base água", 17, "Vegano", 20, "Alcoólicos", 23, "Zero", 26, "Gelatos Proteicos", 29, 8), 1)) + (ROUND(J381,4) &lt; INDEX('Tabela de ingredientes'!$O$1:$V$30, SWITCH(B381, "Gelatos de Leite", 7, "Sorbets", 10, "Gelatos de Leite com Fruta", 13, "Chocolate base água", 16, "Vegano", 19, "Alcoólicos", 22, "Zero", 25, "Gelatos Proteicos", 28, 7), 2)) + (ROUND(J381,4) &gt; INDEX('Tabela de ingredientes'!$O$1:$V$30, SWITCH(B381, "Gelatos de Leite", 8, "Sorbets", 11, "Gelatos de Leite com Fruta", 14, "Chocolate base água", 17, "Vegano", 20, "Alcoólicos", 23, "Zero", 26, "Gelatos Proteicos", 29, 8), 2)) + (ROUND(K381,4) &lt; INDEX('Tabela de ingredientes'!$O$1:$V$30, SWITCH(B381, "Gelatos de Leite", 7, "Sorbets", 10, "Gelatos de Leite com Fruta", 13, "Chocolate base água", 16, "Vegano", 19, "Alcoólicos", 22, "Zero", 25, "Gelatos Proteicos", 28, 7), 3)) + (ROUND(K381,4) &gt; INDEX('Tabela de ingredientes'!$O$1:$V$30, SWITCH(B381, "Gelatos de Leite", 8, "Sorbets", 11, "Gelatos de Leite com Fruta", 14, "Chocolate base água", 17, "Vegano", 20, "Alcoólicos", 23, "Zero", 26, "Gelatos Proteicos", 29, 8), 3)) + (ROUND(L381,4) &lt; INDEX('Tabela de ingredientes'!$O$1:$V$30, SWITCH(B381, "Gelatos de Leite", 7, "Sorbets", 10, "Gelatos de Leite com Fruta", 13, "Chocolate base água", 16, "Vegano", 19, "Alcoólicos", 22, "Zero", 25, "Gelatos Proteicos", 28, 7), 4)) + (ROUND(L381,4) &gt; INDEX('Tabela de ingredientes'!$O$1:$V$30, SWITCH(B381, "Gelatos de Leite", 8, "Sorbets", 11, "Gelatos de Leite com Fruta", 14, "Chocolate base água", 17, "Vegano", 20, "Alcoólicos", 23, "Zero", 26, "Gelatos Proteicos", 29, 8), 4)) + (ROUND(M381,4) &lt; INDEX('Tabela de ingredientes'!$O$1:$V$30, SWITCH(B381, "Gelatos de Leite", 7, "Sorbets", 10, "Gelatos de Leite com Fruta", 13, "Chocolate base água", 16, "Vegano", 19, "Alcoólicos", 22, "Zero", 25, "Gelatos Proteicos", 28, 7), 5)) + (ROUND(M381,4) &gt; INDEX('Tabela de ingredientes'!$O$1:$V$30, SWITCH(B381, "Gelatos de Leite", 8, "Sorbets", 11, "Gelatos de Leite com Fruta", 14, "Chocolate base água", 17, "Vegano", 20, "Alcoólicos", 23, "Zero", 26, "Gelatos Proteicos", 29, 8), 5)) + (ROUND(N381,4) &lt; INDEX('Tabela de ingredientes'!$O$1:$V$30, SWITCH(B381, "Gelatos de Leite", 7, "Sorbets", 10, "Gelatos de Leite com Fruta", 13, "Chocolate base água", 16, "Vegano", 19, "Alcoólicos", 22, "Zero", 25, "Gelatos Proteicos", 28, 7), 6)) + (ROUND(N381,4) &gt; INDEX('Tabela de ingredientes'!$O$1:$V$30, SWITCH(B381, "Gelatos de Leite", 8, "Sorbets", 11, "Gelatos de Leite com Fruta", 14, "Chocolate base água", 17, "Vegano", 20, "Alcoólicos", 23, "Zero", 26, "Gelatos Proteicos", 29, 8), 6)) + (ROUND(O381,4) &lt; INDEX('Tabela de ingredientes'!$O$1:$V$30, SWITCH(B381, "Gelatos de Leite", 7, "Sorbets", 10, "Gelatos de Leite com Fruta", 13, "Chocolate base água", 16, "Vegano", 19, "Alcoólicos", 22, "Zero", 25, "Gelatos Proteicos", 28, 7), 7)) + (ROUND(O381,4) &gt; INDEX('Tabela de ingredientes'!$O$1:$V$30, SWITCH(B381, "Gelatos de Leite", 8, "Sorbets", 11, "Gelatos de Leite com Fruta", 14, "Chocolate base água", 17, "Vegano", 20, "Alcoólicos", 23, "Zero", 26, "Gelatos Proteicos", 29, 8), 7)) + (ROUND(P381,4) &lt; INDEX('Tabela de ingredientes'!$O$1:$V$30, SWITCH(B381, "Gelatos de Leite", 7, "Sorbets", 10, "Gelatos de Leite com Fruta", 13, "Chocolate base água", 16, "Vegano", 19, "Alcoólicos", 22, "Zero", 25, "Gelatos Proteicos", 28, 7), 8)) + (ROUND(P381,4) &gt; INDEX('Tabela de ingredientes'!$O$1:$V$30, SWITCH(B381, "Gelatos de Leite", 8, "Sorbets", 11, "Gelatos de Leite com Fruta", 14, "Chocolate base água", 17, "Vegano", 20, "Alcoólicos", 23, "Zero", 26, "Gelatos Proteicos", 29, 8), 8)) + IF(B381="Gelatos Proteicos", (ROUND(Q381,4)&lt;'Tabela de ingredientes'!$W$28)+(ROUND(Q381,4)&gt;'Tabela de ingredientes'!$W$29), 0) = 0, "Ok", "Revisar"))</f>
        <v/>
      </c>
    </row>
    <row r="382">
      <c r="A382" s="264"/>
      <c r="B382" s="264" t="s">
        <v>187</v>
      </c>
      <c r="C382" s="264" t="s">
        <v>187</v>
      </c>
      <c r="D382" s="264" t="s">
        <v>187</v>
      </c>
      <c r="E382" s="264" t="s">
        <v>187</v>
      </c>
      <c r="F382" s="264" t="s">
        <v>187</v>
      </c>
      <c r="G382" s="264" t="s">
        <v>187</v>
      </c>
      <c r="H382" s="264" t="s">
        <v>187</v>
      </c>
      <c r="I382" s="264" t="s">
        <v>187</v>
      </c>
      <c r="J382" s="264" t="s">
        <v>187</v>
      </c>
      <c r="K382" s="264" t="s">
        <v>187</v>
      </c>
      <c r="L382" s="264" t="s">
        <v>187</v>
      </c>
      <c r="M382" s="264" t="s">
        <v>187</v>
      </c>
      <c r="N382" s="264" t="s">
        <v>187</v>
      </c>
      <c r="O382" s="264" t="s">
        <v>187</v>
      </c>
      <c r="P382" s="264" t="s">
        <v>187</v>
      </c>
      <c r="Q382" s="264" t="s">
        <v>187</v>
      </c>
      <c r="R382" s="264" t="s">
        <v>187</v>
      </c>
      <c r="S382" s="97" t="str">
        <f t="array" ref="S382">IF(A382="","", IF( (ROUND(I382,4) &lt; INDEX('Tabela de ingredientes'!$O$1:$V$30, SWITCH(B382, "Gelatos de Leite", 7, "Sorbets", 10, "Gelatos de Leite com Fruta", 13, "Chocolate base água", 16, "Vegano", 19, "Alcoólicos", 22, "Zero", 25, "Gelatos Proteicos", 28, 7), 1)) + (ROUND(I382,4) &gt; INDEX('Tabela de ingredientes'!$O$1:$V$30, SWITCH(B382, "Gelatos de Leite", 8, "Sorbets", 11, "Gelatos de Leite com Fruta", 14, "Chocolate base água", 17, "Vegano", 20, "Alcoólicos", 23, "Zero", 26, "Gelatos Proteicos", 29, 8), 1)) + (ROUND(J382,4) &lt; INDEX('Tabela de ingredientes'!$O$1:$V$30, SWITCH(B382, "Gelatos de Leite", 7, "Sorbets", 10, "Gelatos de Leite com Fruta", 13, "Chocolate base água", 16, "Vegano", 19, "Alcoólicos", 22, "Zero", 25, "Gelatos Proteicos", 28, 7), 2)) + (ROUND(J382,4) &gt; INDEX('Tabela de ingredientes'!$O$1:$V$30, SWITCH(B382, "Gelatos de Leite", 8, "Sorbets", 11, "Gelatos de Leite com Fruta", 14, "Chocolate base água", 17, "Vegano", 20, "Alcoólicos", 23, "Zero", 26, "Gelatos Proteicos", 29, 8), 2)) + (ROUND(K382,4) &lt; INDEX('Tabela de ingredientes'!$O$1:$V$30, SWITCH(B382, "Gelatos de Leite", 7, "Sorbets", 10, "Gelatos de Leite com Fruta", 13, "Chocolate base água", 16, "Vegano", 19, "Alcoólicos", 22, "Zero", 25, "Gelatos Proteicos", 28, 7), 3)) + (ROUND(K382,4) &gt; INDEX('Tabela de ingredientes'!$O$1:$V$30, SWITCH(B382, "Gelatos de Leite", 8, "Sorbets", 11, "Gelatos de Leite com Fruta", 14, "Chocolate base água", 17, "Vegano", 20, "Alcoólicos", 23, "Zero", 26, "Gelatos Proteicos", 29, 8), 3)) + (ROUND(L382,4) &lt; INDEX('Tabela de ingredientes'!$O$1:$V$30, SWITCH(B382, "Gelatos de Leite", 7, "Sorbets", 10, "Gelatos de Leite com Fruta", 13, "Chocolate base água", 16, "Vegano", 19, "Alcoólicos", 22, "Zero", 25, "Gelatos Proteicos", 28, 7), 4)) + (ROUND(L382,4) &gt; INDEX('Tabela de ingredientes'!$O$1:$V$30, SWITCH(B382, "Gelatos de Leite", 8, "Sorbets", 11, "Gelatos de Leite com Fruta", 14, "Chocolate base água", 17, "Vegano", 20, "Alcoólicos", 23, "Zero", 26, "Gelatos Proteicos", 29, 8), 4)) + (ROUND(M382,4) &lt; INDEX('Tabela de ingredientes'!$O$1:$V$30, SWITCH(B382, "Gelatos de Leite", 7, "Sorbets", 10, "Gelatos de Leite com Fruta", 13, "Chocolate base água", 16, "Vegano", 19, "Alcoólicos", 22, "Zero", 25, "Gelatos Proteicos", 28, 7), 5)) + (ROUND(M382,4) &gt; INDEX('Tabela de ingredientes'!$O$1:$V$30, SWITCH(B382, "Gelatos de Leite", 8, "Sorbets", 11, "Gelatos de Leite com Fruta", 14, "Chocolate base água", 17, "Vegano", 20, "Alcoólicos", 23, "Zero", 26, "Gelatos Proteicos", 29, 8), 5)) + (ROUND(N382,4) &lt; INDEX('Tabela de ingredientes'!$O$1:$V$30, SWITCH(B382, "Gelatos de Leite", 7, "Sorbets", 10, "Gelatos de Leite com Fruta", 13, "Chocolate base água", 16, "Vegano", 19, "Alcoólicos", 22, "Zero", 25, "Gelatos Proteicos", 28, 7), 6)) + (ROUND(N382,4) &gt; INDEX('Tabela de ingredientes'!$O$1:$V$30, SWITCH(B382, "Gelatos de Leite", 8, "Sorbets", 11, "Gelatos de Leite com Fruta", 14, "Chocolate base água", 17, "Vegano", 20, "Alcoólicos", 23, "Zero", 26, "Gelatos Proteicos", 29, 8), 6)) + (ROUND(O382,4) &lt; INDEX('Tabela de ingredientes'!$O$1:$V$30, SWITCH(B382, "Gelatos de Leite", 7, "Sorbets", 10, "Gelatos de Leite com Fruta", 13, "Chocolate base água", 16, "Vegano", 19, "Alcoólicos", 22, "Zero", 25, "Gelatos Proteicos", 28, 7), 7)) + (ROUND(O382,4) &gt; INDEX('Tabela de ingredientes'!$O$1:$V$30, SWITCH(B382, "Gelatos de Leite", 8, "Sorbets", 11, "Gelatos de Leite com Fruta", 14, "Chocolate base água", 17, "Vegano", 20, "Alcoólicos", 23, "Zero", 26, "Gelatos Proteicos", 29, 8), 7)) + (ROUND(P382,4) &lt; INDEX('Tabela de ingredientes'!$O$1:$V$30, SWITCH(B382, "Gelatos de Leite", 7, "Sorbets", 10, "Gelatos de Leite com Fruta", 13, "Chocolate base água", 16, "Vegano", 19, "Alcoólicos", 22, "Zero", 25, "Gelatos Proteicos", 28, 7), 8)) + (ROUND(P382,4) &gt; INDEX('Tabela de ingredientes'!$O$1:$V$30, SWITCH(B382, "Gelatos de Leite", 8, "Sorbets", 11, "Gelatos de Leite com Fruta", 14, "Chocolate base água", 17, "Vegano", 20, "Alcoólicos", 23, "Zero", 26, "Gelatos Proteicos", 29, 8), 8)) + IF(B382="Gelatos Proteicos", (ROUND(Q382,4)&lt;'Tabela de ingredientes'!$W$28)+(ROUND(Q382,4)&gt;'Tabela de ingredientes'!$W$29), 0) = 0, "Ok", "Revisar"))</f>
        <v/>
      </c>
    </row>
    <row r="383">
      <c r="A383" s="264"/>
      <c r="B383" s="264" t="s">
        <v>187</v>
      </c>
      <c r="C383" s="264" t="s">
        <v>187</v>
      </c>
      <c r="D383" s="264" t="s">
        <v>187</v>
      </c>
      <c r="E383" s="264" t="s">
        <v>187</v>
      </c>
      <c r="F383" s="264" t="s">
        <v>187</v>
      </c>
      <c r="G383" s="264" t="s">
        <v>187</v>
      </c>
      <c r="H383" s="264" t="s">
        <v>187</v>
      </c>
      <c r="I383" s="264" t="s">
        <v>187</v>
      </c>
      <c r="J383" s="264" t="s">
        <v>187</v>
      </c>
      <c r="K383" s="264" t="s">
        <v>187</v>
      </c>
      <c r="L383" s="264" t="s">
        <v>187</v>
      </c>
      <c r="M383" s="264" t="s">
        <v>187</v>
      </c>
      <c r="N383" s="264" t="s">
        <v>187</v>
      </c>
      <c r="O383" s="264" t="s">
        <v>187</v>
      </c>
      <c r="P383" s="264" t="s">
        <v>187</v>
      </c>
      <c r="Q383" s="264" t="s">
        <v>187</v>
      </c>
      <c r="R383" s="264" t="s">
        <v>187</v>
      </c>
      <c r="S383" s="97" t="str">
        <f t="array" ref="S383">IF(A383="","", IF( (ROUND(I383,4) &lt; INDEX('Tabela de ingredientes'!$O$1:$V$30, SWITCH(B383, "Gelatos de Leite", 7, "Sorbets", 10, "Gelatos de Leite com Fruta", 13, "Chocolate base água", 16, "Vegano", 19, "Alcoólicos", 22, "Zero", 25, "Gelatos Proteicos", 28, 7), 1)) + (ROUND(I383,4) &gt; INDEX('Tabela de ingredientes'!$O$1:$V$30, SWITCH(B383, "Gelatos de Leite", 8, "Sorbets", 11, "Gelatos de Leite com Fruta", 14, "Chocolate base água", 17, "Vegano", 20, "Alcoólicos", 23, "Zero", 26, "Gelatos Proteicos", 29, 8), 1)) + (ROUND(J383,4) &lt; INDEX('Tabela de ingredientes'!$O$1:$V$30, SWITCH(B383, "Gelatos de Leite", 7, "Sorbets", 10, "Gelatos de Leite com Fruta", 13, "Chocolate base água", 16, "Vegano", 19, "Alcoólicos", 22, "Zero", 25, "Gelatos Proteicos", 28, 7), 2)) + (ROUND(J383,4) &gt; INDEX('Tabela de ingredientes'!$O$1:$V$30, SWITCH(B383, "Gelatos de Leite", 8, "Sorbets", 11, "Gelatos de Leite com Fruta", 14, "Chocolate base água", 17, "Vegano", 20, "Alcoólicos", 23, "Zero", 26, "Gelatos Proteicos", 29, 8), 2)) + (ROUND(K383,4) &lt; INDEX('Tabela de ingredientes'!$O$1:$V$30, SWITCH(B383, "Gelatos de Leite", 7, "Sorbets", 10, "Gelatos de Leite com Fruta", 13, "Chocolate base água", 16, "Vegano", 19, "Alcoólicos", 22, "Zero", 25, "Gelatos Proteicos", 28, 7), 3)) + (ROUND(K383,4) &gt; INDEX('Tabela de ingredientes'!$O$1:$V$30, SWITCH(B383, "Gelatos de Leite", 8, "Sorbets", 11, "Gelatos de Leite com Fruta", 14, "Chocolate base água", 17, "Vegano", 20, "Alcoólicos", 23, "Zero", 26, "Gelatos Proteicos", 29, 8), 3)) + (ROUND(L383,4) &lt; INDEX('Tabela de ingredientes'!$O$1:$V$30, SWITCH(B383, "Gelatos de Leite", 7, "Sorbets", 10, "Gelatos de Leite com Fruta", 13, "Chocolate base água", 16, "Vegano", 19, "Alcoólicos", 22, "Zero", 25, "Gelatos Proteicos", 28, 7), 4)) + (ROUND(L383,4) &gt; INDEX('Tabela de ingredientes'!$O$1:$V$30, SWITCH(B383, "Gelatos de Leite", 8, "Sorbets", 11, "Gelatos de Leite com Fruta", 14, "Chocolate base água", 17, "Vegano", 20, "Alcoólicos", 23, "Zero", 26, "Gelatos Proteicos", 29, 8), 4)) + (ROUND(M383,4) &lt; INDEX('Tabela de ingredientes'!$O$1:$V$30, SWITCH(B383, "Gelatos de Leite", 7, "Sorbets", 10, "Gelatos de Leite com Fruta", 13, "Chocolate base água", 16, "Vegano", 19, "Alcoólicos", 22, "Zero", 25, "Gelatos Proteicos", 28, 7), 5)) + (ROUND(M383,4) &gt; INDEX('Tabela de ingredientes'!$O$1:$V$30, SWITCH(B383, "Gelatos de Leite", 8, "Sorbets", 11, "Gelatos de Leite com Fruta", 14, "Chocolate base água", 17, "Vegano", 20, "Alcoólicos", 23, "Zero", 26, "Gelatos Proteicos", 29, 8), 5)) + (ROUND(N383,4) &lt; INDEX('Tabela de ingredientes'!$O$1:$V$30, SWITCH(B383, "Gelatos de Leite", 7, "Sorbets", 10, "Gelatos de Leite com Fruta", 13, "Chocolate base água", 16, "Vegano", 19, "Alcoólicos", 22, "Zero", 25, "Gelatos Proteicos", 28, 7), 6)) + (ROUND(N383,4) &gt; INDEX('Tabela de ingredientes'!$O$1:$V$30, SWITCH(B383, "Gelatos de Leite", 8, "Sorbets", 11, "Gelatos de Leite com Fruta", 14, "Chocolate base água", 17, "Vegano", 20, "Alcoólicos", 23, "Zero", 26, "Gelatos Proteicos", 29, 8), 6)) + (ROUND(O383,4) &lt; INDEX('Tabela de ingredientes'!$O$1:$V$30, SWITCH(B383, "Gelatos de Leite", 7, "Sorbets", 10, "Gelatos de Leite com Fruta", 13, "Chocolate base água", 16, "Vegano", 19, "Alcoólicos", 22, "Zero", 25, "Gelatos Proteicos", 28, 7), 7)) + (ROUND(O383,4) &gt; INDEX('Tabela de ingredientes'!$O$1:$V$30, SWITCH(B383, "Gelatos de Leite", 8, "Sorbets", 11, "Gelatos de Leite com Fruta", 14, "Chocolate base água", 17, "Vegano", 20, "Alcoólicos", 23, "Zero", 26, "Gelatos Proteicos", 29, 8), 7)) + (ROUND(P383,4) &lt; INDEX('Tabela de ingredientes'!$O$1:$V$30, SWITCH(B383, "Gelatos de Leite", 7, "Sorbets", 10, "Gelatos de Leite com Fruta", 13, "Chocolate base água", 16, "Vegano", 19, "Alcoólicos", 22, "Zero", 25, "Gelatos Proteicos", 28, 7), 8)) + (ROUND(P383,4) &gt; INDEX('Tabela de ingredientes'!$O$1:$V$30, SWITCH(B383, "Gelatos de Leite", 8, "Sorbets", 11, "Gelatos de Leite com Fruta", 14, "Chocolate base água", 17, "Vegano", 20, "Alcoólicos", 23, "Zero", 26, "Gelatos Proteicos", 29, 8), 8)) + IF(B383="Gelatos Proteicos", (ROUND(Q383,4)&lt;'Tabela de ingredientes'!$W$28)+(ROUND(Q383,4)&gt;'Tabela de ingredientes'!$W$29), 0) = 0, "Ok", "Revisar"))</f>
        <v/>
      </c>
    </row>
    <row r="384">
      <c r="A384" s="264"/>
      <c r="B384" s="264" t="s">
        <v>187</v>
      </c>
      <c r="C384" s="264" t="s">
        <v>187</v>
      </c>
      <c r="D384" s="264" t="s">
        <v>187</v>
      </c>
      <c r="E384" s="264" t="s">
        <v>187</v>
      </c>
      <c r="F384" s="264" t="s">
        <v>187</v>
      </c>
      <c r="G384" s="264" t="s">
        <v>187</v>
      </c>
      <c r="H384" s="264" t="s">
        <v>187</v>
      </c>
      <c r="I384" s="264" t="s">
        <v>187</v>
      </c>
      <c r="J384" s="264" t="s">
        <v>187</v>
      </c>
      <c r="K384" s="264" t="s">
        <v>187</v>
      </c>
      <c r="L384" s="264" t="s">
        <v>187</v>
      </c>
      <c r="M384" s="264" t="s">
        <v>187</v>
      </c>
      <c r="N384" s="264" t="s">
        <v>187</v>
      </c>
      <c r="O384" s="264" t="s">
        <v>187</v>
      </c>
      <c r="P384" s="264" t="s">
        <v>187</v>
      </c>
      <c r="Q384" s="264" t="s">
        <v>187</v>
      </c>
      <c r="R384" s="264" t="s">
        <v>187</v>
      </c>
      <c r="S384" s="97" t="str">
        <f t="array" ref="S384">IF(A384="","", IF( (ROUND(I384,4) &lt; INDEX('Tabela de ingredientes'!$O$1:$V$30, SWITCH(B384, "Gelatos de Leite", 7, "Sorbets", 10, "Gelatos de Leite com Fruta", 13, "Chocolate base água", 16, "Vegano", 19, "Alcoólicos", 22, "Zero", 25, "Gelatos Proteicos", 28, 7), 1)) + (ROUND(I384,4) &gt; INDEX('Tabela de ingredientes'!$O$1:$V$30, SWITCH(B384, "Gelatos de Leite", 8, "Sorbets", 11, "Gelatos de Leite com Fruta", 14, "Chocolate base água", 17, "Vegano", 20, "Alcoólicos", 23, "Zero", 26, "Gelatos Proteicos", 29, 8), 1)) + (ROUND(J384,4) &lt; INDEX('Tabela de ingredientes'!$O$1:$V$30, SWITCH(B384, "Gelatos de Leite", 7, "Sorbets", 10, "Gelatos de Leite com Fruta", 13, "Chocolate base água", 16, "Vegano", 19, "Alcoólicos", 22, "Zero", 25, "Gelatos Proteicos", 28, 7), 2)) + (ROUND(J384,4) &gt; INDEX('Tabela de ingredientes'!$O$1:$V$30, SWITCH(B384, "Gelatos de Leite", 8, "Sorbets", 11, "Gelatos de Leite com Fruta", 14, "Chocolate base água", 17, "Vegano", 20, "Alcoólicos", 23, "Zero", 26, "Gelatos Proteicos", 29, 8), 2)) + (ROUND(K384,4) &lt; INDEX('Tabela de ingredientes'!$O$1:$V$30, SWITCH(B384, "Gelatos de Leite", 7, "Sorbets", 10, "Gelatos de Leite com Fruta", 13, "Chocolate base água", 16, "Vegano", 19, "Alcoólicos", 22, "Zero", 25, "Gelatos Proteicos", 28, 7), 3)) + (ROUND(K384,4) &gt; INDEX('Tabela de ingredientes'!$O$1:$V$30, SWITCH(B384, "Gelatos de Leite", 8, "Sorbets", 11, "Gelatos de Leite com Fruta", 14, "Chocolate base água", 17, "Vegano", 20, "Alcoólicos", 23, "Zero", 26, "Gelatos Proteicos", 29, 8), 3)) + (ROUND(L384,4) &lt; INDEX('Tabela de ingredientes'!$O$1:$V$30, SWITCH(B384, "Gelatos de Leite", 7, "Sorbets", 10, "Gelatos de Leite com Fruta", 13, "Chocolate base água", 16, "Vegano", 19, "Alcoólicos", 22, "Zero", 25, "Gelatos Proteicos", 28, 7), 4)) + (ROUND(L384,4) &gt; INDEX('Tabela de ingredientes'!$O$1:$V$30, SWITCH(B384, "Gelatos de Leite", 8, "Sorbets", 11, "Gelatos de Leite com Fruta", 14, "Chocolate base água", 17, "Vegano", 20, "Alcoólicos", 23, "Zero", 26, "Gelatos Proteicos", 29, 8), 4)) + (ROUND(M384,4) &lt; INDEX('Tabela de ingredientes'!$O$1:$V$30, SWITCH(B384, "Gelatos de Leite", 7, "Sorbets", 10, "Gelatos de Leite com Fruta", 13, "Chocolate base água", 16, "Vegano", 19, "Alcoólicos", 22, "Zero", 25, "Gelatos Proteicos", 28, 7), 5)) + (ROUND(M384,4) &gt; INDEX('Tabela de ingredientes'!$O$1:$V$30, SWITCH(B384, "Gelatos de Leite", 8, "Sorbets", 11, "Gelatos de Leite com Fruta", 14, "Chocolate base água", 17, "Vegano", 20, "Alcoólicos", 23, "Zero", 26, "Gelatos Proteicos", 29, 8), 5)) + (ROUND(N384,4) &lt; INDEX('Tabela de ingredientes'!$O$1:$V$30, SWITCH(B384, "Gelatos de Leite", 7, "Sorbets", 10, "Gelatos de Leite com Fruta", 13, "Chocolate base água", 16, "Vegano", 19, "Alcoólicos", 22, "Zero", 25, "Gelatos Proteicos", 28, 7), 6)) + (ROUND(N384,4) &gt; INDEX('Tabela de ingredientes'!$O$1:$V$30, SWITCH(B384, "Gelatos de Leite", 8, "Sorbets", 11, "Gelatos de Leite com Fruta", 14, "Chocolate base água", 17, "Vegano", 20, "Alcoólicos", 23, "Zero", 26, "Gelatos Proteicos", 29, 8), 6)) + (ROUND(O384,4) &lt; INDEX('Tabela de ingredientes'!$O$1:$V$30, SWITCH(B384, "Gelatos de Leite", 7, "Sorbets", 10, "Gelatos de Leite com Fruta", 13, "Chocolate base água", 16, "Vegano", 19, "Alcoólicos", 22, "Zero", 25, "Gelatos Proteicos", 28, 7), 7)) + (ROUND(O384,4) &gt; INDEX('Tabela de ingredientes'!$O$1:$V$30, SWITCH(B384, "Gelatos de Leite", 8, "Sorbets", 11, "Gelatos de Leite com Fruta", 14, "Chocolate base água", 17, "Vegano", 20, "Alcoólicos", 23, "Zero", 26, "Gelatos Proteicos", 29, 8), 7)) + (ROUND(P384,4) &lt; INDEX('Tabela de ingredientes'!$O$1:$V$30, SWITCH(B384, "Gelatos de Leite", 7, "Sorbets", 10, "Gelatos de Leite com Fruta", 13, "Chocolate base água", 16, "Vegano", 19, "Alcoólicos", 22, "Zero", 25, "Gelatos Proteicos", 28, 7), 8)) + (ROUND(P384,4) &gt; INDEX('Tabela de ingredientes'!$O$1:$V$30, SWITCH(B384, "Gelatos de Leite", 8, "Sorbets", 11, "Gelatos de Leite com Fruta", 14, "Chocolate base água", 17, "Vegano", 20, "Alcoólicos", 23, "Zero", 26, "Gelatos Proteicos", 29, 8), 8)) + IF(B384="Gelatos Proteicos", (ROUND(Q384,4)&lt;'Tabela de ingredientes'!$W$28)+(ROUND(Q384,4)&gt;'Tabela de ingredientes'!$W$29), 0) = 0, "Ok", "Revisar"))</f>
        <v/>
      </c>
    </row>
    <row r="385">
      <c r="A385" s="264"/>
      <c r="B385" s="264" t="s">
        <v>187</v>
      </c>
      <c r="C385" s="264" t="s">
        <v>187</v>
      </c>
      <c r="D385" s="264" t="s">
        <v>187</v>
      </c>
      <c r="E385" s="264" t="s">
        <v>187</v>
      </c>
      <c r="F385" s="264" t="s">
        <v>187</v>
      </c>
      <c r="G385" s="264" t="s">
        <v>187</v>
      </c>
      <c r="H385" s="264" t="s">
        <v>187</v>
      </c>
      <c r="I385" s="264" t="s">
        <v>187</v>
      </c>
      <c r="J385" s="264" t="s">
        <v>187</v>
      </c>
      <c r="K385" s="264" t="s">
        <v>187</v>
      </c>
      <c r="L385" s="264" t="s">
        <v>187</v>
      </c>
      <c r="M385" s="264" t="s">
        <v>187</v>
      </c>
      <c r="N385" s="264" t="s">
        <v>187</v>
      </c>
      <c r="O385" s="264" t="s">
        <v>187</v>
      </c>
      <c r="P385" s="264" t="s">
        <v>187</v>
      </c>
      <c r="Q385" s="264" t="s">
        <v>187</v>
      </c>
      <c r="R385" s="264" t="s">
        <v>187</v>
      </c>
      <c r="S385" s="97" t="str">
        <f t="array" ref="S385">IF(A385="","", IF( (ROUND(I385,4) &lt; INDEX('Tabela de ingredientes'!$O$1:$V$30, SWITCH(B385, "Gelatos de Leite", 7, "Sorbets", 10, "Gelatos de Leite com Fruta", 13, "Chocolate base água", 16, "Vegano", 19, "Alcoólicos", 22, "Zero", 25, "Gelatos Proteicos", 28, 7), 1)) + (ROUND(I385,4) &gt; INDEX('Tabela de ingredientes'!$O$1:$V$30, SWITCH(B385, "Gelatos de Leite", 8, "Sorbets", 11, "Gelatos de Leite com Fruta", 14, "Chocolate base água", 17, "Vegano", 20, "Alcoólicos", 23, "Zero", 26, "Gelatos Proteicos", 29, 8), 1)) + (ROUND(J385,4) &lt; INDEX('Tabela de ingredientes'!$O$1:$V$30, SWITCH(B385, "Gelatos de Leite", 7, "Sorbets", 10, "Gelatos de Leite com Fruta", 13, "Chocolate base água", 16, "Vegano", 19, "Alcoólicos", 22, "Zero", 25, "Gelatos Proteicos", 28, 7), 2)) + (ROUND(J385,4) &gt; INDEX('Tabela de ingredientes'!$O$1:$V$30, SWITCH(B385, "Gelatos de Leite", 8, "Sorbets", 11, "Gelatos de Leite com Fruta", 14, "Chocolate base água", 17, "Vegano", 20, "Alcoólicos", 23, "Zero", 26, "Gelatos Proteicos", 29, 8), 2)) + (ROUND(K385,4) &lt; INDEX('Tabela de ingredientes'!$O$1:$V$30, SWITCH(B385, "Gelatos de Leite", 7, "Sorbets", 10, "Gelatos de Leite com Fruta", 13, "Chocolate base água", 16, "Vegano", 19, "Alcoólicos", 22, "Zero", 25, "Gelatos Proteicos", 28, 7), 3)) + (ROUND(K385,4) &gt; INDEX('Tabela de ingredientes'!$O$1:$V$30, SWITCH(B385, "Gelatos de Leite", 8, "Sorbets", 11, "Gelatos de Leite com Fruta", 14, "Chocolate base água", 17, "Vegano", 20, "Alcoólicos", 23, "Zero", 26, "Gelatos Proteicos", 29, 8), 3)) + (ROUND(L385,4) &lt; INDEX('Tabela de ingredientes'!$O$1:$V$30, SWITCH(B385, "Gelatos de Leite", 7, "Sorbets", 10, "Gelatos de Leite com Fruta", 13, "Chocolate base água", 16, "Vegano", 19, "Alcoólicos", 22, "Zero", 25, "Gelatos Proteicos", 28, 7), 4)) + (ROUND(L385,4) &gt; INDEX('Tabela de ingredientes'!$O$1:$V$30, SWITCH(B385, "Gelatos de Leite", 8, "Sorbets", 11, "Gelatos de Leite com Fruta", 14, "Chocolate base água", 17, "Vegano", 20, "Alcoólicos", 23, "Zero", 26, "Gelatos Proteicos", 29, 8), 4)) + (ROUND(M385,4) &lt; INDEX('Tabela de ingredientes'!$O$1:$V$30, SWITCH(B385, "Gelatos de Leite", 7, "Sorbets", 10, "Gelatos de Leite com Fruta", 13, "Chocolate base água", 16, "Vegano", 19, "Alcoólicos", 22, "Zero", 25, "Gelatos Proteicos", 28, 7), 5)) + (ROUND(M385,4) &gt; INDEX('Tabela de ingredientes'!$O$1:$V$30, SWITCH(B385, "Gelatos de Leite", 8, "Sorbets", 11, "Gelatos de Leite com Fruta", 14, "Chocolate base água", 17, "Vegano", 20, "Alcoólicos", 23, "Zero", 26, "Gelatos Proteicos", 29, 8), 5)) + (ROUND(N385,4) &lt; INDEX('Tabela de ingredientes'!$O$1:$V$30, SWITCH(B385, "Gelatos de Leite", 7, "Sorbets", 10, "Gelatos de Leite com Fruta", 13, "Chocolate base água", 16, "Vegano", 19, "Alcoólicos", 22, "Zero", 25, "Gelatos Proteicos", 28, 7), 6)) + (ROUND(N385,4) &gt; INDEX('Tabela de ingredientes'!$O$1:$V$30, SWITCH(B385, "Gelatos de Leite", 8, "Sorbets", 11, "Gelatos de Leite com Fruta", 14, "Chocolate base água", 17, "Vegano", 20, "Alcoólicos", 23, "Zero", 26, "Gelatos Proteicos", 29, 8), 6)) + (ROUND(O385,4) &lt; INDEX('Tabela de ingredientes'!$O$1:$V$30, SWITCH(B385, "Gelatos de Leite", 7, "Sorbets", 10, "Gelatos de Leite com Fruta", 13, "Chocolate base água", 16, "Vegano", 19, "Alcoólicos", 22, "Zero", 25, "Gelatos Proteicos", 28, 7), 7)) + (ROUND(O385,4) &gt; INDEX('Tabela de ingredientes'!$O$1:$V$30, SWITCH(B385, "Gelatos de Leite", 8, "Sorbets", 11, "Gelatos de Leite com Fruta", 14, "Chocolate base água", 17, "Vegano", 20, "Alcoólicos", 23, "Zero", 26, "Gelatos Proteicos", 29, 8), 7)) + (ROUND(P385,4) &lt; INDEX('Tabela de ingredientes'!$O$1:$V$30, SWITCH(B385, "Gelatos de Leite", 7, "Sorbets", 10, "Gelatos de Leite com Fruta", 13, "Chocolate base água", 16, "Vegano", 19, "Alcoólicos", 22, "Zero", 25, "Gelatos Proteicos", 28, 7), 8)) + (ROUND(P385,4) &gt; INDEX('Tabela de ingredientes'!$O$1:$V$30, SWITCH(B385, "Gelatos de Leite", 8, "Sorbets", 11, "Gelatos de Leite com Fruta", 14, "Chocolate base água", 17, "Vegano", 20, "Alcoólicos", 23, "Zero", 26, "Gelatos Proteicos", 29, 8), 8)) + IF(B385="Gelatos Proteicos", (ROUND(Q385,4)&lt;'Tabela de ingredientes'!$W$28)+(ROUND(Q385,4)&gt;'Tabela de ingredientes'!$W$29), 0) = 0, "Ok", "Revisar"))</f>
        <v/>
      </c>
    </row>
    <row r="386">
      <c r="A386" s="264"/>
      <c r="B386" s="264" t="s">
        <v>187</v>
      </c>
      <c r="C386" s="264" t="s">
        <v>187</v>
      </c>
      <c r="D386" s="264" t="s">
        <v>187</v>
      </c>
      <c r="E386" s="264" t="s">
        <v>187</v>
      </c>
      <c r="F386" s="264" t="s">
        <v>187</v>
      </c>
      <c r="G386" s="264" t="s">
        <v>187</v>
      </c>
      <c r="H386" s="264" t="s">
        <v>187</v>
      </c>
      <c r="I386" s="264" t="s">
        <v>187</v>
      </c>
      <c r="J386" s="264" t="s">
        <v>187</v>
      </c>
      <c r="K386" s="264" t="s">
        <v>187</v>
      </c>
      <c r="L386" s="264" t="s">
        <v>187</v>
      </c>
      <c r="M386" s="264" t="s">
        <v>187</v>
      </c>
      <c r="N386" s="264" t="s">
        <v>187</v>
      </c>
      <c r="O386" s="264" t="s">
        <v>187</v>
      </c>
      <c r="P386" s="264" t="s">
        <v>187</v>
      </c>
      <c r="Q386" s="264" t="s">
        <v>187</v>
      </c>
      <c r="R386" s="264" t="s">
        <v>187</v>
      </c>
      <c r="S386" s="97" t="str">
        <f t="array" ref="S386">IF(A386="","", IF( (ROUND(I386,4) &lt; INDEX('Tabela de ingredientes'!$O$1:$V$30, SWITCH(B386, "Gelatos de Leite", 7, "Sorbets", 10, "Gelatos de Leite com Fruta", 13, "Chocolate base água", 16, "Vegano", 19, "Alcoólicos", 22, "Zero", 25, "Gelatos Proteicos", 28, 7), 1)) + (ROUND(I386,4) &gt; INDEX('Tabela de ingredientes'!$O$1:$V$30, SWITCH(B386, "Gelatos de Leite", 8, "Sorbets", 11, "Gelatos de Leite com Fruta", 14, "Chocolate base água", 17, "Vegano", 20, "Alcoólicos", 23, "Zero", 26, "Gelatos Proteicos", 29, 8), 1)) + (ROUND(J386,4) &lt; INDEX('Tabela de ingredientes'!$O$1:$V$30, SWITCH(B386, "Gelatos de Leite", 7, "Sorbets", 10, "Gelatos de Leite com Fruta", 13, "Chocolate base água", 16, "Vegano", 19, "Alcoólicos", 22, "Zero", 25, "Gelatos Proteicos", 28, 7), 2)) + (ROUND(J386,4) &gt; INDEX('Tabela de ingredientes'!$O$1:$V$30, SWITCH(B386, "Gelatos de Leite", 8, "Sorbets", 11, "Gelatos de Leite com Fruta", 14, "Chocolate base água", 17, "Vegano", 20, "Alcoólicos", 23, "Zero", 26, "Gelatos Proteicos", 29, 8), 2)) + (ROUND(K386,4) &lt; INDEX('Tabela de ingredientes'!$O$1:$V$30, SWITCH(B386, "Gelatos de Leite", 7, "Sorbets", 10, "Gelatos de Leite com Fruta", 13, "Chocolate base água", 16, "Vegano", 19, "Alcoólicos", 22, "Zero", 25, "Gelatos Proteicos", 28, 7), 3)) + (ROUND(K386,4) &gt; INDEX('Tabela de ingredientes'!$O$1:$V$30, SWITCH(B386, "Gelatos de Leite", 8, "Sorbets", 11, "Gelatos de Leite com Fruta", 14, "Chocolate base água", 17, "Vegano", 20, "Alcoólicos", 23, "Zero", 26, "Gelatos Proteicos", 29, 8), 3)) + (ROUND(L386,4) &lt; INDEX('Tabela de ingredientes'!$O$1:$V$30, SWITCH(B386, "Gelatos de Leite", 7, "Sorbets", 10, "Gelatos de Leite com Fruta", 13, "Chocolate base água", 16, "Vegano", 19, "Alcoólicos", 22, "Zero", 25, "Gelatos Proteicos", 28, 7), 4)) + (ROUND(L386,4) &gt; INDEX('Tabela de ingredientes'!$O$1:$V$30, SWITCH(B386, "Gelatos de Leite", 8, "Sorbets", 11, "Gelatos de Leite com Fruta", 14, "Chocolate base água", 17, "Vegano", 20, "Alcoólicos", 23, "Zero", 26, "Gelatos Proteicos", 29, 8), 4)) + (ROUND(M386,4) &lt; INDEX('Tabela de ingredientes'!$O$1:$V$30, SWITCH(B386, "Gelatos de Leite", 7, "Sorbets", 10, "Gelatos de Leite com Fruta", 13, "Chocolate base água", 16, "Vegano", 19, "Alcoólicos", 22, "Zero", 25, "Gelatos Proteicos", 28, 7), 5)) + (ROUND(M386,4) &gt; INDEX('Tabela de ingredientes'!$O$1:$V$30, SWITCH(B386, "Gelatos de Leite", 8, "Sorbets", 11, "Gelatos de Leite com Fruta", 14, "Chocolate base água", 17, "Vegano", 20, "Alcoólicos", 23, "Zero", 26, "Gelatos Proteicos", 29, 8), 5)) + (ROUND(N386,4) &lt; INDEX('Tabela de ingredientes'!$O$1:$V$30, SWITCH(B386, "Gelatos de Leite", 7, "Sorbets", 10, "Gelatos de Leite com Fruta", 13, "Chocolate base água", 16, "Vegano", 19, "Alcoólicos", 22, "Zero", 25, "Gelatos Proteicos", 28, 7), 6)) + (ROUND(N386,4) &gt; INDEX('Tabela de ingredientes'!$O$1:$V$30, SWITCH(B386, "Gelatos de Leite", 8, "Sorbets", 11, "Gelatos de Leite com Fruta", 14, "Chocolate base água", 17, "Vegano", 20, "Alcoólicos", 23, "Zero", 26, "Gelatos Proteicos", 29, 8), 6)) + (ROUND(O386,4) &lt; INDEX('Tabela de ingredientes'!$O$1:$V$30, SWITCH(B386, "Gelatos de Leite", 7, "Sorbets", 10, "Gelatos de Leite com Fruta", 13, "Chocolate base água", 16, "Vegano", 19, "Alcoólicos", 22, "Zero", 25, "Gelatos Proteicos", 28, 7), 7)) + (ROUND(O386,4) &gt; INDEX('Tabela de ingredientes'!$O$1:$V$30, SWITCH(B386, "Gelatos de Leite", 8, "Sorbets", 11, "Gelatos de Leite com Fruta", 14, "Chocolate base água", 17, "Vegano", 20, "Alcoólicos", 23, "Zero", 26, "Gelatos Proteicos", 29, 8), 7)) + (ROUND(P386,4) &lt; INDEX('Tabela de ingredientes'!$O$1:$V$30, SWITCH(B386, "Gelatos de Leite", 7, "Sorbets", 10, "Gelatos de Leite com Fruta", 13, "Chocolate base água", 16, "Vegano", 19, "Alcoólicos", 22, "Zero", 25, "Gelatos Proteicos", 28, 7), 8)) + (ROUND(P386,4) &gt; INDEX('Tabela de ingredientes'!$O$1:$V$30, SWITCH(B386, "Gelatos de Leite", 8, "Sorbets", 11, "Gelatos de Leite com Fruta", 14, "Chocolate base água", 17, "Vegano", 20, "Alcoólicos", 23, "Zero", 26, "Gelatos Proteicos", 29, 8), 8)) + IF(B386="Gelatos Proteicos", (ROUND(Q386,4)&lt;'Tabela de ingredientes'!$W$28)+(ROUND(Q386,4)&gt;'Tabela de ingredientes'!$W$29), 0) = 0, "Ok", "Revisar"))</f>
        <v/>
      </c>
    </row>
    <row r="387">
      <c r="A387" s="264"/>
      <c r="B387" s="264" t="s">
        <v>187</v>
      </c>
      <c r="C387" s="264" t="s">
        <v>187</v>
      </c>
      <c r="D387" s="264" t="s">
        <v>187</v>
      </c>
      <c r="E387" s="264" t="s">
        <v>187</v>
      </c>
      <c r="F387" s="264" t="s">
        <v>187</v>
      </c>
      <c r="G387" s="264" t="s">
        <v>187</v>
      </c>
      <c r="H387" s="264" t="s">
        <v>187</v>
      </c>
      <c r="I387" s="264" t="s">
        <v>187</v>
      </c>
      <c r="J387" s="264" t="s">
        <v>187</v>
      </c>
      <c r="K387" s="264" t="s">
        <v>187</v>
      </c>
      <c r="L387" s="264" t="s">
        <v>187</v>
      </c>
      <c r="M387" s="264" t="s">
        <v>187</v>
      </c>
      <c r="N387" s="264" t="s">
        <v>187</v>
      </c>
      <c r="O387" s="264" t="s">
        <v>187</v>
      </c>
      <c r="P387" s="264" t="s">
        <v>187</v>
      </c>
      <c r="Q387" s="264" t="s">
        <v>187</v>
      </c>
      <c r="R387" s="264" t="s">
        <v>187</v>
      </c>
      <c r="S387" s="97" t="str">
        <f t="array" ref="S387">IF(A387="","", IF( (ROUND(I387,4) &lt; INDEX('Tabela de ingredientes'!$O$1:$V$30, SWITCH(B387, "Gelatos de Leite", 7, "Sorbets", 10, "Gelatos de Leite com Fruta", 13, "Chocolate base água", 16, "Vegano", 19, "Alcoólicos", 22, "Zero", 25, "Gelatos Proteicos", 28, 7), 1)) + (ROUND(I387,4) &gt; INDEX('Tabela de ingredientes'!$O$1:$V$30, SWITCH(B387, "Gelatos de Leite", 8, "Sorbets", 11, "Gelatos de Leite com Fruta", 14, "Chocolate base água", 17, "Vegano", 20, "Alcoólicos", 23, "Zero", 26, "Gelatos Proteicos", 29, 8), 1)) + (ROUND(J387,4) &lt; INDEX('Tabela de ingredientes'!$O$1:$V$30, SWITCH(B387, "Gelatos de Leite", 7, "Sorbets", 10, "Gelatos de Leite com Fruta", 13, "Chocolate base água", 16, "Vegano", 19, "Alcoólicos", 22, "Zero", 25, "Gelatos Proteicos", 28, 7), 2)) + (ROUND(J387,4) &gt; INDEX('Tabela de ingredientes'!$O$1:$V$30, SWITCH(B387, "Gelatos de Leite", 8, "Sorbets", 11, "Gelatos de Leite com Fruta", 14, "Chocolate base água", 17, "Vegano", 20, "Alcoólicos", 23, "Zero", 26, "Gelatos Proteicos", 29, 8), 2)) + (ROUND(K387,4) &lt; INDEX('Tabela de ingredientes'!$O$1:$V$30, SWITCH(B387, "Gelatos de Leite", 7, "Sorbets", 10, "Gelatos de Leite com Fruta", 13, "Chocolate base água", 16, "Vegano", 19, "Alcoólicos", 22, "Zero", 25, "Gelatos Proteicos", 28, 7), 3)) + (ROUND(K387,4) &gt; INDEX('Tabela de ingredientes'!$O$1:$V$30, SWITCH(B387, "Gelatos de Leite", 8, "Sorbets", 11, "Gelatos de Leite com Fruta", 14, "Chocolate base água", 17, "Vegano", 20, "Alcoólicos", 23, "Zero", 26, "Gelatos Proteicos", 29, 8), 3)) + (ROUND(L387,4) &lt; INDEX('Tabela de ingredientes'!$O$1:$V$30, SWITCH(B387, "Gelatos de Leite", 7, "Sorbets", 10, "Gelatos de Leite com Fruta", 13, "Chocolate base água", 16, "Vegano", 19, "Alcoólicos", 22, "Zero", 25, "Gelatos Proteicos", 28, 7), 4)) + (ROUND(L387,4) &gt; INDEX('Tabela de ingredientes'!$O$1:$V$30, SWITCH(B387, "Gelatos de Leite", 8, "Sorbets", 11, "Gelatos de Leite com Fruta", 14, "Chocolate base água", 17, "Vegano", 20, "Alcoólicos", 23, "Zero", 26, "Gelatos Proteicos", 29, 8), 4)) + (ROUND(M387,4) &lt; INDEX('Tabela de ingredientes'!$O$1:$V$30, SWITCH(B387, "Gelatos de Leite", 7, "Sorbets", 10, "Gelatos de Leite com Fruta", 13, "Chocolate base água", 16, "Vegano", 19, "Alcoólicos", 22, "Zero", 25, "Gelatos Proteicos", 28, 7), 5)) + (ROUND(M387,4) &gt; INDEX('Tabela de ingredientes'!$O$1:$V$30, SWITCH(B387, "Gelatos de Leite", 8, "Sorbets", 11, "Gelatos de Leite com Fruta", 14, "Chocolate base água", 17, "Vegano", 20, "Alcoólicos", 23, "Zero", 26, "Gelatos Proteicos", 29, 8), 5)) + (ROUND(N387,4) &lt; INDEX('Tabela de ingredientes'!$O$1:$V$30, SWITCH(B387, "Gelatos de Leite", 7, "Sorbets", 10, "Gelatos de Leite com Fruta", 13, "Chocolate base água", 16, "Vegano", 19, "Alcoólicos", 22, "Zero", 25, "Gelatos Proteicos", 28, 7), 6)) + (ROUND(N387,4) &gt; INDEX('Tabela de ingredientes'!$O$1:$V$30, SWITCH(B387, "Gelatos de Leite", 8, "Sorbets", 11, "Gelatos de Leite com Fruta", 14, "Chocolate base água", 17, "Vegano", 20, "Alcoólicos", 23, "Zero", 26, "Gelatos Proteicos", 29, 8), 6)) + (ROUND(O387,4) &lt; INDEX('Tabela de ingredientes'!$O$1:$V$30, SWITCH(B387, "Gelatos de Leite", 7, "Sorbets", 10, "Gelatos de Leite com Fruta", 13, "Chocolate base água", 16, "Vegano", 19, "Alcoólicos", 22, "Zero", 25, "Gelatos Proteicos", 28, 7), 7)) + (ROUND(O387,4) &gt; INDEX('Tabela de ingredientes'!$O$1:$V$30, SWITCH(B387, "Gelatos de Leite", 8, "Sorbets", 11, "Gelatos de Leite com Fruta", 14, "Chocolate base água", 17, "Vegano", 20, "Alcoólicos", 23, "Zero", 26, "Gelatos Proteicos", 29, 8), 7)) + (ROUND(P387,4) &lt; INDEX('Tabela de ingredientes'!$O$1:$V$30, SWITCH(B387, "Gelatos de Leite", 7, "Sorbets", 10, "Gelatos de Leite com Fruta", 13, "Chocolate base água", 16, "Vegano", 19, "Alcoólicos", 22, "Zero", 25, "Gelatos Proteicos", 28, 7), 8)) + (ROUND(P387,4) &gt; INDEX('Tabela de ingredientes'!$O$1:$V$30, SWITCH(B387, "Gelatos de Leite", 8, "Sorbets", 11, "Gelatos de Leite com Fruta", 14, "Chocolate base água", 17, "Vegano", 20, "Alcoólicos", 23, "Zero", 26, "Gelatos Proteicos", 29, 8), 8)) + IF(B387="Gelatos Proteicos", (ROUND(Q387,4)&lt;'Tabela de ingredientes'!$W$28)+(ROUND(Q387,4)&gt;'Tabela de ingredientes'!$W$29), 0) = 0, "Ok", "Revisar"))</f>
        <v/>
      </c>
    </row>
    <row r="388">
      <c r="A388" s="264"/>
      <c r="B388" s="264" t="s">
        <v>187</v>
      </c>
      <c r="C388" s="264" t="s">
        <v>187</v>
      </c>
      <c r="D388" s="264" t="s">
        <v>187</v>
      </c>
      <c r="E388" s="264" t="s">
        <v>187</v>
      </c>
      <c r="F388" s="264" t="s">
        <v>187</v>
      </c>
      <c r="G388" s="264" t="s">
        <v>187</v>
      </c>
      <c r="H388" s="264" t="s">
        <v>187</v>
      </c>
      <c r="I388" s="264" t="s">
        <v>187</v>
      </c>
      <c r="J388" s="264" t="s">
        <v>187</v>
      </c>
      <c r="K388" s="264" t="s">
        <v>187</v>
      </c>
      <c r="L388" s="264" t="s">
        <v>187</v>
      </c>
      <c r="M388" s="264" t="s">
        <v>187</v>
      </c>
      <c r="N388" s="264" t="s">
        <v>187</v>
      </c>
      <c r="O388" s="264" t="s">
        <v>187</v>
      </c>
      <c r="P388" s="264" t="s">
        <v>187</v>
      </c>
      <c r="Q388" s="264" t="s">
        <v>187</v>
      </c>
      <c r="R388" s="264" t="s">
        <v>187</v>
      </c>
      <c r="S388" s="97" t="str">
        <f t="array" ref="S388">IF(A388="","", IF( (ROUND(I388,4) &lt; INDEX('Tabela de ingredientes'!$O$1:$V$30, SWITCH(B388, "Gelatos de Leite", 7, "Sorbets", 10, "Gelatos de Leite com Fruta", 13, "Chocolate base água", 16, "Vegano", 19, "Alcoólicos", 22, "Zero", 25, "Gelatos Proteicos", 28, 7), 1)) + (ROUND(I388,4) &gt; INDEX('Tabela de ingredientes'!$O$1:$V$30, SWITCH(B388, "Gelatos de Leite", 8, "Sorbets", 11, "Gelatos de Leite com Fruta", 14, "Chocolate base água", 17, "Vegano", 20, "Alcoólicos", 23, "Zero", 26, "Gelatos Proteicos", 29, 8), 1)) + (ROUND(J388,4) &lt; INDEX('Tabela de ingredientes'!$O$1:$V$30, SWITCH(B388, "Gelatos de Leite", 7, "Sorbets", 10, "Gelatos de Leite com Fruta", 13, "Chocolate base água", 16, "Vegano", 19, "Alcoólicos", 22, "Zero", 25, "Gelatos Proteicos", 28, 7), 2)) + (ROUND(J388,4) &gt; INDEX('Tabela de ingredientes'!$O$1:$V$30, SWITCH(B388, "Gelatos de Leite", 8, "Sorbets", 11, "Gelatos de Leite com Fruta", 14, "Chocolate base água", 17, "Vegano", 20, "Alcoólicos", 23, "Zero", 26, "Gelatos Proteicos", 29, 8), 2)) + (ROUND(K388,4) &lt; INDEX('Tabela de ingredientes'!$O$1:$V$30, SWITCH(B388, "Gelatos de Leite", 7, "Sorbets", 10, "Gelatos de Leite com Fruta", 13, "Chocolate base água", 16, "Vegano", 19, "Alcoólicos", 22, "Zero", 25, "Gelatos Proteicos", 28, 7), 3)) + (ROUND(K388,4) &gt; INDEX('Tabela de ingredientes'!$O$1:$V$30, SWITCH(B388, "Gelatos de Leite", 8, "Sorbets", 11, "Gelatos de Leite com Fruta", 14, "Chocolate base água", 17, "Vegano", 20, "Alcoólicos", 23, "Zero", 26, "Gelatos Proteicos", 29, 8), 3)) + (ROUND(L388,4) &lt; INDEX('Tabela de ingredientes'!$O$1:$V$30, SWITCH(B388, "Gelatos de Leite", 7, "Sorbets", 10, "Gelatos de Leite com Fruta", 13, "Chocolate base água", 16, "Vegano", 19, "Alcoólicos", 22, "Zero", 25, "Gelatos Proteicos", 28, 7), 4)) + (ROUND(L388,4) &gt; INDEX('Tabela de ingredientes'!$O$1:$V$30, SWITCH(B388, "Gelatos de Leite", 8, "Sorbets", 11, "Gelatos de Leite com Fruta", 14, "Chocolate base água", 17, "Vegano", 20, "Alcoólicos", 23, "Zero", 26, "Gelatos Proteicos", 29, 8), 4)) + (ROUND(M388,4) &lt; INDEX('Tabela de ingredientes'!$O$1:$V$30, SWITCH(B388, "Gelatos de Leite", 7, "Sorbets", 10, "Gelatos de Leite com Fruta", 13, "Chocolate base água", 16, "Vegano", 19, "Alcoólicos", 22, "Zero", 25, "Gelatos Proteicos", 28, 7), 5)) + (ROUND(M388,4) &gt; INDEX('Tabela de ingredientes'!$O$1:$V$30, SWITCH(B388, "Gelatos de Leite", 8, "Sorbets", 11, "Gelatos de Leite com Fruta", 14, "Chocolate base água", 17, "Vegano", 20, "Alcoólicos", 23, "Zero", 26, "Gelatos Proteicos", 29, 8), 5)) + (ROUND(N388,4) &lt; INDEX('Tabela de ingredientes'!$O$1:$V$30, SWITCH(B388, "Gelatos de Leite", 7, "Sorbets", 10, "Gelatos de Leite com Fruta", 13, "Chocolate base água", 16, "Vegano", 19, "Alcoólicos", 22, "Zero", 25, "Gelatos Proteicos", 28, 7), 6)) + (ROUND(N388,4) &gt; INDEX('Tabela de ingredientes'!$O$1:$V$30, SWITCH(B388, "Gelatos de Leite", 8, "Sorbets", 11, "Gelatos de Leite com Fruta", 14, "Chocolate base água", 17, "Vegano", 20, "Alcoólicos", 23, "Zero", 26, "Gelatos Proteicos", 29, 8), 6)) + (ROUND(O388,4) &lt; INDEX('Tabela de ingredientes'!$O$1:$V$30, SWITCH(B388, "Gelatos de Leite", 7, "Sorbets", 10, "Gelatos de Leite com Fruta", 13, "Chocolate base água", 16, "Vegano", 19, "Alcoólicos", 22, "Zero", 25, "Gelatos Proteicos", 28, 7), 7)) + (ROUND(O388,4) &gt; INDEX('Tabela de ingredientes'!$O$1:$V$30, SWITCH(B388, "Gelatos de Leite", 8, "Sorbets", 11, "Gelatos de Leite com Fruta", 14, "Chocolate base água", 17, "Vegano", 20, "Alcoólicos", 23, "Zero", 26, "Gelatos Proteicos", 29, 8), 7)) + (ROUND(P388,4) &lt; INDEX('Tabela de ingredientes'!$O$1:$V$30, SWITCH(B388, "Gelatos de Leite", 7, "Sorbets", 10, "Gelatos de Leite com Fruta", 13, "Chocolate base água", 16, "Vegano", 19, "Alcoólicos", 22, "Zero", 25, "Gelatos Proteicos", 28, 7), 8)) + (ROUND(P388,4) &gt; INDEX('Tabela de ingredientes'!$O$1:$V$30, SWITCH(B388, "Gelatos de Leite", 8, "Sorbets", 11, "Gelatos de Leite com Fruta", 14, "Chocolate base água", 17, "Vegano", 20, "Alcoólicos", 23, "Zero", 26, "Gelatos Proteicos", 29, 8), 8)) + IF(B388="Gelatos Proteicos", (ROUND(Q388,4)&lt;'Tabela de ingredientes'!$W$28)+(ROUND(Q388,4)&gt;'Tabela de ingredientes'!$W$29), 0) = 0, "Ok", "Revisar"))</f>
        <v/>
      </c>
    </row>
    <row r="389">
      <c r="A389" s="264"/>
      <c r="B389" s="264" t="s">
        <v>187</v>
      </c>
      <c r="C389" s="264" t="s">
        <v>187</v>
      </c>
      <c r="D389" s="264" t="s">
        <v>187</v>
      </c>
      <c r="E389" s="264" t="s">
        <v>187</v>
      </c>
      <c r="F389" s="264" t="s">
        <v>187</v>
      </c>
      <c r="G389" s="264" t="s">
        <v>187</v>
      </c>
      <c r="H389" s="264" t="s">
        <v>187</v>
      </c>
      <c r="I389" s="264" t="s">
        <v>187</v>
      </c>
      <c r="J389" s="264" t="s">
        <v>187</v>
      </c>
      <c r="K389" s="264" t="s">
        <v>187</v>
      </c>
      <c r="L389" s="264" t="s">
        <v>187</v>
      </c>
      <c r="M389" s="264" t="s">
        <v>187</v>
      </c>
      <c r="N389" s="264" t="s">
        <v>187</v>
      </c>
      <c r="O389" s="264" t="s">
        <v>187</v>
      </c>
      <c r="P389" s="264" t="s">
        <v>187</v>
      </c>
      <c r="Q389" s="264" t="s">
        <v>187</v>
      </c>
      <c r="R389" s="264" t="s">
        <v>187</v>
      </c>
      <c r="S389" s="97" t="str">
        <f t="array" ref="S389">IF(A389="","", IF( (ROUND(I389,4) &lt; INDEX('Tabela de ingredientes'!$O$1:$V$30, SWITCH(B389, "Gelatos de Leite", 7, "Sorbets", 10, "Gelatos de Leite com Fruta", 13, "Chocolate base água", 16, "Vegano", 19, "Alcoólicos", 22, "Zero", 25, "Gelatos Proteicos", 28, 7), 1)) + (ROUND(I389,4) &gt; INDEX('Tabela de ingredientes'!$O$1:$V$30, SWITCH(B389, "Gelatos de Leite", 8, "Sorbets", 11, "Gelatos de Leite com Fruta", 14, "Chocolate base água", 17, "Vegano", 20, "Alcoólicos", 23, "Zero", 26, "Gelatos Proteicos", 29, 8), 1)) + (ROUND(J389,4) &lt; INDEX('Tabela de ingredientes'!$O$1:$V$30, SWITCH(B389, "Gelatos de Leite", 7, "Sorbets", 10, "Gelatos de Leite com Fruta", 13, "Chocolate base água", 16, "Vegano", 19, "Alcoólicos", 22, "Zero", 25, "Gelatos Proteicos", 28, 7), 2)) + (ROUND(J389,4) &gt; INDEX('Tabela de ingredientes'!$O$1:$V$30, SWITCH(B389, "Gelatos de Leite", 8, "Sorbets", 11, "Gelatos de Leite com Fruta", 14, "Chocolate base água", 17, "Vegano", 20, "Alcoólicos", 23, "Zero", 26, "Gelatos Proteicos", 29, 8), 2)) + (ROUND(K389,4) &lt; INDEX('Tabela de ingredientes'!$O$1:$V$30, SWITCH(B389, "Gelatos de Leite", 7, "Sorbets", 10, "Gelatos de Leite com Fruta", 13, "Chocolate base água", 16, "Vegano", 19, "Alcoólicos", 22, "Zero", 25, "Gelatos Proteicos", 28, 7), 3)) + (ROUND(K389,4) &gt; INDEX('Tabela de ingredientes'!$O$1:$V$30, SWITCH(B389, "Gelatos de Leite", 8, "Sorbets", 11, "Gelatos de Leite com Fruta", 14, "Chocolate base água", 17, "Vegano", 20, "Alcoólicos", 23, "Zero", 26, "Gelatos Proteicos", 29, 8), 3)) + (ROUND(L389,4) &lt; INDEX('Tabela de ingredientes'!$O$1:$V$30, SWITCH(B389, "Gelatos de Leite", 7, "Sorbets", 10, "Gelatos de Leite com Fruta", 13, "Chocolate base água", 16, "Vegano", 19, "Alcoólicos", 22, "Zero", 25, "Gelatos Proteicos", 28, 7), 4)) + (ROUND(L389,4) &gt; INDEX('Tabela de ingredientes'!$O$1:$V$30, SWITCH(B389, "Gelatos de Leite", 8, "Sorbets", 11, "Gelatos de Leite com Fruta", 14, "Chocolate base água", 17, "Vegano", 20, "Alcoólicos", 23, "Zero", 26, "Gelatos Proteicos", 29, 8), 4)) + (ROUND(M389,4) &lt; INDEX('Tabela de ingredientes'!$O$1:$V$30, SWITCH(B389, "Gelatos de Leite", 7, "Sorbets", 10, "Gelatos de Leite com Fruta", 13, "Chocolate base água", 16, "Vegano", 19, "Alcoólicos", 22, "Zero", 25, "Gelatos Proteicos", 28, 7), 5)) + (ROUND(M389,4) &gt; INDEX('Tabela de ingredientes'!$O$1:$V$30, SWITCH(B389, "Gelatos de Leite", 8, "Sorbets", 11, "Gelatos de Leite com Fruta", 14, "Chocolate base água", 17, "Vegano", 20, "Alcoólicos", 23, "Zero", 26, "Gelatos Proteicos", 29, 8), 5)) + (ROUND(N389,4) &lt; INDEX('Tabela de ingredientes'!$O$1:$V$30, SWITCH(B389, "Gelatos de Leite", 7, "Sorbets", 10, "Gelatos de Leite com Fruta", 13, "Chocolate base água", 16, "Vegano", 19, "Alcoólicos", 22, "Zero", 25, "Gelatos Proteicos", 28, 7), 6)) + (ROUND(N389,4) &gt; INDEX('Tabela de ingredientes'!$O$1:$V$30, SWITCH(B389, "Gelatos de Leite", 8, "Sorbets", 11, "Gelatos de Leite com Fruta", 14, "Chocolate base água", 17, "Vegano", 20, "Alcoólicos", 23, "Zero", 26, "Gelatos Proteicos", 29, 8), 6)) + (ROUND(O389,4) &lt; INDEX('Tabela de ingredientes'!$O$1:$V$30, SWITCH(B389, "Gelatos de Leite", 7, "Sorbets", 10, "Gelatos de Leite com Fruta", 13, "Chocolate base água", 16, "Vegano", 19, "Alcoólicos", 22, "Zero", 25, "Gelatos Proteicos", 28, 7), 7)) + (ROUND(O389,4) &gt; INDEX('Tabela de ingredientes'!$O$1:$V$30, SWITCH(B389, "Gelatos de Leite", 8, "Sorbets", 11, "Gelatos de Leite com Fruta", 14, "Chocolate base água", 17, "Vegano", 20, "Alcoólicos", 23, "Zero", 26, "Gelatos Proteicos", 29, 8), 7)) + (ROUND(P389,4) &lt; INDEX('Tabela de ingredientes'!$O$1:$V$30, SWITCH(B389, "Gelatos de Leite", 7, "Sorbets", 10, "Gelatos de Leite com Fruta", 13, "Chocolate base água", 16, "Vegano", 19, "Alcoólicos", 22, "Zero", 25, "Gelatos Proteicos", 28, 7), 8)) + (ROUND(P389,4) &gt; INDEX('Tabela de ingredientes'!$O$1:$V$30, SWITCH(B389, "Gelatos de Leite", 8, "Sorbets", 11, "Gelatos de Leite com Fruta", 14, "Chocolate base água", 17, "Vegano", 20, "Alcoólicos", 23, "Zero", 26, "Gelatos Proteicos", 29, 8), 8)) + IF(B389="Gelatos Proteicos", (ROUND(Q389,4)&lt;'Tabela de ingredientes'!$W$28)+(ROUND(Q389,4)&gt;'Tabela de ingredientes'!$W$29), 0) = 0, "Ok", "Revisar"))</f>
        <v/>
      </c>
    </row>
    <row r="390">
      <c r="A390" s="264"/>
      <c r="B390" s="264" t="s">
        <v>187</v>
      </c>
      <c r="C390" s="264" t="s">
        <v>187</v>
      </c>
      <c r="D390" s="264" t="s">
        <v>187</v>
      </c>
      <c r="E390" s="264" t="s">
        <v>187</v>
      </c>
      <c r="F390" s="264" t="s">
        <v>187</v>
      </c>
      <c r="G390" s="264" t="s">
        <v>187</v>
      </c>
      <c r="H390" s="264" t="s">
        <v>187</v>
      </c>
      <c r="I390" s="264" t="s">
        <v>187</v>
      </c>
      <c r="J390" s="264" t="s">
        <v>187</v>
      </c>
      <c r="K390" s="264" t="s">
        <v>187</v>
      </c>
      <c r="L390" s="264" t="s">
        <v>187</v>
      </c>
      <c r="M390" s="264" t="s">
        <v>187</v>
      </c>
      <c r="N390" s="264" t="s">
        <v>187</v>
      </c>
      <c r="O390" s="264" t="s">
        <v>187</v>
      </c>
      <c r="P390" s="264" t="s">
        <v>187</v>
      </c>
      <c r="Q390" s="264" t="s">
        <v>187</v>
      </c>
      <c r="R390" s="264" t="s">
        <v>187</v>
      </c>
      <c r="S390" s="97" t="str">
        <f t="array" ref="S390">IF(A390="","", IF( (ROUND(I390,4) &lt; INDEX('Tabela de ingredientes'!$O$1:$V$30, SWITCH(B390, "Gelatos de Leite", 7, "Sorbets", 10, "Gelatos de Leite com Fruta", 13, "Chocolate base água", 16, "Vegano", 19, "Alcoólicos", 22, "Zero", 25, "Gelatos Proteicos", 28, 7), 1)) + (ROUND(I390,4) &gt; INDEX('Tabela de ingredientes'!$O$1:$V$30, SWITCH(B390, "Gelatos de Leite", 8, "Sorbets", 11, "Gelatos de Leite com Fruta", 14, "Chocolate base água", 17, "Vegano", 20, "Alcoólicos", 23, "Zero", 26, "Gelatos Proteicos", 29, 8), 1)) + (ROUND(J390,4) &lt; INDEX('Tabela de ingredientes'!$O$1:$V$30, SWITCH(B390, "Gelatos de Leite", 7, "Sorbets", 10, "Gelatos de Leite com Fruta", 13, "Chocolate base água", 16, "Vegano", 19, "Alcoólicos", 22, "Zero", 25, "Gelatos Proteicos", 28, 7), 2)) + (ROUND(J390,4) &gt; INDEX('Tabela de ingredientes'!$O$1:$V$30, SWITCH(B390, "Gelatos de Leite", 8, "Sorbets", 11, "Gelatos de Leite com Fruta", 14, "Chocolate base água", 17, "Vegano", 20, "Alcoólicos", 23, "Zero", 26, "Gelatos Proteicos", 29, 8), 2)) + (ROUND(K390,4) &lt; INDEX('Tabela de ingredientes'!$O$1:$V$30, SWITCH(B390, "Gelatos de Leite", 7, "Sorbets", 10, "Gelatos de Leite com Fruta", 13, "Chocolate base água", 16, "Vegano", 19, "Alcoólicos", 22, "Zero", 25, "Gelatos Proteicos", 28, 7), 3)) + (ROUND(K390,4) &gt; INDEX('Tabela de ingredientes'!$O$1:$V$30, SWITCH(B390, "Gelatos de Leite", 8, "Sorbets", 11, "Gelatos de Leite com Fruta", 14, "Chocolate base água", 17, "Vegano", 20, "Alcoólicos", 23, "Zero", 26, "Gelatos Proteicos", 29, 8), 3)) + (ROUND(L390,4) &lt; INDEX('Tabela de ingredientes'!$O$1:$V$30, SWITCH(B390, "Gelatos de Leite", 7, "Sorbets", 10, "Gelatos de Leite com Fruta", 13, "Chocolate base água", 16, "Vegano", 19, "Alcoólicos", 22, "Zero", 25, "Gelatos Proteicos", 28, 7), 4)) + (ROUND(L390,4) &gt; INDEX('Tabela de ingredientes'!$O$1:$V$30, SWITCH(B390, "Gelatos de Leite", 8, "Sorbets", 11, "Gelatos de Leite com Fruta", 14, "Chocolate base água", 17, "Vegano", 20, "Alcoólicos", 23, "Zero", 26, "Gelatos Proteicos", 29, 8), 4)) + (ROUND(M390,4) &lt; INDEX('Tabela de ingredientes'!$O$1:$V$30, SWITCH(B390, "Gelatos de Leite", 7, "Sorbets", 10, "Gelatos de Leite com Fruta", 13, "Chocolate base água", 16, "Vegano", 19, "Alcoólicos", 22, "Zero", 25, "Gelatos Proteicos", 28, 7), 5)) + (ROUND(M390,4) &gt; INDEX('Tabela de ingredientes'!$O$1:$V$30, SWITCH(B390, "Gelatos de Leite", 8, "Sorbets", 11, "Gelatos de Leite com Fruta", 14, "Chocolate base água", 17, "Vegano", 20, "Alcoólicos", 23, "Zero", 26, "Gelatos Proteicos", 29, 8), 5)) + (ROUND(N390,4) &lt; INDEX('Tabela de ingredientes'!$O$1:$V$30, SWITCH(B390, "Gelatos de Leite", 7, "Sorbets", 10, "Gelatos de Leite com Fruta", 13, "Chocolate base água", 16, "Vegano", 19, "Alcoólicos", 22, "Zero", 25, "Gelatos Proteicos", 28, 7), 6)) + (ROUND(N390,4) &gt; INDEX('Tabela de ingredientes'!$O$1:$V$30, SWITCH(B390, "Gelatos de Leite", 8, "Sorbets", 11, "Gelatos de Leite com Fruta", 14, "Chocolate base água", 17, "Vegano", 20, "Alcoólicos", 23, "Zero", 26, "Gelatos Proteicos", 29, 8), 6)) + (ROUND(O390,4) &lt; INDEX('Tabela de ingredientes'!$O$1:$V$30, SWITCH(B390, "Gelatos de Leite", 7, "Sorbets", 10, "Gelatos de Leite com Fruta", 13, "Chocolate base água", 16, "Vegano", 19, "Alcoólicos", 22, "Zero", 25, "Gelatos Proteicos", 28, 7), 7)) + (ROUND(O390,4) &gt; INDEX('Tabela de ingredientes'!$O$1:$V$30, SWITCH(B390, "Gelatos de Leite", 8, "Sorbets", 11, "Gelatos de Leite com Fruta", 14, "Chocolate base água", 17, "Vegano", 20, "Alcoólicos", 23, "Zero", 26, "Gelatos Proteicos", 29, 8), 7)) + (ROUND(P390,4) &lt; INDEX('Tabela de ingredientes'!$O$1:$V$30, SWITCH(B390, "Gelatos de Leite", 7, "Sorbets", 10, "Gelatos de Leite com Fruta", 13, "Chocolate base água", 16, "Vegano", 19, "Alcoólicos", 22, "Zero", 25, "Gelatos Proteicos", 28, 7), 8)) + (ROUND(P390,4) &gt; INDEX('Tabela de ingredientes'!$O$1:$V$30, SWITCH(B390, "Gelatos de Leite", 8, "Sorbets", 11, "Gelatos de Leite com Fruta", 14, "Chocolate base água", 17, "Vegano", 20, "Alcoólicos", 23, "Zero", 26, "Gelatos Proteicos", 29, 8), 8)) + IF(B390="Gelatos Proteicos", (ROUND(Q390,4)&lt;'Tabela de ingredientes'!$W$28)+(ROUND(Q390,4)&gt;'Tabela de ingredientes'!$W$29), 0) = 0, "Ok", "Revisar"))</f>
        <v/>
      </c>
    </row>
    <row r="391">
      <c r="A391" s="264"/>
      <c r="B391" s="264" t="s">
        <v>187</v>
      </c>
      <c r="C391" s="264" t="s">
        <v>187</v>
      </c>
      <c r="D391" s="264" t="s">
        <v>187</v>
      </c>
      <c r="E391" s="264" t="s">
        <v>187</v>
      </c>
      <c r="F391" s="264" t="s">
        <v>187</v>
      </c>
      <c r="G391" s="264" t="s">
        <v>187</v>
      </c>
      <c r="H391" s="264" t="s">
        <v>187</v>
      </c>
      <c r="I391" s="264" t="s">
        <v>187</v>
      </c>
      <c r="J391" s="264" t="s">
        <v>187</v>
      </c>
      <c r="K391" s="264" t="s">
        <v>187</v>
      </c>
      <c r="L391" s="264" t="s">
        <v>187</v>
      </c>
      <c r="M391" s="264" t="s">
        <v>187</v>
      </c>
      <c r="N391" s="264" t="s">
        <v>187</v>
      </c>
      <c r="O391" s="264" t="s">
        <v>187</v>
      </c>
      <c r="P391" s="264" t="s">
        <v>187</v>
      </c>
      <c r="Q391" s="264" t="s">
        <v>187</v>
      </c>
      <c r="R391" s="264" t="s">
        <v>187</v>
      </c>
      <c r="S391" s="97" t="str">
        <f t="array" ref="S391">IF(A391="","", IF( (ROUND(I391,4) &lt; INDEX('Tabela de ingredientes'!$O$1:$V$30, SWITCH(B391, "Gelatos de Leite", 7, "Sorbets", 10, "Gelatos de Leite com Fruta", 13, "Chocolate base água", 16, "Vegano", 19, "Alcoólicos", 22, "Zero", 25, "Gelatos Proteicos", 28, 7), 1)) + (ROUND(I391,4) &gt; INDEX('Tabela de ingredientes'!$O$1:$V$30, SWITCH(B391, "Gelatos de Leite", 8, "Sorbets", 11, "Gelatos de Leite com Fruta", 14, "Chocolate base água", 17, "Vegano", 20, "Alcoólicos", 23, "Zero", 26, "Gelatos Proteicos", 29, 8), 1)) + (ROUND(J391,4) &lt; INDEX('Tabela de ingredientes'!$O$1:$V$30, SWITCH(B391, "Gelatos de Leite", 7, "Sorbets", 10, "Gelatos de Leite com Fruta", 13, "Chocolate base água", 16, "Vegano", 19, "Alcoólicos", 22, "Zero", 25, "Gelatos Proteicos", 28, 7), 2)) + (ROUND(J391,4) &gt; INDEX('Tabela de ingredientes'!$O$1:$V$30, SWITCH(B391, "Gelatos de Leite", 8, "Sorbets", 11, "Gelatos de Leite com Fruta", 14, "Chocolate base água", 17, "Vegano", 20, "Alcoólicos", 23, "Zero", 26, "Gelatos Proteicos", 29, 8), 2)) + (ROUND(K391,4) &lt; INDEX('Tabela de ingredientes'!$O$1:$V$30, SWITCH(B391, "Gelatos de Leite", 7, "Sorbets", 10, "Gelatos de Leite com Fruta", 13, "Chocolate base água", 16, "Vegano", 19, "Alcoólicos", 22, "Zero", 25, "Gelatos Proteicos", 28, 7), 3)) + (ROUND(K391,4) &gt; INDEX('Tabela de ingredientes'!$O$1:$V$30, SWITCH(B391, "Gelatos de Leite", 8, "Sorbets", 11, "Gelatos de Leite com Fruta", 14, "Chocolate base água", 17, "Vegano", 20, "Alcoólicos", 23, "Zero", 26, "Gelatos Proteicos", 29, 8), 3)) + (ROUND(L391,4) &lt; INDEX('Tabela de ingredientes'!$O$1:$V$30, SWITCH(B391, "Gelatos de Leite", 7, "Sorbets", 10, "Gelatos de Leite com Fruta", 13, "Chocolate base água", 16, "Vegano", 19, "Alcoólicos", 22, "Zero", 25, "Gelatos Proteicos", 28, 7), 4)) + (ROUND(L391,4) &gt; INDEX('Tabela de ingredientes'!$O$1:$V$30, SWITCH(B391, "Gelatos de Leite", 8, "Sorbets", 11, "Gelatos de Leite com Fruta", 14, "Chocolate base água", 17, "Vegano", 20, "Alcoólicos", 23, "Zero", 26, "Gelatos Proteicos", 29, 8), 4)) + (ROUND(M391,4) &lt; INDEX('Tabela de ingredientes'!$O$1:$V$30, SWITCH(B391, "Gelatos de Leite", 7, "Sorbets", 10, "Gelatos de Leite com Fruta", 13, "Chocolate base água", 16, "Vegano", 19, "Alcoólicos", 22, "Zero", 25, "Gelatos Proteicos", 28, 7), 5)) + (ROUND(M391,4) &gt; INDEX('Tabela de ingredientes'!$O$1:$V$30, SWITCH(B391, "Gelatos de Leite", 8, "Sorbets", 11, "Gelatos de Leite com Fruta", 14, "Chocolate base água", 17, "Vegano", 20, "Alcoólicos", 23, "Zero", 26, "Gelatos Proteicos", 29, 8), 5)) + (ROUND(N391,4) &lt; INDEX('Tabela de ingredientes'!$O$1:$V$30, SWITCH(B391, "Gelatos de Leite", 7, "Sorbets", 10, "Gelatos de Leite com Fruta", 13, "Chocolate base água", 16, "Vegano", 19, "Alcoólicos", 22, "Zero", 25, "Gelatos Proteicos", 28, 7), 6)) + (ROUND(N391,4) &gt; INDEX('Tabela de ingredientes'!$O$1:$V$30, SWITCH(B391, "Gelatos de Leite", 8, "Sorbets", 11, "Gelatos de Leite com Fruta", 14, "Chocolate base água", 17, "Vegano", 20, "Alcoólicos", 23, "Zero", 26, "Gelatos Proteicos", 29, 8), 6)) + (ROUND(O391,4) &lt; INDEX('Tabela de ingredientes'!$O$1:$V$30, SWITCH(B391, "Gelatos de Leite", 7, "Sorbets", 10, "Gelatos de Leite com Fruta", 13, "Chocolate base água", 16, "Vegano", 19, "Alcoólicos", 22, "Zero", 25, "Gelatos Proteicos", 28, 7), 7)) + (ROUND(O391,4) &gt; INDEX('Tabela de ingredientes'!$O$1:$V$30, SWITCH(B391, "Gelatos de Leite", 8, "Sorbets", 11, "Gelatos de Leite com Fruta", 14, "Chocolate base água", 17, "Vegano", 20, "Alcoólicos", 23, "Zero", 26, "Gelatos Proteicos", 29, 8), 7)) + (ROUND(P391,4) &lt; INDEX('Tabela de ingredientes'!$O$1:$V$30, SWITCH(B391, "Gelatos de Leite", 7, "Sorbets", 10, "Gelatos de Leite com Fruta", 13, "Chocolate base água", 16, "Vegano", 19, "Alcoólicos", 22, "Zero", 25, "Gelatos Proteicos", 28, 7), 8)) + (ROUND(P391,4) &gt; INDEX('Tabela de ingredientes'!$O$1:$V$30, SWITCH(B391, "Gelatos de Leite", 8, "Sorbets", 11, "Gelatos de Leite com Fruta", 14, "Chocolate base água", 17, "Vegano", 20, "Alcoólicos", 23, "Zero", 26, "Gelatos Proteicos", 29, 8), 8)) + IF(B391="Gelatos Proteicos", (ROUND(Q391,4)&lt;'Tabela de ingredientes'!$W$28)+(ROUND(Q391,4)&gt;'Tabela de ingredientes'!$W$29), 0) = 0, "Ok", "Revisar"))</f>
        <v/>
      </c>
    </row>
    <row r="392">
      <c r="A392" s="264"/>
      <c r="B392" s="264" t="s">
        <v>187</v>
      </c>
      <c r="C392" s="264" t="s">
        <v>187</v>
      </c>
      <c r="D392" s="264" t="s">
        <v>187</v>
      </c>
      <c r="E392" s="264" t="s">
        <v>187</v>
      </c>
      <c r="F392" s="264" t="s">
        <v>187</v>
      </c>
      <c r="G392" s="264" t="s">
        <v>187</v>
      </c>
      <c r="H392" s="264" t="s">
        <v>187</v>
      </c>
      <c r="I392" s="264" t="s">
        <v>187</v>
      </c>
      <c r="J392" s="264" t="s">
        <v>187</v>
      </c>
      <c r="K392" s="264" t="s">
        <v>187</v>
      </c>
      <c r="L392" s="264" t="s">
        <v>187</v>
      </c>
      <c r="M392" s="264" t="s">
        <v>187</v>
      </c>
      <c r="N392" s="264" t="s">
        <v>187</v>
      </c>
      <c r="O392" s="264" t="s">
        <v>187</v>
      </c>
      <c r="P392" s="264" t="s">
        <v>187</v>
      </c>
      <c r="Q392" s="264" t="s">
        <v>187</v>
      </c>
      <c r="R392" s="264" t="s">
        <v>187</v>
      </c>
      <c r="S392" s="97" t="str">
        <f t="array" ref="S392">IF(A392="","", IF( (ROUND(I392,4) &lt; INDEX('Tabela de ingredientes'!$O$1:$V$30, SWITCH(B392, "Gelatos de Leite", 7, "Sorbets", 10, "Gelatos de Leite com Fruta", 13, "Chocolate base água", 16, "Vegano", 19, "Alcoólicos", 22, "Zero", 25, "Gelatos Proteicos", 28, 7), 1)) + (ROUND(I392,4) &gt; INDEX('Tabela de ingredientes'!$O$1:$V$30, SWITCH(B392, "Gelatos de Leite", 8, "Sorbets", 11, "Gelatos de Leite com Fruta", 14, "Chocolate base água", 17, "Vegano", 20, "Alcoólicos", 23, "Zero", 26, "Gelatos Proteicos", 29, 8), 1)) + (ROUND(J392,4) &lt; INDEX('Tabela de ingredientes'!$O$1:$V$30, SWITCH(B392, "Gelatos de Leite", 7, "Sorbets", 10, "Gelatos de Leite com Fruta", 13, "Chocolate base água", 16, "Vegano", 19, "Alcoólicos", 22, "Zero", 25, "Gelatos Proteicos", 28, 7), 2)) + (ROUND(J392,4) &gt; INDEX('Tabela de ingredientes'!$O$1:$V$30, SWITCH(B392, "Gelatos de Leite", 8, "Sorbets", 11, "Gelatos de Leite com Fruta", 14, "Chocolate base água", 17, "Vegano", 20, "Alcoólicos", 23, "Zero", 26, "Gelatos Proteicos", 29, 8), 2)) + (ROUND(K392,4) &lt; INDEX('Tabela de ingredientes'!$O$1:$V$30, SWITCH(B392, "Gelatos de Leite", 7, "Sorbets", 10, "Gelatos de Leite com Fruta", 13, "Chocolate base água", 16, "Vegano", 19, "Alcoólicos", 22, "Zero", 25, "Gelatos Proteicos", 28, 7), 3)) + (ROUND(K392,4) &gt; INDEX('Tabela de ingredientes'!$O$1:$V$30, SWITCH(B392, "Gelatos de Leite", 8, "Sorbets", 11, "Gelatos de Leite com Fruta", 14, "Chocolate base água", 17, "Vegano", 20, "Alcoólicos", 23, "Zero", 26, "Gelatos Proteicos", 29, 8), 3)) + (ROUND(L392,4) &lt; INDEX('Tabela de ingredientes'!$O$1:$V$30, SWITCH(B392, "Gelatos de Leite", 7, "Sorbets", 10, "Gelatos de Leite com Fruta", 13, "Chocolate base água", 16, "Vegano", 19, "Alcoólicos", 22, "Zero", 25, "Gelatos Proteicos", 28, 7), 4)) + (ROUND(L392,4) &gt; INDEX('Tabela de ingredientes'!$O$1:$V$30, SWITCH(B392, "Gelatos de Leite", 8, "Sorbets", 11, "Gelatos de Leite com Fruta", 14, "Chocolate base água", 17, "Vegano", 20, "Alcoólicos", 23, "Zero", 26, "Gelatos Proteicos", 29, 8), 4)) + (ROUND(M392,4) &lt; INDEX('Tabela de ingredientes'!$O$1:$V$30, SWITCH(B392, "Gelatos de Leite", 7, "Sorbets", 10, "Gelatos de Leite com Fruta", 13, "Chocolate base água", 16, "Vegano", 19, "Alcoólicos", 22, "Zero", 25, "Gelatos Proteicos", 28, 7), 5)) + (ROUND(M392,4) &gt; INDEX('Tabela de ingredientes'!$O$1:$V$30, SWITCH(B392, "Gelatos de Leite", 8, "Sorbets", 11, "Gelatos de Leite com Fruta", 14, "Chocolate base água", 17, "Vegano", 20, "Alcoólicos", 23, "Zero", 26, "Gelatos Proteicos", 29, 8), 5)) + (ROUND(N392,4) &lt; INDEX('Tabela de ingredientes'!$O$1:$V$30, SWITCH(B392, "Gelatos de Leite", 7, "Sorbets", 10, "Gelatos de Leite com Fruta", 13, "Chocolate base água", 16, "Vegano", 19, "Alcoólicos", 22, "Zero", 25, "Gelatos Proteicos", 28, 7), 6)) + (ROUND(N392,4) &gt; INDEX('Tabela de ingredientes'!$O$1:$V$30, SWITCH(B392, "Gelatos de Leite", 8, "Sorbets", 11, "Gelatos de Leite com Fruta", 14, "Chocolate base água", 17, "Vegano", 20, "Alcoólicos", 23, "Zero", 26, "Gelatos Proteicos", 29, 8), 6)) + (ROUND(O392,4) &lt; INDEX('Tabela de ingredientes'!$O$1:$V$30, SWITCH(B392, "Gelatos de Leite", 7, "Sorbets", 10, "Gelatos de Leite com Fruta", 13, "Chocolate base água", 16, "Vegano", 19, "Alcoólicos", 22, "Zero", 25, "Gelatos Proteicos", 28, 7), 7)) + (ROUND(O392,4) &gt; INDEX('Tabela de ingredientes'!$O$1:$V$30, SWITCH(B392, "Gelatos de Leite", 8, "Sorbets", 11, "Gelatos de Leite com Fruta", 14, "Chocolate base água", 17, "Vegano", 20, "Alcoólicos", 23, "Zero", 26, "Gelatos Proteicos", 29, 8), 7)) + (ROUND(P392,4) &lt; INDEX('Tabela de ingredientes'!$O$1:$V$30, SWITCH(B392, "Gelatos de Leite", 7, "Sorbets", 10, "Gelatos de Leite com Fruta", 13, "Chocolate base água", 16, "Vegano", 19, "Alcoólicos", 22, "Zero", 25, "Gelatos Proteicos", 28, 7), 8)) + (ROUND(P392,4) &gt; INDEX('Tabela de ingredientes'!$O$1:$V$30, SWITCH(B392, "Gelatos de Leite", 8, "Sorbets", 11, "Gelatos de Leite com Fruta", 14, "Chocolate base água", 17, "Vegano", 20, "Alcoólicos", 23, "Zero", 26, "Gelatos Proteicos", 29, 8), 8)) + IF(B392="Gelatos Proteicos", (ROUND(Q392,4)&lt;'Tabela de ingredientes'!$W$28)+(ROUND(Q392,4)&gt;'Tabela de ingredientes'!$W$29), 0) = 0, "Ok", "Revisar"))</f>
        <v/>
      </c>
    </row>
    <row r="393">
      <c r="A393" s="264"/>
      <c r="B393" s="264" t="s">
        <v>187</v>
      </c>
      <c r="C393" s="264" t="s">
        <v>187</v>
      </c>
      <c r="D393" s="264" t="s">
        <v>187</v>
      </c>
      <c r="E393" s="264" t="s">
        <v>187</v>
      </c>
      <c r="F393" s="264" t="s">
        <v>187</v>
      </c>
      <c r="G393" s="264" t="s">
        <v>187</v>
      </c>
      <c r="H393" s="264" t="s">
        <v>187</v>
      </c>
      <c r="I393" s="264" t="s">
        <v>187</v>
      </c>
      <c r="J393" s="264" t="s">
        <v>187</v>
      </c>
      <c r="K393" s="264" t="s">
        <v>187</v>
      </c>
      <c r="L393" s="264" t="s">
        <v>187</v>
      </c>
      <c r="M393" s="264" t="s">
        <v>187</v>
      </c>
      <c r="N393" s="264" t="s">
        <v>187</v>
      </c>
      <c r="O393" s="264" t="s">
        <v>187</v>
      </c>
      <c r="P393" s="264" t="s">
        <v>187</v>
      </c>
      <c r="Q393" s="264" t="s">
        <v>187</v>
      </c>
      <c r="R393" s="264" t="s">
        <v>187</v>
      </c>
      <c r="S393" s="97" t="str">
        <f t="array" ref="S393">IF(A393="","", IF( (ROUND(I393,4) &lt; INDEX('Tabela de ingredientes'!$O$1:$V$30, SWITCH(B393, "Gelatos de Leite", 7, "Sorbets", 10, "Gelatos de Leite com Fruta", 13, "Chocolate base água", 16, "Vegano", 19, "Alcoólicos", 22, "Zero", 25, "Gelatos Proteicos", 28, 7), 1)) + (ROUND(I393,4) &gt; INDEX('Tabela de ingredientes'!$O$1:$V$30, SWITCH(B393, "Gelatos de Leite", 8, "Sorbets", 11, "Gelatos de Leite com Fruta", 14, "Chocolate base água", 17, "Vegano", 20, "Alcoólicos", 23, "Zero", 26, "Gelatos Proteicos", 29, 8), 1)) + (ROUND(J393,4) &lt; INDEX('Tabela de ingredientes'!$O$1:$V$30, SWITCH(B393, "Gelatos de Leite", 7, "Sorbets", 10, "Gelatos de Leite com Fruta", 13, "Chocolate base água", 16, "Vegano", 19, "Alcoólicos", 22, "Zero", 25, "Gelatos Proteicos", 28, 7), 2)) + (ROUND(J393,4) &gt; INDEX('Tabela de ingredientes'!$O$1:$V$30, SWITCH(B393, "Gelatos de Leite", 8, "Sorbets", 11, "Gelatos de Leite com Fruta", 14, "Chocolate base água", 17, "Vegano", 20, "Alcoólicos", 23, "Zero", 26, "Gelatos Proteicos", 29, 8), 2)) + (ROUND(K393,4) &lt; INDEX('Tabela de ingredientes'!$O$1:$V$30, SWITCH(B393, "Gelatos de Leite", 7, "Sorbets", 10, "Gelatos de Leite com Fruta", 13, "Chocolate base água", 16, "Vegano", 19, "Alcoólicos", 22, "Zero", 25, "Gelatos Proteicos", 28, 7), 3)) + (ROUND(K393,4) &gt; INDEX('Tabela de ingredientes'!$O$1:$V$30, SWITCH(B393, "Gelatos de Leite", 8, "Sorbets", 11, "Gelatos de Leite com Fruta", 14, "Chocolate base água", 17, "Vegano", 20, "Alcoólicos", 23, "Zero", 26, "Gelatos Proteicos", 29, 8), 3)) + (ROUND(L393,4) &lt; INDEX('Tabela de ingredientes'!$O$1:$V$30, SWITCH(B393, "Gelatos de Leite", 7, "Sorbets", 10, "Gelatos de Leite com Fruta", 13, "Chocolate base água", 16, "Vegano", 19, "Alcoólicos", 22, "Zero", 25, "Gelatos Proteicos", 28, 7), 4)) + (ROUND(L393,4) &gt; INDEX('Tabela de ingredientes'!$O$1:$V$30, SWITCH(B393, "Gelatos de Leite", 8, "Sorbets", 11, "Gelatos de Leite com Fruta", 14, "Chocolate base água", 17, "Vegano", 20, "Alcoólicos", 23, "Zero", 26, "Gelatos Proteicos", 29, 8), 4)) + (ROUND(M393,4) &lt; INDEX('Tabela de ingredientes'!$O$1:$V$30, SWITCH(B393, "Gelatos de Leite", 7, "Sorbets", 10, "Gelatos de Leite com Fruta", 13, "Chocolate base água", 16, "Vegano", 19, "Alcoólicos", 22, "Zero", 25, "Gelatos Proteicos", 28, 7), 5)) + (ROUND(M393,4) &gt; INDEX('Tabela de ingredientes'!$O$1:$V$30, SWITCH(B393, "Gelatos de Leite", 8, "Sorbets", 11, "Gelatos de Leite com Fruta", 14, "Chocolate base água", 17, "Vegano", 20, "Alcoólicos", 23, "Zero", 26, "Gelatos Proteicos", 29, 8), 5)) + (ROUND(N393,4) &lt; INDEX('Tabela de ingredientes'!$O$1:$V$30, SWITCH(B393, "Gelatos de Leite", 7, "Sorbets", 10, "Gelatos de Leite com Fruta", 13, "Chocolate base água", 16, "Vegano", 19, "Alcoólicos", 22, "Zero", 25, "Gelatos Proteicos", 28, 7), 6)) + (ROUND(N393,4) &gt; INDEX('Tabela de ingredientes'!$O$1:$V$30, SWITCH(B393, "Gelatos de Leite", 8, "Sorbets", 11, "Gelatos de Leite com Fruta", 14, "Chocolate base água", 17, "Vegano", 20, "Alcoólicos", 23, "Zero", 26, "Gelatos Proteicos", 29, 8), 6)) + (ROUND(O393,4) &lt; INDEX('Tabela de ingredientes'!$O$1:$V$30, SWITCH(B393, "Gelatos de Leite", 7, "Sorbets", 10, "Gelatos de Leite com Fruta", 13, "Chocolate base água", 16, "Vegano", 19, "Alcoólicos", 22, "Zero", 25, "Gelatos Proteicos", 28, 7), 7)) + (ROUND(O393,4) &gt; INDEX('Tabela de ingredientes'!$O$1:$V$30, SWITCH(B393, "Gelatos de Leite", 8, "Sorbets", 11, "Gelatos de Leite com Fruta", 14, "Chocolate base água", 17, "Vegano", 20, "Alcoólicos", 23, "Zero", 26, "Gelatos Proteicos", 29, 8), 7)) + (ROUND(P393,4) &lt; INDEX('Tabela de ingredientes'!$O$1:$V$30, SWITCH(B393, "Gelatos de Leite", 7, "Sorbets", 10, "Gelatos de Leite com Fruta", 13, "Chocolate base água", 16, "Vegano", 19, "Alcoólicos", 22, "Zero", 25, "Gelatos Proteicos", 28, 7), 8)) + (ROUND(P393,4) &gt; INDEX('Tabela de ingredientes'!$O$1:$V$30, SWITCH(B393, "Gelatos de Leite", 8, "Sorbets", 11, "Gelatos de Leite com Fruta", 14, "Chocolate base água", 17, "Vegano", 20, "Alcoólicos", 23, "Zero", 26, "Gelatos Proteicos", 29, 8), 8)) + IF(B393="Gelatos Proteicos", (ROUND(Q393,4)&lt;'Tabela de ingredientes'!$W$28)+(ROUND(Q393,4)&gt;'Tabela de ingredientes'!$W$29), 0) = 0, "Ok", "Revisar"))</f>
        <v/>
      </c>
    </row>
    <row r="394">
      <c r="A394" s="264"/>
      <c r="B394" s="264" t="s">
        <v>187</v>
      </c>
      <c r="C394" s="264" t="s">
        <v>187</v>
      </c>
      <c r="D394" s="264" t="s">
        <v>187</v>
      </c>
      <c r="E394" s="264" t="s">
        <v>187</v>
      </c>
      <c r="F394" s="264" t="s">
        <v>187</v>
      </c>
      <c r="G394" s="264" t="s">
        <v>187</v>
      </c>
      <c r="H394" s="264" t="s">
        <v>187</v>
      </c>
      <c r="I394" s="264" t="s">
        <v>187</v>
      </c>
      <c r="J394" s="264" t="s">
        <v>187</v>
      </c>
      <c r="K394" s="264" t="s">
        <v>187</v>
      </c>
      <c r="L394" s="264" t="s">
        <v>187</v>
      </c>
      <c r="M394" s="264" t="s">
        <v>187</v>
      </c>
      <c r="N394" s="264" t="s">
        <v>187</v>
      </c>
      <c r="O394" s="264" t="s">
        <v>187</v>
      </c>
      <c r="P394" s="264" t="s">
        <v>187</v>
      </c>
      <c r="Q394" s="264" t="s">
        <v>187</v>
      </c>
      <c r="R394" s="264" t="s">
        <v>187</v>
      </c>
      <c r="S394" s="97" t="str">
        <f t="array" ref="S394">IF(A394="","", IF( (ROUND(I394,4) &lt; INDEX('Tabela de ingredientes'!$O$1:$V$30, SWITCH(B394, "Gelatos de Leite", 7, "Sorbets", 10, "Gelatos de Leite com Fruta", 13, "Chocolate base água", 16, "Vegano", 19, "Alcoólicos", 22, "Zero", 25, "Gelatos Proteicos", 28, 7), 1)) + (ROUND(I394,4) &gt; INDEX('Tabela de ingredientes'!$O$1:$V$30, SWITCH(B394, "Gelatos de Leite", 8, "Sorbets", 11, "Gelatos de Leite com Fruta", 14, "Chocolate base água", 17, "Vegano", 20, "Alcoólicos", 23, "Zero", 26, "Gelatos Proteicos", 29, 8), 1)) + (ROUND(J394,4) &lt; INDEX('Tabela de ingredientes'!$O$1:$V$30, SWITCH(B394, "Gelatos de Leite", 7, "Sorbets", 10, "Gelatos de Leite com Fruta", 13, "Chocolate base água", 16, "Vegano", 19, "Alcoólicos", 22, "Zero", 25, "Gelatos Proteicos", 28, 7), 2)) + (ROUND(J394,4) &gt; INDEX('Tabela de ingredientes'!$O$1:$V$30, SWITCH(B394, "Gelatos de Leite", 8, "Sorbets", 11, "Gelatos de Leite com Fruta", 14, "Chocolate base água", 17, "Vegano", 20, "Alcoólicos", 23, "Zero", 26, "Gelatos Proteicos", 29, 8), 2)) + (ROUND(K394,4) &lt; INDEX('Tabela de ingredientes'!$O$1:$V$30, SWITCH(B394, "Gelatos de Leite", 7, "Sorbets", 10, "Gelatos de Leite com Fruta", 13, "Chocolate base água", 16, "Vegano", 19, "Alcoólicos", 22, "Zero", 25, "Gelatos Proteicos", 28, 7), 3)) + (ROUND(K394,4) &gt; INDEX('Tabela de ingredientes'!$O$1:$V$30, SWITCH(B394, "Gelatos de Leite", 8, "Sorbets", 11, "Gelatos de Leite com Fruta", 14, "Chocolate base água", 17, "Vegano", 20, "Alcoólicos", 23, "Zero", 26, "Gelatos Proteicos", 29, 8), 3)) + (ROUND(L394,4) &lt; INDEX('Tabela de ingredientes'!$O$1:$V$30, SWITCH(B394, "Gelatos de Leite", 7, "Sorbets", 10, "Gelatos de Leite com Fruta", 13, "Chocolate base água", 16, "Vegano", 19, "Alcoólicos", 22, "Zero", 25, "Gelatos Proteicos", 28, 7), 4)) + (ROUND(L394,4) &gt; INDEX('Tabela de ingredientes'!$O$1:$V$30, SWITCH(B394, "Gelatos de Leite", 8, "Sorbets", 11, "Gelatos de Leite com Fruta", 14, "Chocolate base água", 17, "Vegano", 20, "Alcoólicos", 23, "Zero", 26, "Gelatos Proteicos", 29, 8), 4)) + (ROUND(M394,4) &lt; INDEX('Tabela de ingredientes'!$O$1:$V$30, SWITCH(B394, "Gelatos de Leite", 7, "Sorbets", 10, "Gelatos de Leite com Fruta", 13, "Chocolate base água", 16, "Vegano", 19, "Alcoólicos", 22, "Zero", 25, "Gelatos Proteicos", 28, 7), 5)) + (ROUND(M394,4) &gt; INDEX('Tabela de ingredientes'!$O$1:$V$30, SWITCH(B394, "Gelatos de Leite", 8, "Sorbets", 11, "Gelatos de Leite com Fruta", 14, "Chocolate base água", 17, "Vegano", 20, "Alcoólicos", 23, "Zero", 26, "Gelatos Proteicos", 29, 8), 5)) + (ROUND(N394,4) &lt; INDEX('Tabela de ingredientes'!$O$1:$V$30, SWITCH(B394, "Gelatos de Leite", 7, "Sorbets", 10, "Gelatos de Leite com Fruta", 13, "Chocolate base água", 16, "Vegano", 19, "Alcoólicos", 22, "Zero", 25, "Gelatos Proteicos", 28, 7), 6)) + (ROUND(N394,4) &gt; INDEX('Tabela de ingredientes'!$O$1:$V$30, SWITCH(B394, "Gelatos de Leite", 8, "Sorbets", 11, "Gelatos de Leite com Fruta", 14, "Chocolate base água", 17, "Vegano", 20, "Alcoólicos", 23, "Zero", 26, "Gelatos Proteicos", 29, 8), 6)) + (ROUND(O394,4) &lt; INDEX('Tabela de ingredientes'!$O$1:$V$30, SWITCH(B394, "Gelatos de Leite", 7, "Sorbets", 10, "Gelatos de Leite com Fruta", 13, "Chocolate base água", 16, "Vegano", 19, "Alcoólicos", 22, "Zero", 25, "Gelatos Proteicos", 28, 7), 7)) + (ROUND(O394,4) &gt; INDEX('Tabela de ingredientes'!$O$1:$V$30, SWITCH(B394, "Gelatos de Leite", 8, "Sorbets", 11, "Gelatos de Leite com Fruta", 14, "Chocolate base água", 17, "Vegano", 20, "Alcoólicos", 23, "Zero", 26, "Gelatos Proteicos", 29, 8), 7)) + (ROUND(P394,4) &lt; INDEX('Tabela de ingredientes'!$O$1:$V$30, SWITCH(B394, "Gelatos de Leite", 7, "Sorbets", 10, "Gelatos de Leite com Fruta", 13, "Chocolate base água", 16, "Vegano", 19, "Alcoólicos", 22, "Zero", 25, "Gelatos Proteicos", 28, 7), 8)) + (ROUND(P394,4) &gt; INDEX('Tabela de ingredientes'!$O$1:$V$30, SWITCH(B394, "Gelatos de Leite", 8, "Sorbets", 11, "Gelatos de Leite com Fruta", 14, "Chocolate base água", 17, "Vegano", 20, "Alcoólicos", 23, "Zero", 26, "Gelatos Proteicos", 29, 8), 8)) + IF(B394="Gelatos Proteicos", (ROUND(Q394,4)&lt;'Tabela de ingredientes'!$W$28)+(ROUND(Q394,4)&gt;'Tabela de ingredientes'!$W$29), 0) = 0, "Ok", "Revisar"))</f>
        <v/>
      </c>
    </row>
    <row r="395">
      <c r="A395" s="264"/>
      <c r="B395" s="264" t="s">
        <v>187</v>
      </c>
      <c r="C395" s="264" t="s">
        <v>187</v>
      </c>
      <c r="D395" s="264" t="s">
        <v>187</v>
      </c>
      <c r="E395" s="264" t="s">
        <v>187</v>
      </c>
      <c r="F395" s="264" t="s">
        <v>187</v>
      </c>
      <c r="G395" s="264" t="s">
        <v>187</v>
      </c>
      <c r="H395" s="264" t="s">
        <v>187</v>
      </c>
      <c r="I395" s="264" t="s">
        <v>187</v>
      </c>
      <c r="J395" s="264" t="s">
        <v>187</v>
      </c>
      <c r="K395" s="264" t="s">
        <v>187</v>
      </c>
      <c r="L395" s="264" t="s">
        <v>187</v>
      </c>
      <c r="M395" s="264" t="s">
        <v>187</v>
      </c>
      <c r="N395" s="264" t="s">
        <v>187</v>
      </c>
      <c r="O395" s="264" t="s">
        <v>187</v>
      </c>
      <c r="P395" s="264" t="s">
        <v>187</v>
      </c>
      <c r="Q395" s="264" t="s">
        <v>187</v>
      </c>
      <c r="R395" s="264" t="s">
        <v>187</v>
      </c>
      <c r="S395" s="97" t="str">
        <f t="array" ref="S395">IF(A395="","", IF( (ROUND(I395,4) &lt; INDEX('Tabela de ingredientes'!$O$1:$V$30, SWITCH(B395, "Gelatos de Leite", 7, "Sorbets", 10, "Gelatos de Leite com Fruta", 13, "Chocolate base água", 16, "Vegano", 19, "Alcoólicos", 22, "Zero", 25, "Gelatos Proteicos", 28, 7), 1)) + (ROUND(I395,4) &gt; INDEX('Tabela de ingredientes'!$O$1:$V$30, SWITCH(B395, "Gelatos de Leite", 8, "Sorbets", 11, "Gelatos de Leite com Fruta", 14, "Chocolate base água", 17, "Vegano", 20, "Alcoólicos", 23, "Zero", 26, "Gelatos Proteicos", 29, 8), 1)) + (ROUND(J395,4) &lt; INDEX('Tabela de ingredientes'!$O$1:$V$30, SWITCH(B395, "Gelatos de Leite", 7, "Sorbets", 10, "Gelatos de Leite com Fruta", 13, "Chocolate base água", 16, "Vegano", 19, "Alcoólicos", 22, "Zero", 25, "Gelatos Proteicos", 28, 7), 2)) + (ROUND(J395,4) &gt; INDEX('Tabela de ingredientes'!$O$1:$V$30, SWITCH(B395, "Gelatos de Leite", 8, "Sorbets", 11, "Gelatos de Leite com Fruta", 14, "Chocolate base água", 17, "Vegano", 20, "Alcoólicos", 23, "Zero", 26, "Gelatos Proteicos", 29, 8), 2)) + (ROUND(K395,4) &lt; INDEX('Tabela de ingredientes'!$O$1:$V$30, SWITCH(B395, "Gelatos de Leite", 7, "Sorbets", 10, "Gelatos de Leite com Fruta", 13, "Chocolate base água", 16, "Vegano", 19, "Alcoólicos", 22, "Zero", 25, "Gelatos Proteicos", 28, 7), 3)) + (ROUND(K395,4) &gt; INDEX('Tabela de ingredientes'!$O$1:$V$30, SWITCH(B395, "Gelatos de Leite", 8, "Sorbets", 11, "Gelatos de Leite com Fruta", 14, "Chocolate base água", 17, "Vegano", 20, "Alcoólicos", 23, "Zero", 26, "Gelatos Proteicos", 29, 8), 3)) + (ROUND(L395,4) &lt; INDEX('Tabela de ingredientes'!$O$1:$V$30, SWITCH(B395, "Gelatos de Leite", 7, "Sorbets", 10, "Gelatos de Leite com Fruta", 13, "Chocolate base água", 16, "Vegano", 19, "Alcoólicos", 22, "Zero", 25, "Gelatos Proteicos", 28, 7), 4)) + (ROUND(L395,4) &gt; INDEX('Tabela de ingredientes'!$O$1:$V$30, SWITCH(B395, "Gelatos de Leite", 8, "Sorbets", 11, "Gelatos de Leite com Fruta", 14, "Chocolate base água", 17, "Vegano", 20, "Alcoólicos", 23, "Zero", 26, "Gelatos Proteicos", 29, 8), 4)) + (ROUND(M395,4) &lt; INDEX('Tabela de ingredientes'!$O$1:$V$30, SWITCH(B395, "Gelatos de Leite", 7, "Sorbets", 10, "Gelatos de Leite com Fruta", 13, "Chocolate base água", 16, "Vegano", 19, "Alcoólicos", 22, "Zero", 25, "Gelatos Proteicos", 28, 7), 5)) + (ROUND(M395,4) &gt; INDEX('Tabela de ingredientes'!$O$1:$V$30, SWITCH(B395, "Gelatos de Leite", 8, "Sorbets", 11, "Gelatos de Leite com Fruta", 14, "Chocolate base água", 17, "Vegano", 20, "Alcoólicos", 23, "Zero", 26, "Gelatos Proteicos", 29, 8), 5)) + (ROUND(N395,4) &lt; INDEX('Tabela de ingredientes'!$O$1:$V$30, SWITCH(B395, "Gelatos de Leite", 7, "Sorbets", 10, "Gelatos de Leite com Fruta", 13, "Chocolate base água", 16, "Vegano", 19, "Alcoólicos", 22, "Zero", 25, "Gelatos Proteicos", 28, 7), 6)) + (ROUND(N395,4) &gt; INDEX('Tabela de ingredientes'!$O$1:$V$30, SWITCH(B395, "Gelatos de Leite", 8, "Sorbets", 11, "Gelatos de Leite com Fruta", 14, "Chocolate base água", 17, "Vegano", 20, "Alcoólicos", 23, "Zero", 26, "Gelatos Proteicos", 29, 8), 6)) + (ROUND(O395,4) &lt; INDEX('Tabela de ingredientes'!$O$1:$V$30, SWITCH(B395, "Gelatos de Leite", 7, "Sorbets", 10, "Gelatos de Leite com Fruta", 13, "Chocolate base água", 16, "Vegano", 19, "Alcoólicos", 22, "Zero", 25, "Gelatos Proteicos", 28, 7), 7)) + (ROUND(O395,4) &gt; INDEX('Tabela de ingredientes'!$O$1:$V$30, SWITCH(B395, "Gelatos de Leite", 8, "Sorbets", 11, "Gelatos de Leite com Fruta", 14, "Chocolate base água", 17, "Vegano", 20, "Alcoólicos", 23, "Zero", 26, "Gelatos Proteicos", 29, 8), 7)) + (ROUND(P395,4) &lt; INDEX('Tabela de ingredientes'!$O$1:$V$30, SWITCH(B395, "Gelatos de Leite", 7, "Sorbets", 10, "Gelatos de Leite com Fruta", 13, "Chocolate base água", 16, "Vegano", 19, "Alcoólicos", 22, "Zero", 25, "Gelatos Proteicos", 28, 7), 8)) + (ROUND(P395,4) &gt; INDEX('Tabela de ingredientes'!$O$1:$V$30, SWITCH(B395, "Gelatos de Leite", 8, "Sorbets", 11, "Gelatos de Leite com Fruta", 14, "Chocolate base água", 17, "Vegano", 20, "Alcoólicos", 23, "Zero", 26, "Gelatos Proteicos", 29, 8), 8)) + IF(B395="Gelatos Proteicos", (ROUND(Q395,4)&lt;'Tabela de ingredientes'!$W$28)+(ROUND(Q395,4)&gt;'Tabela de ingredientes'!$W$29), 0) = 0, "Ok", "Revisar"))</f>
        <v/>
      </c>
    </row>
    <row r="396">
      <c r="A396" s="264"/>
      <c r="B396" s="264" t="s">
        <v>187</v>
      </c>
      <c r="C396" s="264" t="s">
        <v>187</v>
      </c>
      <c r="D396" s="264" t="s">
        <v>187</v>
      </c>
      <c r="E396" s="264" t="s">
        <v>187</v>
      </c>
      <c r="F396" s="264" t="s">
        <v>187</v>
      </c>
      <c r="G396" s="264" t="s">
        <v>187</v>
      </c>
      <c r="H396" s="264" t="s">
        <v>187</v>
      </c>
      <c r="I396" s="264" t="s">
        <v>187</v>
      </c>
      <c r="J396" s="264" t="s">
        <v>187</v>
      </c>
      <c r="K396" s="264" t="s">
        <v>187</v>
      </c>
      <c r="L396" s="264" t="s">
        <v>187</v>
      </c>
      <c r="M396" s="264" t="s">
        <v>187</v>
      </c>
      <c r="N396" s="264" t="s">
        <v>187</v>
      </c>
      <c r="O396" s="264" t="s">
        <v>187</v>
      </c>
      <c r="P396" s="264" t="s">
        <v>187</v>
      </c>
      <c r="Q396" s="264" t="s">
        <v>187</v>
      </c>
      <c r="R396" s="264" t="s">
        <v>187</v>
      </c>
      <c r="S396" s="97" t="str">
        <f t="array" ref="S396">IF(A396="","", IF( (ROUND(I396,4) &lt; INDEX('Tabela de ingredientes'!$O$1:$V$30, SWITCH(B396, "Gelatos de Leite", 7, "Sorbets", 10, "Gelatos de Leite com Fruta", 13, "Chocolate base água", 16, "Vegano", 19, "Alcoólicos", 22, "Zero", 25, "Gelatos Proteicos", 28, 7), 1)) + (ROUND(I396,4) &gt; INDEX('Tabela de ingredientes'!$O$1:$V$30, SWITCH(B396, "Gelatos de Leite", 8, "Sorbets", 11, "Gelatos de Leite com Fruta", 14, "Chocolate base água", 17, "Vegano", 20, "Alcoólicos", 23, "Zero", 26, "Gelatos Proteicos", 29, 8), 1)) + (ROUND(J396,4) &lt; INDEX('Tabela de ingredientes'!$O$1:$V$30, SWITCH(B396, "Gelatos de Leite", 7, "Sorbets", 10, "Gelatos de Leite com Fruta", 13, "Chocolate base água", 16, "Vegano", 19, "Alcoólicos", 22, "Zero", 25, "Gelatos Proteicos", 28, 7), 2)) + (ROUND(J396,4) &gt; INDEX('Tabela de ingredientes'!$O$1:$V$30, SWITCH(B396, "Gelatos de Leite", 8, "Sorbets", 11, "Gelatos de Leite com Fruta", 14, "Chocolate base água", 17, "Vegano", 20, "Alcoólicos", 23, "Zero", 26, "Gelatos Proteicos", 29, 8), 2)) + (ROUND(K396,4) &lt; INDEX('Tabela de ingredientes'!$O$1:$V$30, SWITCH(B396, "Gelatos de Leite", 7, "Sorbets", 10, "Gelatos de Leite com Fruta", 13, "Chocolate base água", 16, "Vegano", 19, "Alcoólicos", 22, "Zero", 25, "Gelatos Proteicos", 28, 7), 3)) + (ROUND(K396,4) &gt; INDEX('Tabela de ingredientes'!$O$1:$V$30, SWITCH(B396, "Gelatos de Leite", 8, "Sorbets", 11, "Gelatos de Leite com Fruta", 14, "Chocolate base água", 17, "Vegano", 20, "Alcoólicos", 23, "Zero", 26, "Gelatos Proteicos", 29, 8), 3)) + (ROUND(L396,4) &lt; INDEX('Tabela de ingredientes'!$O$1:$V$30, SWITCH(B396, "Gelatos de Leite", 7, "Sorbets", 10, "Gelatos de Leite com Fruta", 13, "Chocolate base água", 16, "Vegano", 19, "Alcoólicos", 22, "Zero", 25, "Gelatos Proteicos", 28, 7), 4)) + (ROUND(L396,4) &gt; INDEX('Tabela de ingredientes'!$O$1:$V$30, SWITCH(B396, "Gelatos de Leite", 8, "Sorbets", 11, "Gelatos de Leite com Fruta", 14, "Chocolate base água", 17, "Vegano", 20, "Alcoólicos", 23, "Zero", 26, "Gelatos Proteicos", 29, 8), 4)) + (ROUND(M396,4) &lt; INDEX('Tabela de ingredientes'!$O$1:$V$30, SWITCH(B396, "Gelatos de Leite", 7, "Sorbets", 10, "Gelatos de Leite com Fruta", 13, "Chocolate base água", 16, "Vegano", 19, "Alcoólicos", 22, "Zero", 25, "Gelatos Proteicos", 28, 7), 5)) + (ROUND(M396,4) &gt; INDEX('Tabela de ingredientes'!$O$1:$V$30, SWITCH(B396, "Gelatos de Leite", 8, "Sorbets", 11, "Gelatos de Leite com Fruta", 14, "Chocolate base água", 17, "Vegano", 20, "Alcoólicos", 23, "Zero", 26, "Gelatos Proteicos", 29, 8), 5)) + (ROUND(N396,4) &lt; INDEX('Tabela de ingredientes'!$O$1:$V$30, SWITCH(B396, "Gelatos de Leite", 7, "Sorbets", 10, "Gelatos de Leite com Fruta", 13, "Chocolate base água", 16, "Vegano", 19, "Alcoólicos", 22, "Zero", 25, "Gelatos Proteicos", 28, 7), 6)) + (ROUND(N396,4) &gt; INDEX('Tabela de ingredientes'!$O$1:$V$30, SWITCH(B396, "Gelatos de Leite", 8, "Sorbets", 11, "Gelatos de Leite com Fruta", 14, "Chocolate base água", 17, "Vegano", 20, "Alcoólicos", 23, "Zero", 26, "Gelatos Proteicos", 29, 8), 6)) + (ROUND(O396,4) &lt; INDEX('Tabela de ingredientes'!$O$1:$V$30, SWITCH(B396, "Gelatos de Leite", 7, "Sorbets", 10, "Gelatos de Leite com Fruta", 13, "Chocolate base água", 16, "Vegano", 19, "Alcoólicos", 22, "Zero", 25, "Gelatos Proteicos", 28, 7), 7)) + (ROUND(O396,4) &gt; INDEX('Tabela de ingredientes'!$O$1:$V$30, SWITCH(B396, "Gelatos de Leite", 8, "Sorbets", 11, "Gelatos de Leite com Fruta", 14, "Chocolate base água", 17, "Vegano", 20, "Alcoólicos", 23, "Zero", 26, "Gelatos Proteicos", 29, 8), 7)) + (ROUND(P396,4) &lt; INDEX('Tabela de ingredientes'!$O$1:$V$30, SWITCH(B396, "Gelatos de Leite", 7, "Sorbets", 10, "Gelatos de Leite com Fruta", 13, "Chocolate base água", 16, "Vegano", 19, "Alcoólicos", 22, "Zero", 25, "Gelatos Proteicos", 28, 7), 8)) + (ROUND(P396,4) &gt; INDEX('Tabela de ingredientes'!$O$1:$V$30, SWITCH(B396, "Gelatos de Leite", 8, "Sorbets", 11, "Gelatos de Leite com Fruta", 14, "Chocolate base água", 17, "Vegano", 20, "Alcoólicos", 23, "Zero", 26, "Gelatos Proteicos", 29, 8), 8)) + IF(B396="Gelatos Proteicos", (ROUND(Q396,4)&lt;'Tabela de ingredientes'!$W$28)+(ROUND(Q396,4)&gt;'Tabela de ingredientes'!$W$29), 0) = 0, "Ok", "Revisar"))</f>
        <v/>
      </c>
    </row>
    <row r="397">
      <c r="A397" s="264"/>
      <c r="B397" s="264" t="s">
        <v>187</v>
      </c>
      <c r="C397" s="264" t="s">
        <v>187</v>
      </c>
      <c r="D397" s="264" t="s">
        <v>187</v>
      </c>
      <c r="E397" s="264" t="s">
        <v>187</v>
      </c>
      <c r="F397" s="264" t="s">
        <v>187</v>
      </c>
      <c r="G397" s="264" t="s">
        <v>187</v>
      </c>
      <c r="H397" s="264" t="s">
        <v>187</v>
      </c>
      <c r="I397" s="264" t="s">
        <v>187</v>
      </c>
      <c r="J397" s="264" t="s">
        <v>187</v>
      </c>
      <c r="K397" s="264" t="s">
        <v>187</v>
      </c>
      <c r="L397" s="264" t="s">
        <v>187</v>
      </c>
      <c r="M397" s="264" t="s">
        <v>187</v>
      </c>
      <c r="N397" s="264" t="s">
        <v>187</v>
      </c>
      <c r="O397" s="264" t="s">
        <v>187</v>
      </c>
      <c r="P397" s="264" t="s">
        <v>187</v>
      </c>
      <c r="Q397" s="264" t="s">
        <v>187</v>
      </c>
      <c r="R397" s="264" t="s">
        <v>187</v>
      </c>
      <c r="S397" s="97" t="str">
        <f t="array" ref="S397">IF(A397="","", IF( (ROUND(I397,4) &lt; INDEX('Tabela de ingredientes'!$O$1:$V$30, SWITCH(B397, "Gelatos de Leite", 7, "Sorbets", 10, "Gelatos de Leite com Fruta", 13, "Chocolate base água", 16, "Vegano", 19, "Alcoólicos", 22, "Zero", 25, "Gelatos Proteicos", 28, 7), 1)) + (ROUND(I397,4) &gt; INDEX('Tabela de ingredientes'!$O$1:$V$30, SWITCH(B397, "Gelatos de Leite", 8, "Sorbets", 11, "Gelatos de Leite com Fruta", 14, "Chocolate base água", 17, "Vegano", 20, "Alcoólicos", 23, "Zero", 26, "Gelatos Proteicos", 29, 8), 1)) + (ROUND(J397,4) &lt; INDEX('Tabela de ingredientes'!$O$1:$V$30, SWITCH(B397, "Gelatos de Leite", 7, "Sorbets", 10, "Gelatos de Leite com Fruta", 13, "Chocolate base água", 16, "Vegano", 19, "Alcoólicos", 22, "Zero", 25, "Gelatos Proteicos", 28, 7), 2)) + (ROUND(J397,4) &gt; INDEX('Tabela de ingredientes'!$O$1:$V$30, SWITCH(B397, "Gelatos de Leite", 8, "Sorbets", 11, "Gelatos de Leite com Fruta", 14, "Chocolate base água", 17, "Vegano", 20, "Alcoólicos", 23, "Zero", 26, "Gelatos Proteicos", 29, 8), 2)) + (ROUND(K397,4) &lt; INDEX('Tabela de ingredientes'!$O$1:$V$30, SWITCH(B397, "Gelatos de Leite", 7, "Sorbets", 10, "Gelatos de Leite com Fruta", 13, "Chocolate base água", 16, "Vegano", 19, "Alcoólicos", 22, "Zero", 25, "Gelatos Proteicos", 28, 7), 3)) + (ROUND(K397,4) &gt; INDEX('Tabela de ingredientes'!$O$1:$V$30, SWITCH(B397, "Gelatos de Leite", 8, "Sorbets", 11, "Gelatos de Leite com Fruta", 14, "Chocolate base água", 17, "Vegano", 20, "Alcoólicos", 23, "Zero", 26, "Gelatos Proteicos", 29, 8), 3)) + (ROUND(L397,4) &lt; INDEX('Tabela de ingredientes'!$O$1:$V$30, SWITCH(B397, "Gelatos de Leite", 7, "Sorbets", 10, "Gelatos de Leite com Fruta", 13, "Chocolate base água", 16, "Vegano", 19, "Alcoólicos", 22, "Zero", 25, "Gelatos Proteicos", 28, 7), 4)) + (ROUND(L397,4) &gt; INDEX('Tabela de ingredientes'!$O$1:$V$30, SWITCH(B397, "Gelatos de Leite", 8, "Sorbets", 11, "Gelatos de Leite com Fruta", 14, "Chocolate base água", 17, "Vegano", 20, "Alcoólicos", 23, "Zero", 26, "Gelatos Proteicos", 29, 8), 4)) + (ROUND(M397,4) &lt; INDEX('Tabela de ingredientes'!$O$1:$V$30, SWITCH(B397, "Gelatos de Leite", 7, "Sorbets", 10, "Gelatos de Leite com Fruta", 13, "Chocolate base água", 16, "Vegano", 19, "Alcoólicos", 22, "Zero", 25, "Gelatos Proteicos", 28, 7), 5)) + (ROUND(M397,4) &gt; INDEX('Tabela de ingredientes'!$O$1:$V$30, SWITCH(B397, "Gelatos de Leite", 8, "Sorbets", 11, "Gelatos de Leite com Fruta", 14, "Chocolate base água", 17, "Vegano", 20, "Alcoólicos", 23, "Zero", 26, "Gelatos Proteicos", 29, 8), 5)) + (ROUND(N397,4) &lt; INDEX('Tabela de ingredientes'!$O$1:$V$30, SWITCH(B397, "Gelatos de Leite", 7, "Sorbets", 10, "Gelatos de Leite com Fruta", 13, "Chocolate base água", 16, "Vegano", 19, "Alcoólicos", 22, "Zero", 25, "Gelatos Proteicos", 28, 7), 6)) + (ROUND(N397,4) &gt; INDEX('Tabela de ingredientes'!$O$1:$V$30, SWITCH(B397, "Gelatos de Leite", 8, "Sorbets", 11, "Gelatos de Leite com Fruta", 14, "Chocolate base água", 17, "Vegano", 20, "Alcoólicos", 23, "Zero", 26, "Gelatos Proteicos", 29, 8), 6)) + (ROUND(O397,4) &lt; INDEX('Tabela de ingredientes'!$O$1:$V$30, SWITCH(B397, "Gelatos de Leite", 7, "Sorbets", 10, "Gelatos de Leite com Fruta", 13, "Chocolate base água", 16, "Vegano", 19, "Alcoólicos", 22, "Zero", 25, "Gelatos Proteicos", 28, 7), 7)) + (ROUND(O397,4) &gt; INDEX('Tabela de ingredientes'!$O$1:$V$30, SWITCH(B397, "Gelatos de Leite", 8, "Sorbets", 11, "Gelatos de Leite com Fruta", 14, "Chocolate base água", 17, "Vegano", 20, "Alcoólicos", 23, "Zero", 26, "Gelatos Proteicos", 29, 8), 7)) + (ROUND(P397,4) &lt; INDEX('Tabela de ingredientes'!$O$1:$V$30, SWITCH(B397, "Gelatos de Leite", 7, "Sorbets", 10, "Gelatos de Leite com Fruta", 13, "Chocolate base água", 16, "Vegano", 19, "Alcoólicos", 22, "Zero", 25, "Gelatos Proteicos", 28, 7), 8)) + (ROUND(P397,4) &gt; INDEX('Tabela de ingredientes'!$O$1:$V$30, SWITCH(B397, "Gelatos de Leite", 8, "Sorbets", 11, "Gelatos de Leite com Fruta", 14, "Chocolate base água", 17, "Vegano", 20, "Alcoólicos", 23, "Zero", 26, "Gelatos Proteicos", 29, 8), 8)) + IF(B397="Gelatos Proteicos", (ROUND(Q397,4)&lt;'Tabela de ingredientes'!$W$28)+(ROUND(Q397,4)&gt;'Tabela de ingredientes'!$W$29), 0) = 0, "Ok", "Revisar"))</f>
        <v/>
      </c>
    </row>
    <row r="398">
      <c r="A398" s="264"/>
      <c r="B398" s="264" t="s">
        <v>187</v>
      </c>
      <c r="C398" s="264" t="s">
        <v>187</v>
      </c>
      <c r="D398" s="264" t="s">
        <v>187</v>
      </c>
      <c r="E398" s="264" t="s">
        <v>187</v>
      </c>
      <c r="F398" s="264" t="s">
        <v>187</v>
      </c>
      <c r="G398" s="264" t="s">
        <v>187</v>
      </c>
      <c r="H398" s="264" t="s">
        <v>187</v>
      </c>
      <c r="I398" s="264" t="s">
        <v>187</v>
      </c>
      <c r="J398" s="264" t="s">
        <v>187</v>
      </c>
      <c r="K398" s="264" t="s">
        <v>187</v>
      </c>
      <c r="L398" s="264" t="s">
        <v>187</v>
      </c>
      <c r="M398" s="264" t="s">
        <v>187</v>
      </c>
      <c r="N398" s="264" t="s">
        <v>187</v>
      </c>
      <c r="O398" s="264" t="s">
        <v>187</v>
      </c>
      <c r="P398" s="264" t="s">
        <v>187</v>
      </c>
      <c r="Q398" s="264" t="s">
        <v>187</v>
      </c>
      <c r="R398" s="264" t="s">
        <v>187</v>
      </c>
      <c r="S398" s="97" t="str">
        <f t="array" ref="S398">IF(A398="","", IF( (ROUND(I398,4) &lt; INDEX('Tabela de ingredientes'!$O$1:$V$30, SWITCH(B398, "Gelatos de Leite", 7, "Sorbets", 10, "Gelatos de Leite com Fruta", 13, "Chocolate base água", 16, "Vegano", 19, "Alcoólicos", 22, "Zero", 25, "Gelatos Proteicos", 28, 7), 1)) + (ROUND(I398,4) &gt; INDEX('Tabela de ingredientes'!$O$1:$V$30, SWITCH(B398, "Gelatos de Leite", 8, "Sorbets", 11, "Gelatos de Leite com Fruta", 14, "Chocolate base água", 17, "Vegano", 20, "Alcoólicos", 23, "Zero", 26, "Gelatos Proteicos", 29, 8), 1)) + (ROUND(J398,4) &lt; INDEX('Tabela de ingredientes'!$O$1:$V$30, SWITCH(B398, "Gelatos de Leite", 7, "Sorbets", 10, "Gelatos de Leite com Fruta", 13, "Chocolate base água", 16, "Vegano", 19, "Alcoólicos", 22, "Zero", 25, "Gelatos Proteicos", 28, 7), 2)) + (ROUND(J398,4) &gt; INDEX('Tabela de ingredientes'!$O$1:$V$30, SWITCH(B398, "Gelatos de Leite", 8, "Sorbets", 11, "Gelatos de Leite com Fruta", 14, "Chocolate base água", 17, "Vegano", 20, "Alcoólicos", 23, "Zero", 26, "Gelatos Proteicos", 29, 8), 2)) + (ROUND(K398,4) &lt; INDEX('Tabela de ingredientes'!$O$1:$V$30, SWITCH(B398, "Gelatos de Leite", 7, "Sorbets", 10, "Gelatos de Leite com Fruta", 13, "Chocolate base água", 16, "Vegano", 19, "Alcoólicos", 22, "Zero", 25, "Gelatos Proteicos", 28, 7), 3)) + (ROUND(K398,4) &gt; INDEX('Tabela de ingredientes'!$O$1:$V$30, SWITCH(B398, "Gelatos de Leite", 8, "Sorbets", 11, "Gelatos de Leite com Fruta", 14, "Chocolate base água", 17, "Vegano", 20, "Alcoólicos", 23, "Zero", 26, "Gelatos Proteicos", 29, 8), 3)) + (ROUND(L398,4) &lt; INDEX('Tabela de ingredientes'!$O$1:$V$30, SWITCH(B398, "Gelatos de Leite", 7, "Sorbets", 10, "Gelatos de Leite com Fruta", 13, "Chocolate base água", 16, "Vegano", 19, "Alcoólicos", 22, "Zero", 25, "Gelatos Proteicos", 28, 7), 4)) + (ROUND(L398,4) &gt; INDEX('Tabela de ingredientes'!$O$1:$V$30, SWITCH(B398, "Gelatos de Leite", 8, "Sorbets", 11, "Gelatos de Leite com Fruta", 14, "Chocolate base água", 17, "Vegano", 20, "Alcoólicos", 23, "Zero", 26, "Gelatos Proteicos", 29, 8), 4)) + (ROUND(M398,4) &lt; INDEX('Tabela de ingredientes'!$O$1:$V$30, SWITCH(B398, "Gelatos de Leite", 7, "Sorbets", 10, "Gelatos de Leite com Fruta", 13, "Chocolate base água", 16, "Vegano", 19, "Alcoólicos", 22, "Zero", 25, "Gelatos Proteicos", 28, 7), 5)) + (ROUND(M398,4) &gt; INDEX('Tabela de ingredientes'!$O$1:$V$30, SWITCH(B398, "Gelatos de Leite", 8, "Sorbets", 11, "Gelatos de Leite com Fruta", 14, "Chocolate base água", 17, "Vegano", 20, "Alcoólicos", 23, "Zero", 26, "Gelatos Proteicos", 29, 8), 5)) + (ROUND(N398,4) &lt; INDEX('Tabela de ingredientes'!$O$1:$V$30, SWITCH(B398, "Gelatos de Leite", 7, "Sorbets", 10, "Gelatos de Leite com Fruta", 13, "Chocolate base água", 16, "Vegano", 19, "Alcoólicos", 22, "Zero", 25, "Gelatos Proteicos", 28, 7), 6)) + (ROUND(N398,4) &gt; INDEX('Tabela de ingredientes'!$O$1:$V$30, SWITCH(B398, "Gelatos de Leite", 8, "Sorbets", 11, "Gelatos de Leite com Fruta", 14, "Chocolate base água", 17, "Vegano", 20, "Alcoólicos", 23, "Zero", 26, "Gelatos Proteicos", 29, 8), 6)) + (ROUND(O398,4) &lt; INDEX('Tabela de ingredientes'!$O$1:$V$30, SWITCH(B398, "Gelatos de Leite", 7, "Sorbets", 10, "Gelatos de Leite com Fruta", 13, "Chocolate base água", 16, "Vegano", 19, "Alcoólicos", 22, "Zero", 25, "Gelatos Proteicos", 28, 7), 7)) + (ROUND(O398,4) &gt; INDEX('Tabela de ingredientes'!$O$1:$V$30, SWITCH(B398, "Gelatos de Leite", 8, "Sorbets", 11, "Gelatos de Leite com Fruta", 14, "Chocolate base água", 17, "Vegano", 20, "Alcoólicos", 23, "Zero", 26, "Gelatos Proteicos", 29, 8), 7)) + (ROUND(P398,4) &lt; INDEX('Tabela de ingredientes'!$O$1:$V$30, SWITCH(B398, "Gelatos de Leite", 7, "Sorbets", 10, "Gelatos de Leite com Fruta", 13, "Chocolate base água", 16, "Vegano", 19, "Alcoólicos", 22, "Zero", 25, "Gelatos Proteicos", 28, 7), 8)) + (ROUND(P398,4) &gt; INDEX('Tabela de ingredientes'!$O$1:$V$30, SWITCH(B398, "Gelatos de Leite", 8, "Sorbets", 11, "Gelatos de Leite com Fruta", 14, "Chocolate base água", 17, "Vegano", 20, "Alcoólicos", 23, "Zero", 26, "Gelatos Proteicos", 29, 8), 8)) + IF(B398="Gelatos Proteicos", (ROUND(Q398,4)&lt;'Tabela de ingredientes'!$W$28)+(ROUND(Q398,4)&gt;'Tabela de ingredientes'!$W$29), 0) = 0, "Ok", "Revisar"))</f>
        <v/>
      </c>
    </row>
    <row r="399">
      <c r="A399" s="264"/>
      <c r="B399" s="264" t="s">
        <v>187</v>
      </c>
      <c r="C399" s="264" t="s">
        <v>187</v>
      </c>
      <c r="D399" s="264" t="s">
        <v>187</v>
      </c>
      <c r="E399" s="264" t="s">
        <v>187</v>
      </c>
      <c r="F399" s="264" t="s">
        <v>187</v>
      </c>
      <c r="G399" s="264" t="s">
        <v>187</v>
      </c>
      <c r="H399" s="264" t="s">
        <v>187</v>
      </c>
      <c r="I399" s="264" t="s">
        <v>187</v>
      </c>
      <c r="J399" s="264" t="s">
        <v>187</v>
      </c>
      <c r="K399" s="264" t="s">
        <v>187</v>
      </c>
      <c r="L399" s="264" t="s">
        <v>187</v>
      </c>
      <c r="M399" s="264" t="s">
        <v>187</v>
      </c>
      <c r="N399" s="264" t="s">
        <v>187</v>
      </c>
      <c r="O399" s="264" t="s">
        <v>187</v>
      </c>
      <c r="P399" s="264" t="s">
        <v>187</v>
      </c>
      <c r="Q399" s="264" t="s">
        <v>187</v>
      </c>
      <c r="R399" s="264" t="s">
        <v>187</v>
      </c>
      <c r="S399" s="97" t="str">
        <f t="array" ref="S399">IF(A399="","", IF( (ROUND(I399,4) &lt; INDEX('Tabela de ingredientes'!$O$1:$V$30, SWITCH(B399, "Gelatos de Leite", 7, "Sorbets", 10, "Gelatos de Leite com Fruta", 13, "Chocolate base água", 16, "Vegano", 19, "Alcoólicos", 22, "Zero", 25, "Gelatos Proteicos", 28, 7), 1)) + (ROUND(I399,4) &gt; INDEX('Tabela de ingredientes'!$O$1:$V$30, SWITCH(B399, "Gelatos de Leite", 8, "Sorbets", 11, "Gelatos de Leite com Fruta", 14, "Chocolate base água", 17, "Vegano", 20, "Alcoólicos", 23, "Zero", 26, "Gelatos Proteicos", 29, 8), 1)) + (ROUND(J399,4) &lt; INDEX('Tabela de ingredientes'!$O$1:$V$30, SWITCH(B399, "Gelatos de Leite", 7, "Sorbets", 10, "Gelatos de Leite com Fruta", 13, "Chocolate base água", 16, "Vegano", 19, "Alcoólicos", 22, "Zero", 25, "Gelatos Proteicos", 28, 7), 2)) + (ROUND(J399,4) &gt; INDEX('Tabela de ingredientes'!$O$1:$V$30, SWITCH(B399, "Gelatos de Leite", 8, "Sorbets", 11, "Gelatos de Leite com Fruta", 14, "Chocolate base água", 17, "Vegano", 20, "Alcoólicos", 23, "Zero", 26, "Gelatos Proteicos", 29, 8), 2)) + (ROUND(K399,4) &lt; INDEX('Tabela de ingredientes'!$O$1:$V$30, SWITCH(B399, "Gelatos de Leite", 7, "Sorbets", 10, "Gelatos de Leite com Fruta", 13, "Chocolate base água", 16, "Vegano", 19, "Alcoólicos", 22, "Zero", 25, "Gelatos Proteicos", 28, 7), 3)) + (ROUND(K399,4) &gt; INDEX('Tabela de ingredientes'!$O$1:$V$30, SWITCH(B399, "Gelatos de Leite", 8, "Sorbets", 11, "Gelatos de Leite com Fruta", 14, "Chocolate base água", 17, "Vegano", 20, "Alcoólicos", 23, "Zero", 26, "Gelatos Proteicos", 29, 8), 3)) + (ROUND(L399,4) &lt; INDEX('Tabela de ingredientes'!$O$1:$V$30, SWITCH(B399, "Gelatos de Leite", 7, "Sorbets", 10, "Gelatos de Leite com Fruta", 13, "Chocolate base água", 16, "Vegano", 19, "Alcoólicos", 22, "Zero", 25, "Gelatos Proteicos", 28, 7), 4)) + (ROUND(L399,4) &gt; INDEX('Tabela de ingredientes'!$O$1:$V$30, SWITCH(B399, "Gelatos de Leite", 8, "Sorbets", 11, "Gelatos de Leite com Fruta", 14, "Chocolate base água", 17, "Vegano", 20, "Alcoólicos", 23, "Zero", 26, "Gelatos Proteicos", 29, 8), 4)) + (ROUND(M399,4) &lt; INDEX('Tabela de ingredientes'!$O$1:$V$30, SWITCH(B399, "Gelatos de Leite", 7, "Sorbets", 10, "Gelatos de Leite com Fruta", 13, "Chocolate base água", 16, "Vegano", 19, "Alcoólicos", 22, "Zero", 25, "Gelatos Proteicos", 28, 7), 5)) + (ROUND(M399,4) &gt; INDEX('Tabela de ingredientes'!$O$1:$V$30, SWITCH(B399, "Gelatos de Leite", 8, "Sorbets", 11, "Gelatos de Leite com Fruta", 14, "Chocolate base água", 17, "Vegano", 20, "Alcoólicos", 23, "Zero", 26, "Gelatos Proteicos", 29, 8), 5)) + (ROUND(N399,4) &lt; INDEX('Tabela de ingredientes'!$O$1:$V$30, SWITCH(B399, "Gelatos de Leite", 7, "Sorbets", 10, "Gelatos de Leite com Fruta", 13, "Chocolate base água", 16, "Vegano", 19, "Alcoólicos", 22, "Zero", 25, "Gelatos Proteicos", 28, 7), 6)) + (ROUND(N399,4) &gt; INDEX('Tabela de ingredientes'!$O$1:$V$30, SWITCH(B399, "Gelatos de Leite", 8, "Sorbets", 11, "Gelatos de Leite com Fruta", 14, "Chocolate base água", 17, "Vegano", 20, "Alcoólicos", 23, "Zero", 26, "Gelatos Proteicos", 29, 8), 6)) + (ROUND(O399,4) &lt; INDEX('Tabela de ingredientes'!$O$1:$V$30, SWITCH(B399, "Gelatos de Leite", 7, "Sorbets", 10, "Gelatos de Leite com Fruta", 13, "Chocolate base água", 16, "Vegano", 19, "Alcoólicos", 22, "Zero", 25, "Gelatos Proteicos", 28, 7), 7)) + (ROUND(O399,4) &gt; INDEX('Tabela de ingredientes'!$O$1:$V$30, SWITCH(B399, "Gelatos de Leite", 8, "Sorbets", 11, "Gelatos de Leite com Fruta", 14, "Chocolate base água", 17, "Vegano", 20, "Alcoólicos", 23, "Zero", 26, "Gelatos Proteicos", 29, 8), 7)) + (ROUND(P399,4) &lt; INDEX('Tabela de ingredientes'!$O$1:$V$30, SWITCH(B399, "Gelatos de Leite", 7, "Sorbets", 10, "Gelatos de Leite com Fruta", 13, "Chocolate base água", 16, "Vegano", 19, "Alcoólicos", 22, "Zero", 25, "Gelatos Proteicos", 28, 7), 8)) + (ROUND(P399,4) &gt; INDEX('Tabela de ingredientes'!$O$1:$V$30, SWITCH(B399, "Gelatos de Leite", 8, "Sorbets", 11, "Gelatos de Leite com Fruta", 14, "Chocolate base água", 17, "Vegano", 20, "Alcoólicos", 23, "Zero", 26, "Gelatos Proteicos", 29, 8), 8)) + IF(B399="Gelatos Proteicos", (ROUND(Q399,4)&lt;'Tabela de ingredientes'!$W$28)+(ROUND(Q399,4)&gt;'Tabela de ingredientes'!$W$29), 0) = 0, "Ok", "Revisar"))</f>
        <v/>
      </c>
    </row>
    <row r="400">
      <c r="A400" s="264"/>
      <c r="B400" s="264" t="s">
        <v>187</v>
      </c>
      <c r="C400" s="264" t="s">
        <v>187</v>
      </c>
      <c r="D400" s="264" t="s">
        <v>187</v>
      </c>
      <c r="E400" s="264" t="s">
        <v>187</v>
      </c>
      <c r="F400" s="264" t="s">
        <v>187</v>
      </c>
      <c r="G400" s="264" t="s">
        <v>187</v>
      </c>
      <c r="H400" s="264" t="s">
        <v>187</v>
      </c>
      <c r="I400" s="264" t="s">
        <v>187</v>
      </c>
      <c r="J400" s="264" t="s">
        <v>187</v>
      </c>
      <c r="K400" s="264" t="s">
        <v>187</v>
      </c>
      <c r="L400" s="264" t="s">
        <v>187</v>
      </c>
      <c r="M400" s="264" t="s">
        <v>187</v>
      </c>
      <c r="N400" s="264" t="s">
        <v>187</v>
      </c>
      <c r="O400" s="264" t="s">
        <v>187</v>
      </c>
      <c r="P400" s="264" t="s">
        <v>187</v>
      </c>
      <c r="Q400" s="264" t="s">
        <v>187</v>
      </c>
      <c r="R400" s="264" t="s">
        <v>187</v>
      </c>
      <c r="S400" s="97" t="str">
        <f t="array" ref="S400">IF(A400="","", IF( (ROUND(I400,4) &lt; INDEX('Tabela de ingredientes'!$O$1:$V$30, SWITCH(B400, "Gelatos de Leite", 7, "Sorbets", 10, "Gelatos de Leite com Fruta", 13, "Chocolate base água", 16, "Vegano", 19, "Alcoólicos", 22, "Zero", 25, "Gelatos Proteicos", 28, 7), 1)) + (ROUND(I400,4) &gt; INDEX('Tabela de ingredientes'!$O$1:$V$30, SWITCH(B400, "Gelatos de Leite", 8, "Sorbets", 11, "Gelatos de Leite com Fruta", 14, "Chocolate base água", 17, "Vegano", 20, "Alcoólicos", 23, "Zero", 26, "Gelatos Proteicos", 29, 8), 1)) + (ROUND(J400,4) &lt; INDEX('Tabela de ingredientes'!$O$1:$V$30, SWITCH(B400, "Gelatos de Leite", 7, "Sorbets", 10, "Gelatos de Leite com Fruta", 13, "Chocolate base água", 16, "Vegano", 19, "Alcoólicos", 22, "Zero", 25, "Gelatos Proteicos", 28, 7), 2)) + (ROUND(J400,4) &gt; INDEX('Tabela de ingredientes'!$O$1:$V$30, SWITCH(B400, "Gelatos de Leite", 8, "Sorbets", 11, "Gelatos de Leite com Fruta", 14, "Chocolate base água", 17, "Vegano", 20, "Alcoólicos", 23, "Zero", 26, "Gelatos Proteicos", 29, 8), 2)) + (ROUND(K400,4) &lt; INDEX('Tabela de ingredientes'!$O$1:$V$30, SWITCH(B400, "Gelatos de Leite", 7, "Sorbets", 10, "Gelatos de Leite com Fruta", 13, "Chocolate base água", 16, "Vegano", 19, "Alcoólicos", 22, "Zero", 25, "Gelatos Proteicos", 28, 7), 3)) + (ROUND(K400,4) &gt; INDEX('Tabela de ingredientes'!$O$1:$V$30, SWITCH(B400, "Gelatos de Leite", 8, "Sorbets", 11, "Gelatos de Leite com Fruta", 14, "Chocolate base água", 17, "Vegano", 20, "Alcoólicos", 23, "Zero", 26, "Gelatos Proteicos", 29, 8), 3)) + (ROUND(L400,4) &lt; INDEX('Tabela de ingredientes'!$O$1:$V$30, SWITCH(B400, "Gelatos de Leite", 7, "Sorbets", 10, "Gelatos de Leite com Fruta", 13, "Chocolate base água", 16, "Vegano", 19, "Alcoólicos", 22, "Zero", 25, "Gelatos Proteicos", 28, 7), 4)) + (ROUND(L400,4) &gt; INDEX('Tabela de ingredientes'!$O$1:$V$30, SWITCH(B400, "Gelatos de Leite", 8, "Sorbets", 11, "Gelatos de Leite com Fruta", 14, "Chocolate base água", 17, "Vegano", 20, "Alcoólicos", 23, "Zero", 26, "Gelatos Proteicos", 29, 8), 4)) + (ROUND(M400,4) &lt; INDEX('Tabela de ingredientes'!$O$1:$V$30, SWITCH(B400, "Gelatos de Leite", 7, "Sorbets", 10, "Gelatos de Leite com Fruta", 13, "Chocolate base água", 16, "Vegano", 19, "Alcoólicos", 22, "Zero", 25, "Gelatos Proteicos", 28, 7), 5)) + (ROUND(M400,4) &gt; INDEX('Tabela de ingredientes'!$O$1:$V$30, SWITCH(B400, "Gelatos de Leite", 8, "Sorbets", 11, "Gelatos de Leite com Fruta", 14, "Chocolate base água", 17, "Vegano", 20, "Alcoólicos", 23, "Zero", 26, "Gelatos Proteicos", 29, 8), 5)) + (ROUND(N400,4) &lt; INDEX('Tabela de ingredientes'!$O$1:$V$30, SWITCH(B400, "Gelatos de Leite", 7, "Sorbets", 10, "Gelatos de Leite com Fruta", 13, "Chocolate base água", 16, "Vegano", 19, "Alcoólicos", 22, "Zero", 25, "Gelatos Proteicos", 28, 7), 6)) + (ROUND(N400,4) &gt; INDEX('Tabela de ingredientes'!$O$1:$V$30, SWITCH(B400, "Gelatos de Leite", 8, "Sorbets", 11, "Gelatos de Leite com Fruta", 14, "Chocolate base água", 17, "Vegano", 20, "Alcoólicos", 23, "Zero", 26, "Gelatos Proteicos", 29, 8), 6)) + (ROUND(O400,4) &lt; INDEX('Tabela de ingredientes'!$O$1:$V$30, SWITCH(B400, "Gelatos de Leite", 7, "Sorbets", 10, "Gelatos de Leite com Fruta", 13, "Chocolate base água", 16, "Vegano", 19, "Alcoólicos", 22, "Zero", 25, "Gelatos Proteicos", 28, 7), 7)) + (ROUND(O400,4) &gt; INDEX('Tabela de ingredientes'!$O$1:$V$30, SWITCH(B400, "Gelatos de Leite", 8, "Sorbets", 11, "Gelatos de Leite com Fruta", 14, "Chocolate base água", 17, "Vegano", 20, "Alcoólicos", 23, "Zero", 26, "Gelatos Proteicos", 29, 8), 7)) + (ROUND(P400,4) &lt; INDEX('Tabela de ingredientes'!$O$1:$V$30, SWITCH(B400, "Gelatos de Leite", 7, "Sorbets", 10, "Gelatos de Leite com Fruta", 13, "Chocolate base água", 16, "Vegano", 19, "Alcoólicos", 22, "Zero", 25, "Gelatos Proteicos", 28, 7), 8)) + (ROUND(P400,4) &gt; INDEX('Tabela de ingredientes'!$O$1:$V$30, SWITCH(B400, "Gelatos de Leite", 8, "Sorbets", 11, "Gelatos de Leite com Fruta", 14, "Chocolate base água", 17, "Vegano", 20, "Alcoólicos", 23, "Zero", 26, "Gelatos Proteicos", 29, 8), 8)) + IF(B400="Gelatos Proteicos", (ROUND(Q400,4)&lt;'Tabela de ingredientes'!$W$28)+(ROUND(Q400,4)&gt;'Tabela de ingredientes'!$W$29), 0) = 0, "Ok", "Revisar"))</f>
        <v/>
      </c>
    </row>
    <row r="401">
      <c r="A401" s="264"/>
      <c r="B401" s="264" t="s">
        <v>187</v>
      </c>
      <c r="C401" s="264" t="s">
        <v>187</v>
      </c>
      <c r="D401" s="264" t="s">
        <v>187</v>
      </c>
      <c r="E401" s="264" t="s">
        <v>187</v>
      </c>
      <c r="F401" s="264" t="s">
        <v>187</v>
      </c>
      <c r="G401" s="264" t="s">
        <v>187</v>
      </c>
      <c r="H401" s="264" t="s">
        <v>187</v>
      </c>
      <c r="I401" s="264" t="s">
        <v>187</v>
      </c>
      <c r="J401" s="264" t="s">
        <v>187</v>
      </c>
      <c r="K401" s="264" t="s">
        <v>187</v>
      </c>
      <c r="L401" s="264" t="s">
        <v>187</v>
      </c>
      <c r="M401" s="264" t="s">
        <v>187</v>
      </c>
      <c r="N401" s="264" t="s">
        <v>187</v>
      </c>
      <c r="O401" s="264" t="s">
        <v>187</v>
      </c>
      <c r="P401" s="264" t="s">
        <v>187</v>
      </c>
      <c r="Q401" s="264" t="s">
        <v>187</v>
      </c>
      <c r="R401" s="264" t="s">
        <v>187</v>
      </c>
      <c r="S401" s="97" t="str">
        <f t="array" ref="S401">IF(A401="","", IF( (ROUND(I401,4) &lt; INDEX('Tabela de ingredientes'!$O$1:$V$30, SWITCH(B401, "Gelatos de Leite", 7, "Sorbets", 10, "Gelatos de Leite com Fruta", 13, "Chocolate base água", 16, "Vegano", 19, "Alcoólicos", 22, "Zero", 25, "Gelatos Proteicos", 28, 7), 1)) + (ROUND(I401,4) &gt; INDEX('Tabela de ingredientes'!$O$1:$V$30, SWITCH(B401, "Gelatos de Leite", 8, "Sorbets", 11, "Gelatos de Leite com Fruta", 14, "Chocolate base água", 17, "Vegano", 20, "Alcoólicos", 23, "Zero", 26, "Gelatos Proteicos", 29, 8), 1)) + (ROUND(J401,4) &lt; INDEX('Tabela de ingredientes'!$O$1:$V$30, SWITCH(B401, "Gelatos de Leite", 7, "Sorbets", 10, "Gelatos de Leite com Fruta", 13, "Chocolate base água", 16, "Vegano", 19, "Alcoólicos", 22, "Zero", 25, "Gelatos Proteicos", 28, 7), 2)) + (ROUND(J401,4) &gt; INDEX('Tabela de ingredientes'!$O$1:$V$30, SWITCH(B401, "Gelatos de Leite", 8, "Sorbets", 11, "Gelatos de Leite com Fruta", 14, "Chocolate base água", 17, "Vegano", 20, "Alcoólicos", 23, "Zero", 26, "Gelatos Proteicos", 29, 8), 2)) + (ROUND(K401,4) &lt; INDEX('Tabela de ingredientes'!$O$1:$V$30, SWITCH(B401, "Gelatos de Leite", 7, "Sorbets", 10, "Gelatos de Leite com Fruta", 13, "Chocolate base água", 16, "Vegano", 19, "Alcoólicos", 22, "Zero", 25, "Gelatos Proteicos", 28, 7), 3)) + (ROUND(K401,4) &gt; INDEX('Tabela de ingredientes'!$O$1:$V$30, SWITCH(B401, "Gelatos de Leite", 8, "Sorbets", 11, "Gelatos de Leite com Fruta", 14, "Chocolate base água", 17, "Vegano", 20, "Alcoólicos", 23, "Zero", 26, "Gelatos Proteicos", 29, 8), 3)) + (ROUND(L401,4) &lt; INDEX('Tabela de ingredientes'!$O$1:$V$30, SWITCH(B401, "Gelatos de Leite", 7, "Sorbets", 10, "Gelatos de Leite com Fruta", 13, "Chocolate base água", 16, "Vegano", 19, "Alcoólicos", 22, "Zero", 25, "Gelatos Proteicos", 28, 7), 4)) + (ROUND(L401,4) &gt; INDEX('Tabela de ingredientes'!$O$1:$V$30, SWITCH(B401, "Gelatos de Leite", 8, "Sorbets", 11, "Gelatos de Leite com Fruta", 14, "Chocolate base água", 17, "Vegano", 20, "Alcoólicos", 23, "Zero", 26, "Gelatos Proteicos", 29, 8), 4)) + (ROUND(M401,4) &lt; INDEX('Tabela de ingredientes'!$O$1:$V$30, SWITCH(B401, "Gelatos de Leite", 7, "Sorbets", 10, "Gelatos de Leite com Fruta", 13, "Chocolate base água", 16, "Vegano", 19, "Alcoólicos", 22, "Zero", 25, "Gelatos Proteicos", 28, 7), 5)) + (ROUND(M401,4) &gt; INDEX('Tabela de ingredientes'!$O$1:$V$30, SWITCH(B401, "Gelatos de Leite", 8, "Sorbets", 11, "Gelatos de Leite com Fruta", 14, "Chocolate base água", 17, "Vegano", 20, "Alcoólicos", 23, "Zero", 26, "Gelatos Proteicos", 29, 8), 5)) + (ROUND(N401,4) &lt; INDEX('Tabela de ingredientes'!$O$1:$V$30, SWITCH(B401, "Gelatos de Leite", 7, "Sorbets", 10, "Gelatos de Leite com Fruta", 13, "Chocolate base água", 16, "Vegano", 19, "Alcoólicos", 22, "Zero", 25, "Gelatos Proteicos", 28, 7), 6)) + (ROUND(N401,4) &gt; INDEX('Tabela de ingredientes'!$O$1:$V$30, SWITCH(B401, "Gelatos de Leite", 8, "Sorbets", 11, "Gelatos de Leite com Fruta", 14, "Chocolate base água", 17, "Vegano", 20, "Alcoólicos", 23, "Zero", 26, "Gelatos Proteicos", 29, 8), 6)) + (ROUND(O401,4) &lt; INDEX('Tabela de ingredientes'!$O$1:$V$30, SWITCH(B401, "Gelatos de Leite", 7, "Sorbets", 10, "Gelatos de Leite com Fruta", 13, "Chocolate base água", 16, "Vegano", 19, "Alcoólicos", 22, "Zero", 25, "Gelatos Proteicos", 28, 7), 7)) + (ROUND(O401,4) &gt; INDEX('Tabela de ingredientes'!$O$1:$V$30, SWITCH(B401, "Gelatos de Leite", 8, "Sorbets", 11, "Gelatos de Leite com Fruta", 14, "Chocolate base água", 17, "Vegano", 20, "Alcoólicos", 23, "Zero", 26, "Gelatos Proteicos", 29, 8), 7)) + (ROUND(P401,4) &lt; INDEX('Tabela de ingredientes'!$O$1:$V$30, SWITCH(B401, "Gelatos de Leite", 7, "Sorbets", 10, "Gelatos de Leite com Fruta", 13, "Chocolate base água", 16, "Vegano", 19, "Alcoólicos", 22, "Zero", 25, "Gelatos Proteicos", 28, 7), 8)) + (ROUND(P401,4) &gt; INDEX('Tabela de ingredientes'!$O$1:$V$30, SWITCH(B401, "Gelatos de Leite", 8, "Sorbets", 11, "Gelatos de Leite com Fruta", 14, "Chocolate base água", 17, "Vegano", 20, "Alcoólicos", 23, "Zero", 26, "Gelatos Proteicos", 29, 8), 8)) + IF(B401="Gelatos Proteicos", (ROUND(Q401,4)&lt;'Tabela de ingredientes'!$W$28)+(ROUND(Q401,4)&gt;'Tabela de ingredientes'!$W$29), 0) = 0, "Ok", "Revisar"))</f>
        <v/>
      </c>
    </row>
    <row r="402">
      <c r="A402" s="264"/>
      <c r="B402" s="264" t="s">
        <v>187</v>
      </c>
      <c r="C402" s="264" t="s">
        <v>187</v>
      </c>
      <c r="D402" s="264" t="s">
        <v>187</v>
      </c>
      <c r="E402" s="264" t="s">
        <v>187</v>
      </c>
      <c r="F402" s="264" t="s">
        <v>187</v>
      </c>
      <c r="G402" s="264" t="s">
        <v>187</v>
      </c>
      <c r="H402" s="264" t="s">
        <v>187</v>
      </c>
      <c r="I402" s="264" t="s">
        <v>187</v>
      </c>
      <c r="J402" s="264" t="s">
        <v>187</v>
      </c>
      <c r="K402" s="264" t="s">
        <v>187</v>
      </c>
      <c r="L402" s="264" t="s">
        <v>187</v>
      </c>
      <c r="M402" s="264" t="s">
        <v>187</v>
      </c>
      <c r="N402" s="264" t="s">
        <v>187</v>
      </c>
      <c r="O402" s="264" t="s">
        <v>187</v>
      </c>
      <c r="P402" s="264" t="s">
        <v>187</v>
      </c>
      <c r="Q402" s="264" t="s">
        <v>187</v>
      </c>
      <c r="R402" s="264" t="s">
        <v>187</v>
      </c>
      <c r="S402" s="97" t="str">
        <f t="array" ref="S402">IF(A402="","", IF( (ROUND(I402,4) &lt; INDEX('Tabela de ingredientes'!$O$1:$V$30, SWITCH(B402, "Gelatos de Leite", 7, "Sorbets", 10, "Gelatos de Leite com Fruta", 13, "Chocolate base água", 16, "Vegano", 19, "Alcoólicos", 22, "Zero", 25, "Gelatos Proteicos", 28, 7), 1)) + (ROUND(I402,4) &gt; INDEX('Tabela de ingredientes'!$O$1:$V$30, SWITCH(B402, "Gelatos de Leite", 8, "Sorbets", 11, "Gelatos de Leite com Fruta", 14, "Chocolate base água", 17, "Vegano", 20, "Alcoólicos", 23, "Zero", 26, "Gelatos Proteicos", 29, 8), 1)) + (ROUND(J402,4) &lt; INDEX('Tabela de ingredientes'!$O$1:$V$30, SWITCH(B402, "Gelatos de Leite", 7, "Sorbets", 10, "Gelatos de Leite com Fruta", 13, "Chocolate base água", 16, "Vegano", 19, "Alcoólicos", 22, "Zero", 25, "Gelatos Proteicos", 28, 7), 2)) + (ROUND(J402,4) &gt; INDEX('Tabela de ingredientes'!$O$1:$V$30, SWITCH(B402, "Gelatos de Leite", 8, "Sorbets", 11, "Gelatos de Leite com Fruta", 14, "Chocolate base água", 17, "Vegano", 20, "Alcoólicos", 23, "Zero", 26, "Gelatos Proteicos", 29, 8), 2)) + (ROUND(K402,4) &lt; INDEX('Tabela de ingredientes'!$O$1:$V$30, SWITCH(B402, "Gelatos de Leite", 7, "Sorbets", 10, "Gelatos de Leite com Fruta", 13, "Chocolate base água", 16, "Vegano", 19, "Alcoólicos", 22, "Zero", 25, "Gelatos Proteicos", 28, 7), 3)) + (ROUND(K402,4) &gt; INDEX('Tabela de ingredientes'!$O$1:$V$30, SWITCH(B402, "Gelatos de Leite", 8, "Sorbets", 11, "Gelatos de Leite com Fruta", 14, "Chocolate base água", 17, "Vegano", 20, "Alcoólicos", 23, "Zero", 26, "Gelatos Proteicos", 29, 8), 3)) + (ROUND(L402,4) &lt; INDEX('Tabela de ingredientes'!$O$1:$V$30, SWITCH(B402, "Gelatos de Leite", 7, "Sorbets", 10, "Gelatos de Leite com Fruta", 13, "Chocolate base água", 16, "Vegano", 19, "Alcoólicos", 22, "Zero", 25, "Gelatos Proteicos", 28, 7), 4)) + (ROUND(L402,4) &gt; INDEX('Tabela de ingredientes'!$O$1:$V$30, SWITCH(B402, "Gelatos de Leite", 8, "Sorbets", 11, "Gelatos de Leite com Fruta", 14, "Chocolate base água", 17, "Vegano", 20, "Alcoólicos", 23, "Zero", 26, "Gelatos Proteicos", 29, 8), 4)) + (ROUND(M402,4) &lt; INDEX('Tabela de ingredientes'!$O$1:$V$30, SWITCH(B402, "Gelatos de Leite", 7, "Sorbets", 10, "Gelatos de Leite com Fruta", 13, "Chocolate base água", 16, "Vegano", 19, "Alcoólicos", 22, "Zero", 25, "Gelatos Proteicos", 28, 7), 5)) + (ROUND(M402,4) &gt; INDEX('Tabela de ingredientes'!$O$1:$V$30, SWITCH(B402, "Gelatos de Leite", 8, "Sorbets", 11, "Gelatos de Leite com Fruta", 14, "Chocolate base água", 17, "Vegano", 20, "Alcoólicos", 23, "Zero", 26, "Gelatos Proteicos", 29, 8), 5)) + (ROUND(N402,4) &lt; INDEX('Tabela de ingredientes'!$O$1:$V$30, SWITCH(B402, "Gelatos de Leite", 7, "Sorbets", 10, "Gelatos de Leite com Fruta", 13, "Chocolate base água", 16, "Vegano", 19, "Alcoólicos", 22, "Zero", 25, "Gelatos Proteicos", 28, 7), 6)) + (ROUND(N402,4) &gt; INDEX('Tabela de ingredientes'!$O$1:$V$30, SWITCH(B402, "Gelatos de Leite", 8, "Sorbets", 11, "Gelatos de Leite com Fruta", 14, "Chocolate base água", 17, "Vegano", 20, "Alcoólicos", 23, "Zero", 26, "Gelatos Proteicos", 29, 8), 6)) + (ROUND(O402,4) &lt; INDEX('Tabela de ingredientes'!$O$1:$V$30, SWITCH(B402, "Gelatos de Leite", 7, "Sorbets", 10, "Gelatos de Leite com Fruta", 13, "Chocolate base água", 16, "Vegano", 19, "Alcoólicos", 22, "Zero", 25, "Gelatos Proteicos", 28, 7), 7)) + (ROUND(O402,4) &gt; INDEX('Tabela de ingredientes'!$O$1:$V$30, SWITCH(B402, "Gelatos de Leite", 8, "Sorbets", 11, "Gelatos de Leite com Fruta", 14, "Chocolate base água", 17, "Vegano", 20, "Alcoólicos", 23, "Zero", 26, "Gelatos Proteicos", 29, 8), 7)) + (ROUND(P402,4) &lt; INDEX('Tabela de ingredientes'!$O$1:$V$30, SWITCH(B402, "Gelatos de Leite", 7, "Sorbets", 10, "Gelatos de Leite com Fruta", 13, "Chocolate base água", 16, "Vegano", 19, "Alcoólicos", 22, "Zero", 25, "Gelatos Proteicos", 28, 7), 8)) + (ROUND(P402,4) &gt; INDEX('Tabela de ingredientes'!$O$1:$V$30, SWITCH(B402, "Gelatos de Leite", 8, "Sorbets", 11, "Gelatos de Leite com Fruta", 14, "Chocolate base água", 17, "Vegano", 20, "Alcoólicos", 23, "Zero", 26, "Gelatos Proteicos", 29, 8), 8)) + IF(B402="Gelatos Proteicos", (ROUND(Q402,4)&lt;'Tabela de ingredientes'!$W$28)+(ROUND(Q402,4)&gt;'Tabela de ingredientes'!$W$29), 0) = 0, "Ok", "Revisar"))</f>
        <v/>
      </c>
    </row>
    <row r="403">
      <c r="A403" s="264"/>
      <c r="B403" s="264" t="s">
        <v>187</v>
      </c>
      <c r="C403" s="264" t="s">
        <v>187</v>
      </c>
      <c r="D403" s="264" t="s">
        <v>187</v>
      </c>
      <c r="E403" s="264" t="s">
        <v>187</v>
      </c>
      <c r="F403" s="264" t="s">
        <v>187</v>
      </c>
      <c r="G403" s="264" t="s">
        <v>187</v>
      </c>
      <c r="H403" s="264" t="s">
        <v>187</v>
      </c>
      <c r="I403" s="264" t="s">
        <v>187</v>
      </c>
      <c r="J403" s="264" t="s">
        <v>187</v>
      </c>
      <c r="K403" s="264" t="s">
        <v>187</v>
      </c>
      <c r="L403" s="264" t="s">
        <v>187</v>
      </c>
      <c r="M403" s="264" t="s">
        <v>187</v>
      </c>
      <c r="N403" s="264" t="s">
        <v>187</v>
      </c>
      <c r="O403" s="264" t="s">
        <v>187</v>
      </c>
      <c r="P403" s="264" t="s">
        <v>187</v>
      </c>
      <c r="Q403" s="264" t="s">
        <v>187</v>
      </c>
      <c r="R403" s="264" t="s">
        <v>187</v>
      </c>
      <c r="S403" s="97" t="str">
        <f t="array" ref="S403">IF(A403="","", IF( (ROUND(I403,4) &lt; INDEX('Tabela de ingredientes'!$O$1:$V$30, SWITCH(B403, "Gelatos de Leite", 7, "Sorbets", 10, "Gelatos de Leite com Fruta", 13, "Chocolate base água", 16, "Vegano", 19, "Alcoólicos", 22, "Zero", 25, "Gelatos Proteicos", 28, 7), 1)) + (ROUND(I403,4) &gt; INDEX('Tabela de ingredientes'!$O$1:$V$30, SWITCH(B403, "Gelatos de Leite", 8, "Sorbets", 11, "Gelatos de Leite com Fruta", 14, "Chocolate base água", 17, "Vegano", 20, "Alcoólicos", 23, "Zero", 26, "Gelatos Proteicos", 29, 8), 1)) + (ROUND(J403,4) &lt; INDEX('Tabela de ingredientes'!$O$1:$V$30, SWITCH(B403, "Gelatos de Leite", 7, "Sorbets", 10, "Gelatos de Leite com Fruta", 13, "Chocolate base água", 16, "Vegano", 19, "Alcoólicos", 22, "Zero", 25, "Gelatos Proteicos", 28, 7), 2)) + (ROUND(J403,4) &gt; INDEX('Tabela de ingredientes'!$O$1:$V$30, SWITCH(B403, "Gelatos de Leite", 8, "Sorbets", 11, "Gelatos de Leite com Fruta", 14, "Chocolate base água", 17, "Vegano", 20, "Alcoólicos", 23, "Zero", 26, "Gelatos Proteicos", 29, 8), 2)) + (ROUND(K403,4) &lt; INDEX('Tabela de ingredientes'!$O$1:$V$30, SWITCH(B403, "Gelatos de Leite", 7, "Sorbets", 10, "Gelatos de Leite com Fruta", 13, "Chocolate base água", 16, "Vegano", 19, "Alcoólicos", 22, "Zero", 25, "Gelatos Proteicos", 28, 7), 3)) + (ROUND(K403,4) &gt; INDEX('Tabela de ingredientes'!$O$1:$V$30, SWITCH(B403, "Gelatos de Leite", 8, "Sorbets", 11, "Gelatos de Leite com Fruta", 14, "Chocolate base água", 17, "Vegano", 20, "Alcoólicos", 23, "Zero", 26, "Gelatos Proteicos", 29, 8), 3)) + (ROUND(L403,4) &lt; INDEX('Tabela de ingredientes'!$O$1:$V$30, SWITCH(B403, "Gelatos de Leite", 7, "Sorbets", 10, "Gelatos de Leite com Fruta", 13, "Chocolate base água", 16, "Vegano", 19, "Alcoólicos", 22, "Zero", 25, "Gelatos Proteicos", 28, 7), 4)) + (ROUND(L403,4) &gt; INDEX('Tabela de ingredientes'!$O$1:$V$30, SWITCH(B403, "Gelatos de Leite", 8, "Sorbets", 11, "Gelatos de Leite com Fruta", 14, "Chocolate base água", 17, "Vegano", 20, "Alcoólicos", 23, "Zero", 26, "Gelatos Proteicos", 29, 8), 4)) + (ROUND(M403,4) &lt; INDEX('Tabela de ingredientes'!$O$1:$V$30, SWITCH(B403, "Gelatos de Leite", 7, "Sorbets", 10, "Gelatos de Leite com Fruta", 13, "Chocolate base água", 16, "Vegano", 19, "Alcoólicos", 22, "Zero", 25, "Gelatos Proteicos", 28, 7), 5)) + (ROUND(M403,4) &gt; INDEX('Tabela de ingredientes'!$O$1:$V$30, SWITCH(B403, "Gelatos de Leite", 8, "Sorbets", 11, "Gelatos de Leite com Fruta", 14, "Chocolate base água", 17, "Vegano", 20, "Alcoólicos", 23, "Zero", 26, "Gelatos Proteicos", 29, 8), 5)) + (ROUND(N403,4) &lt; INDEX('Tabela de ingredientes'!$O$1:$V$30, SWITCH(B403, "Gelatos de Leite", 7, "Sorbets", 10, "Gelatos de Leite com Fruta", 13, "Chocolate base água", 16, "Vegano", 19, "Alcoólicos", 22, "Zero", 25, "Gelatos Proteicos", 28, 7), 6)) + (ROUND(N403,4) &gt; INDEX('Tabela de ingredientes'!$O$1:$V$30, SWITCH(B403, "Gelatos de Leite", 8, "Sorbets", 11, "Gelatos de Leite com Fruta", 14, "Chocolate base água", 17, "Vegano", 20, "Alcoólicos", 23, "Zero", 26, "Gelatos Proteicos", 29, 8), 6)) + (ROUND(O403,4) &lt; INDEX('Tabela de ingredientes'!$O$1:$V$30, SWITCH(B403, "Gelatos de Leite", 7, "Sorbets", 10, "Gelatos de Leite com Fruta", 13, "Chocolate base água", 16, "Vegano", 19, "Alcoólicos", 22, "Zero", 25, "Gelatos Proteicos", 28, 7), 7)) + (ROUND(O403,4) &gt; INDEX('Tabela de ingredientes'!$O$1:$V$30, SWITCH(B403, "Gelatos de Leite", 8, "Sorbets", 11, "Gelatos de Leite com Fruta", 14, "Chocolate base água", 17, "Vegano", 20, "Alcoólicos", 23, "Zero", 26, "Gelatos Proteicos", 29, 8), 7)) + (ROUND(P403,4) &lt; INDEX('Tabela de ingredientes'!$O$1:$V$30, SWITCH(B403, "Gelatos de Leite", 7, "Sorbets", 10, "Gelatos de Leite com Fruta", 13, "Chocolate base água", 16, "Vegano", 19, "Alcoólicos", 22, "Zero", 25, "Gelatos Proteicos", 28, 7), 8)) + (ROUND(P403,4) &gt; INDEX('Tabela de ingredientes'!$O$1:$V$30, SWITCH(B403, "Gelatos de Leite", 8, "Sorbets", 11, "Gelatos de Leite com Fruta", 14, "Chocolate base água", 17, "Vegano", 20, "Alcoólicos", 23, "Zero", 26, "Gelatos Proteicos", 29, 8), 8)) + IF(B403="Gelatos Proteicos", (ROUND(Q403,4)&lt;'Tabela de ingredientes'!$W$28)+(ROUND(Q403,4)&gt;'Tabela de ingredientes'!$W$29), 0) = 0, "Ok", "Revisar"))</f>
        <v/>
      </c>
    </row>
    <row r="404">
      <c r="A404" s="264"/>
      <c r="B404" s="264" t="s">
        <v>187</v>
      </c>
      <c r="C404" s="264" t="s">
        <v>187</v>
      </c>
      <c r="D404" s="264" t="s">
        <v>187</v>
      </c>
      <c r="E404" s="264" t="s">
        <v>187</v>
      </c>
      <c r="F404" s="264" t="s">
        <v>187</v>
      </c>
      <c r="G404" s="264" t="s">
        <v>187</v>
      </c>
      <c r="H404" s="264" t="s">
        <v>187</v>
      </c>
      <c r="I404" s="264" t="s">
        <v>187</v>
      </c>
      <c r="J404" s="264" t="s">
        <v>187</v>
      </c>
      <c r="K404" s="264" t="s">
        <v>187</v>
      </c>
      <c r="L404" s="264" t="s">
        <v>187</v>
      </c>
      <c r="M404" s="264" t="s">
        <v>187</v>
      </c>
      <c r="N404" s="264" t="s">
        <v>187</v>
      </c>
      <c r="O404" s="264" t="s">
        <v>187</v>
      </c>
      <c r="P404" s="264" t="s">
        <v>187</v>
      </c>
      <c r="Q404" s="264" t="s">
        <v>187</v>
      </c>
      <c r="R404" s="264" t="s">
        <v>187</v>
      </c>
      <c r="S404" s="97" t="str">
        <f t="array" ref="S404">IF(A404="","", IF( (ROUND(I404,4) &lt; INDEX('Tabela de ingredientes'!$O$1:$V$30, SWITCH(B404, "Gelatos de Leite", 7, "Sorbets", 10, "Gelatos de Leite com Fruta", 13, "Chocolate base água", 16, "Vegano", 19, "Alcoólicos", 22, "Zero", 25, "Gelatos Proteicos", 28, 7), 1)) + (ROUND(I404,4) &gt; INDEX('Tabela de ingredientes'!$O$1:$V$30, SWITCH(B404, "Gelatos de Leite", 8, "Sorbets", 11, "Gelatos de Leite com Fruta", 14, "Chocolate base água", 17, "Vegano", 20, "Alcoólicos", 23, "Zero", 26, "Gelatos Proteicos", 29, 8), 1)) + (ROUND(J404,4) &lt; INDEX('Tabela de ingredientes'!$O$1:$V$30, SWITCH(B404, "Gelatos de Leite", 7, "Sorbets", 10, "Gelatos de Leite com Fruta", 13, "Chocolate base água", 16, "Vegano", 19, "Alcoólicos", 22, "Zero", 25, "Gelatos Proteicos", 28, 7), 2)) + (ROUND(J404,4) &gt; INDEX('Tabela de ingredientes'!$O$1:$V$30, SWITCH(B404, "Gelatos de Leite", 8, "Sorbets", 11, "Gelatos de Leite com Fruta", 14, "Chocolate base água", 17, "Vegano", 20, "Alcoólicos", 23, "Zero", 26, "Gelatos Proteicos", 29, 8), 2)) + (ROUND(K404,4) &lt; INDEX('Tabela de ingredientes'!$O$1:$V$30, SWITCH(B404, "Gelatos de Leite", 7, "Sorbets", 10, "Gelatos de Leite com Fruta", 13, "Chocolate base água", 16, "Vegano", 19, "Alcoólicos", 22, "Zero", 25, "Gelatos Proteicos", 28, 7), 3)) + (ROUND(K404,4) &gt; INDEX('Tabela de ingredientes'!$O$1:$V$30, SWITCH(B404, "Gelatos de Leite", 8, "Sorbets", 11, "Gelatos de Leite com Fruta", 14, "Chocolate base água", 17, "Vegano", 20, "Alcoólicos", 23, "Zero", 26, "Gelatos Proteicos", 29, 8), 3)) + (ROUND(L404,4) &lt; INDEX('Tabela de ingredientes'!$O$1:$V$30, SWITCH(B404, "Gelatos de Leite", 7, "Sorbets", 10, "Gelatos de Leite com Fruta", 13, "Chocolate base água", 16, "Vegano", 19, "Alcoólicos", 22, "Zero", 25, "Gelatos Proteicos", 28, 7), 4)) + (ROUND(L404,4) &gt; INDEX('Tabela de ingredientes'!$O$1:$V$30, SWITCH(B404, "Gelatos de Leite", 8, "Sorbets", 11, "Gelatos de Leite com Fruta", 14, "Chocolate base água", 17, "Vegano", 20, "Alcoólicos", 23, "Zero", 26, "Gelatos Proteicos", 29, 8), 4)) + (ROUND(M404,4) &lt; INDEX('Tabela de ingredientes'!$O$1:$V$30, SWITCH(B404, "Gelatos de Leite", 7, "Sorbets", 10, "Gelatos de Leite com Fruta", 13, "Chocolate base água", 16, "Vegano", 19, "Alcoólicos", 22, "Zero", 25, "Gelatos Proteicos", 28, 7), 5)) + (ROUND(M404,4) &gt; INDEX('Tabela de ingredientes'!$O$1:$V$30, SWITCH(B404, "Gelatos de Leite", 8, "Sorbets", 11, "Gelatos de Leite com Fruta", 14, "Chocolate base água", 17, "Vegano", 20, "Alcoólicos", 23, "Zero", 26, "Gelatos Proteicos", 29, 8), 5)) + (ROUND(N404,4) &lt; INDEX('Tabela de ingredientes'!$O$1:$V$30, SWITCH(B404, "Gelatos de Leite", 7, "Sorbets", 10, "Gelatos de Leite com Fruta", 13, "Chocolate base água", 16, "Vegano", 19, "Alcoólicos", 22, "Zero", 25, "Gelatos Proteicos", 28, 7), 6)) + (ROUND(N404,4) &gt; INDEX('Tabela de ingredientes'!$O$1:$V$30, SWITCH(B404, "Gelatos de Leite", 8, "Sorbets", 11, "Gelatos de Leite com Fruta", 14, "Chocolate base água", 17, "Vegano", 20, "Alcoólicos", 23, "Zero", 26, "Gelatos Proteicos", 29, 8), 6)) + (ROUND(O404,4) &lt; INDEX('Tabela de ingredientes'!$O$1:$V$30, SWITCH(B404, "Gelatos de Leite", 7, "Sorbets", 10, "Gelatos de Leite com Fruta", 13, "Chocolate base água", 16, "Vegano", 19, "Alcoólicos", 22, "Zero", 25, "Gelatos Proteicos", 28, 7), 7)) + (ROUND(O404,4) &gt; INDEX('Tabela de ingredientes'!$O$1:$V$30, SWITCH(B404, "Gelatos de Leite", 8, "Sorbets", 11, "Gelatos de Leite com Fruta", 14, "Chocolate base água", 17, "Vegano", 20, "Alcoólicos", 23, "Zero", 26, "Gelatos Proteicos", 29, 8), 7)) + (ROUND(P404,4) &lt; INDEX('Tabela de ingredientes'!$O$1:$V$30, SWITCH(B404, "Gelatos de Leite", 7, "Sorbets", 10, "Gelatos de Leite com Fruta", 13, "Chocolate base água", 16, "Vegano", 19, "Alcoólicos", 22, "Zero", 25, "Gelatos Proteicos", 28, 7), 8)) + (ROUND(P404,4) &gt; INDEX('Tabela de ingredientes'!$O$1:$V$30, SWITCH(B404, "Gelatos de Leite", 8, "Sorbets", 11, "Gelatos de Leite com Fruta", 14, "Chocolate base água", 17, "Vegano", 20, "Alcoólicos", 23, "Zero", 26, "Gelatos Proteicos", 29, 8), 8)) + IF(B404="Gelatos Proteicos", (ROUND(Q404,4)&lt;'Tabela de ingredientes'!$W$28)+(ROUND(Q404,4)&gt;'Tabela de ingredientes'!$W$29), 0) = 0, "Ok", "Revisar"))</f>
        <v/>
      </c>
    </row>
    <row r="405">
      <c r="A405" s="264"/>
      <c r="B405" s="264" t="s">
        <v>187</v>
      </c>
      <c r="C405" s="264" t="s">
        <v>187</v>
      </c>
      <c r="D405" s="264" t="s">
        <v>187</v>
      </c>
      <c r="E405" s="264" t="s">
        <v>187</v>
      </c>
      <c r="F405" s="264" t="s">
        <v>187</v>
      </c>
      <c r="G405" s="264" t="s">
        <v>187</v>
      </c>
      <c r="H405" s="264" t="s">
        <v>187</v>
      </c>
      <c r="I405" s="264" t="s">
        <v>187</v>
      </c>
      <c r="J405" s="264" t="s">
        <v>187</v>
      </c>
      <c r="K405" s="264" t="s">
        <v>187</v>
      </c>
      <c r="L405" s="264" t="s">
        <v>187</v>
      </c>
      <c r="M405" s="264" t="s">
        <v>187</v>
      </c>
      <c r="N405" s="264" t="s">
        <v>187</v>
      </c>
      <c r="O405" s="264" t="s">
        <v>187</v>
      </c>
      <c r="P405" s="264" t="s">
        <v>187</v>
      </c>
      <c r="Q405" s="264" t="s">
        <v>187</v>
      </c>
      <c r="R405" s="264" t="s">
        <v>187</v>
      </c>
      <c r="S405" s="97" t="str">
        <f t="array" ref="S405">IF(A405="","", IF( (ROUND(I405,4) &lt; INDEX('Tabela de ingredientes'!$O$1:$V$30, SWITCH(B405, "Gelatos de Leite", 7, "Sorbets", 10, "Gelatos de Leite com Fruta", 13, "Chocolate base água", 16, "Vegano", 19, "Alcoólicos", 22, "Zero", 25, "Gelatos Proteicos", 28, 7), 1)) + (ROUND(I405,4) &gt; INDEX('Tabela de ingredientes'!$O$1:$V$30, SWITCH(B405, "Gelatos de Leite", 8, "Sorbets", 11, "Gelatos de Leite com Fruta", 14, "Chocolate base água", 17, "Vegano", 20, "Alcoólicos", 23, "Zero", 26, "Gelatos Proteicos", 29, 8), 1)) + (ROUND(J405,4) &lt; INDEX('Tabela de ingredientes'!$O$1:$V$30, SWITCH(B405, "Gelatos de Leite", 7, "Sorbets", 10, "Gelatos de Leite com Fruta", 13, "Chocolate base água", 16, "Vegano", 19, "Alcoólicos", 22, "Zero", 25, "Gelatos Proteicos", 28, 7), 2)) + (ROUND(J405,4) &gt; INDEX('Tabela de ingredientes'!$O$1:$V$30, SWITCH(B405, "Gelatos de Leite", 8, "Sorbets", 11, "Gelatos de Leite com Fruta", 14, "Chocolate base água", 17, "Vegano", 20, "Alcoólicos", 23, "Zero", 26, "Gelatos Proteicos", 29, 8), 2)) + (ROUND(K405,4) &lt; INDEX('Tabela de ingredientes'!$O$1:$V$30, SWITCH(B405, "Gelatos de Leite", 7, "Sorbets", 10, "Gelatos de Leite com Fruta", 13, "Chocolate base água", 16, "Vegano", 19, "Alcoólicos", 22, "Zero", 25, "Gelatos Proteicos", 28, 7), 3)) + (ROUND(K405,4) &gt; INDEX('Tabela de ingredientes'!$O$1:$V$30, SWITCH(B405, "Gelatos de Leite", 8, "Sorbets", 11, "Gelatos de Leite com Fruta", 14, "Chocolate base água", 17, "Vegano", 20, "Alcoólicos", 23, "Zero", 26, "Gelatos Proteicos", 29, 8), 3)) + (ROUND(L405,4) &lt; INDEX('Tabela de ingredientes'!$O$1:$V$30, SWITCH(B405, "Gelatos de Leite", 7, "Sorbets", 10, "Gelatos de Leite com Fruta", 13, "Chocolate base água", 16, "Vegano", 19, "Alcoólicos", 22, "Zero", 25, "Gelatos Proteicos", 28, 7), 4)) + (ROUND(L405,4) &gt; INDEX('Tabela de ingredientes'!$O$1:$V$30, SWITCH(B405, "Gelatos de Leite", 8, "Sorbets", 11, "Gelatos de Leite com Fruta", 14, "Chocolate base água", 17, "Vegano", 20, "Alcoólicos", 23, "Zero", 26, "Gelatos Proteicos", 29, 8), 4)) + (ROUND(M405,4) &lt; INDEX('Tabela de ingredientes'!$O$1:$V$30, SWITCH(B405, "Gelatos de Leite", 7, "Sorbets", 10, "Gelatos de Leite com Fruta", 13, "Chocolate base água", 16, "Vegano", 19, "Alcoólicos", 22, "Zero", 25, "Gelatos Proteicos", 28, 7), 5)) + (ROUND(M405,4) &gt; INDEX('Tabela de ingredientes'!$O$1:$V$30, SWITCH(B405, "Gelatos de Leite", 8, "Sorbets", 11, "Gelatos de Leite com Fruta", 14, "Chocolate base água", 17, "Vegano", 20, "Alcoólicos", 23, "Zero", 26, "Gelatos Proteicos", 29, 8), 5)) + (ROUND(N405,4) &lt; INDEX('Tabela de ingredientes'!$O$1:$V$30, SWITCH(B405, "Gelatos de Leite", 7, "Sorbets", 10, "Gelatos de Leite com Fruta", 13, "Chocolate base água", 16, "Vegano", 19, "Alcoólicos", 22, "Zero", 25, "Gelatos Proteicos", 28, 7), 6)) + (ROUND(N405,4) &gt; INDEX('Tabela de ingredientes'!$O$1:$V$30, SWITCH(B405, "Gelatos de Leite", 8, "Sorbets", 11, "Gelatos de Leite com Fruta", 14, "Chocolate base água", 17, "Vegano", 20, "Alcoólicos", 23, "Zero", 26, "Gelatos Proteicos", 29, 8), 6)) + (ROUND(O405,4) &lt; INDEX('Tabela de ingredientes'!$O$1:$V$30, SWITCH(B405, "Gelatos de Leite", 7, "Sorbets", 10, "Gelatos de Leite com Fruta", 13, "Chocolate base água", 16, "Vegano", 19, "Alcoólicos", 22, "Zero", 25, "Gelatos Proteicos", 28, 7), 7)) + (ROUND(O405,4) &gt; INDEX('Tabela de ingredientes'!$O$1:$V$30, SWITCH(B405, "Gelatos de Leite", 8, "Sorbets", 11, "Gelatos de Leite com Fruta", 14, "Chocolate base água", 17, "Vegano", 20, "Alcoólicos", 23, "Zero", 26, "Gelatos Proteicos", 29, 8), 7)) + (ROUND(P405,4) &lt; INDEX('Tabela de ingredientes'!$O$1:$V$30, SWITCH(B405, "Gelatos de Leite", 7, "Sorbets", 10, "Gelatos de Leite com Fruta", 13, "Chocolate base água", 16, "Vegano", 19, "Alcoólicos", 22, "Zero", 25, "Gelatos Proteicos", 28, 7), 8)) + (ROUND(P405,4) &gt; INDEX('Tabela de ingredientes'!$O$1:$V$30, SWITCH(B405, "Gelatos de Leite", 8, "Sorbets", 11, "Gelatos de Leite com Fruta", 14, "Chocolate base água", 17, "Vegano", 20, "Alcoólicos", 23, "Zero", 26, "Gelatos Proteicos", 29, 8), 8)) + IF(B405="Gelatos Proteicos", (ROUND(Q405,4)&lt;'Tabela de ingredientes'!$W$28)+(ROUND(Q405,4)&gt;'Tabela de ingredientes'!$W$29), 0) = 0, "Ok", "Revisar"))</f>
        <v/>
      </c>
    </row>
    <row r="406">
      <c r="A406" s="264"/>
      <c r="B406" s="264" t="s">
        <v>187</v>
      </c>
      <c r="C406" s="264" t="s">
        <v>187</v>
      </c>
      <c r="D406" s="264" t="s">
        <v>187</v>
      </c>
      <c r="E406" s="264" t="s">
        <v>187</v>
      </c>
      <c r="F406" s="264" t="s">
        <v>187</v>
      </c>
      <c r="G406" s="264" t="s">
        <v>187</v>
      </c>
      <c r="H406" s="264" t="s">
        <v>187</v>
      </c>
      <c r="I406" s="264" t="s">
        <v>187</v>
      </c>
      <c r="J406" s="264" t="s">
        <v>187</v>
      </c>
      <c r="K406" s="264" t="s">
        <v>187</v>
      </c>
      <c r="L406" s="264" t="s">
        <v>187</v>
      </c>
      <c r="M406" s="264" t="s">
        <v>187</v>
      </c>
      <c r="N406" s="264" t="s">
        <v>187</v>
      </c>
      <c r="O406" s="264" t="s">
        <v>187</v>
      </c>
      <c r="P406" s="264" t="s">
        <v>187</v>
      </c>
      <c r="Q406" s="264" t="s">
        <v>187</v>
      </c>
      <c r="R406" s="264" t="s">
        <v>187</v>
      </c>
      <c r="S406" s="97" t="str">
        <f t="array" ref="S406">IF(A406="","", IF( (ROUND(I406,4) &lt; INDEX('Tabela de ingredientes'!$O$1:$V$30, SWITCH(B406, "Gelatos de Leite", 7, "Sorbets", 10, "Gelatos de Leite com Fruta", 13, "Chocolate base água", 16, "Vegano", 19, "Alcoólicos", 22, "Zero", 25, "Gelatos Proteicos", 28, 7), 1)) + (ROUND(I406,4) &gt; INDEX('Tabela de ingredientes'!$O$1:$V$30, SWITCH(B406, "Gelatos de Leite", 8, "Sorbets", 11, "Gelatos de Leite com Fruta", 14, "Chocolate base água", 17, "Vegano", 20, "Alcoólicos", 23, "Zero", 26, "Gelatos Proteicos", 29, 8), 1)) + (ROUND(J406,4) &lt; INDEX('Tabela de ingredientes'!$O$1:$V$30, SWITCH(B406, "Gelatos de Leite", 7, "Sorbets", 10, "Gelatos de Leite com Fruta", 13, "Chocolate base água", 16, "Vegano", 19, "Alcoólicos", 22, "Zero", 25, "Gelatos Proteicos", 28, 7), 2)) + (ROUND(J406,4) &gt; INDEX('Tabela de ingredientes'!$O$1:$V$30, SWITCH(B406, "Gelatos de Leite", 8, "Sorbets", 11, "Gelatos de Leite com Fruta", 14, "Chocolate base água", 17, "Vegano", 20, "Alcoólicos", 23, "Zero", 26, "Gelatos Proteicos", 29, 8), 2)) + (ROUND(K406,4) &lt; INDEX('Tabela de ingredientes'!$O$1:$V$30, SWITCH(B406, "Gelatos de Leite", 7, "Sorbets", 10, "Gelatos de Leite com Fruta", 13, "Chocolate base água", 16, "Vegano", 19, "Alcoólicos", 22, "Zero", 25, "Gelatos Proteicos", 28, 7), 3)) + (ROUND(K406,4) &gt; INDEX('Tabela de ingredientes'!$O$1:$V$30, SWITCH(B406, "Gelatos de Leite", 8, "Sorbets", 11, "Gelatos de Leite com Fruta", 14, "Chocolate base água", 17, "Vegano", 20, "Alcoólicos", 23, "Zero", 26, "Gelatos Proteicos", 29, 8), 3)) + (ROUND(L406,4) &lt; INDEX('Tabela de ingredientes'!$O$1:$V$30, SWITCH(B406, "Gelatos de Leite", 7, "Sorbets", 10, "Gelatos de Leite com Fruta", 13, "Chocolate base água", 16, "Vegano", 19, "Alcoólicos", 22, "Zero", 25, "Gelatos Proteicos", 28, 7), 4)) + (ROUND(L406,4) &gt; INDEX('Tabela de ingredientes'!$O$1:$V$30, SWITCH(B406, "Gelatos de Leite", 8, "Sorbets", 11, "Gelatos de Leite com Fruta", 14, "Chocolate base água", 17, "Vegano", 20, "Alcoólicos", 23, "Zero", 26, "Gelatos Proteicos", 29, 8), 4)) + (ROUND(M406,4) &lt; INDEX('Tabela de ingredientes'!$O$1:$V$30, SWITCH(B406, "Gelatos de Leite", 7, "Sorbets", 10, "Gelatos de Leite com Fruta", 13, "Chocolate base água", 16, "Vegano", 19, "Alcoólicos", 22, "Zero", 25, "Gelatos Proteicos", 28, 7), 5)) + (ROUND(M406,4) &gt; INDEX('Tabela de ingredientes'!$O$1:$V$30, SWITCH(B406, "Gelatos de Leite", 8, "Sorbets", 11, "Gelatos de Leite com Fruta", 14, "Chocolate base água", 17, "Vegano", 20, "Alcoólicos", 23, "Zero", 26, "Gelatos Proteicos", 29, 8), 5)) + (ROUND(N406,4) &lt; INDEX('Tabela de ingredientes'!$O$1:$V$30, SWITCH(B406, "Gelatos de Leite", 7, "Sorbets", 10, "Gelatos de Leite com Fruta", 13, "Chocolate base água", 16, "Vegano", 19, "Alcoólicos", 22, "Zero", 25, "Gelatos Proteicos", 28, 7), 6)) + (ROUND(N406,4) &gt; INDEX('Tabela de ingredientes'!$O$1:$V$30, SWITCH(B406, "Gelatos de Leite", 8, "Sorbets", 11, "Gelatos de Leite com Fruta", 14, "Chocolate base água", 17, "Vegano", 20, "Alcoólicos", 23, "Zero", 26, "Gelatos Proteicos", 29, 8), 6)) + (ROUND(O406,4) &lt; INDEX('Tabela de ingredientes'!$O$1:$V$30, SWITCH(B406, "Gelatos de Leite", 7, "Sorbets", 10, "Gelatos de Leite com Fruta", 13, "Chocolate base água", 16, "Vegano", 19, "Alcoólicos", 22, "Zero", 25, "Gelatos Proteicos", 28, 7), 7)) + (ROUND(O406,4) &gt; INDEX('Tabela de ingredientes'!$O$1:$V$30, SWITCH(B406, "Gelatos de Leite", 8, "Sorbets", 11, "Gelatos de Leite com Fruta", 14, "Chocolate base água", 17, "Vegano", 20, "Alcoólicos", 23, "Zero", 26, "Gelatos Proteicos", 29, 8), 7)) + (ROUND(P406,4) &lt; INDEX('Tabela de ingredientes'!$O$1:$V$30, SWITCH(B406, "Gelatos de Leite", 7, "Sorbets", 10, "Gelatos de Leite com Fruta", 13, "Chocolate base água", 16, "Vegano", 19, "Alcoólicos", 22, "Zero", 25, "Gelatos Proteicos", 28, 7), 8)) + (ROUND(P406,4) &gt; INDEX('Tabela de ingredientes'!$O$1:$V$30, SWITCH(B406, "Gelatos de Leite", 8, "Sorbets", 11, "Gelatos de Leite com Fruta", 14, "Chocolate base água", 17, "Vegano", 20, "Alcoólicos", 23, "Zero", 26, "Gelatos Proteicos", 29, 8), 8)) + IF(B406="Gelatos Proteicos", (ROUND(Q406,4)&lt;'Tabela de ingredientes'!$W$28)+(ROUND(Q406,4)&gt;'Tabela de ingredientes'!$W$29), 0) = 0, "Ok", "Revisar"))</f>
        <v/>
      </c>
    </row>
    <row r="407">
      <c r="A407" s="264"/>
      <c r="B407" s="264" t="s">
        <v>187</v>
      </c>
      <c r="C407" s="264" t="s">
        <v>187</v>
      </c>
      <c r="D407" s="264" t="s">
        <v>187</v>
      </c>
      <c r="E407" s="264" t="s">
        <v>187</v>
      </c>
      <c r="F407" s="264" t="s">
        <v>187</v>
      </c>
      <c r="G407" s="264" t="s">
        <v>187</v>
      </c>
      <c r="H407" s="264" t="s">
        <v>187</v>
      </c>
      <c r="I407" s="264" t="s">
        <v>187</v>
      </c>
      <c r="J407" s="264" t="s">
        <v>187</v>
      </c>
      <c r="K407" s="264" t="s">
        <v>187</v>
      </c>
      <c r="L407" s="264" t="s">
        <v>187</v>
      </c>
      <c r="M407" s="264" t="s">
        <v>187</v>
      </c>
      <c r="N407" s="264" t="s">
        <v>187</v>
      </c>
      <c r="O407" s="264" t="s">
        <v>187</v>
      </c>
      <c r="P407" s="264" t="s">
        <v>187</v>
      </c>
      <c r="Q407" s="264" t="s">
        <v>187</v>
      </c>
      <c r="R407" s="264" t="s">
        <v>187</v>
      </c>
      <c r="S407" s="97" t="str">
        <f t="array" ref="S407">IF(A407="","", IF( (ROUND(I407,4) &lt; INDEX('Tabela de ingredientes'!$O$1:$V$30, SWITCH(B407, "Gelatos de Leite", 7, "Sorbets", 10, "Gelatos de Leite com Fruta", 13, "Chocolate base água", 16, "Vegano", 19, "Alcoólicos", 22, "Zero", 25, "Gelatos Proteicos", 28, 7), 1)) + (ROUND(I407,4) &gt; INDEX('Tabela de ingredientes'!$O$1:$V$30, SWITCH(B407, "Gelatos de Leite", 8, "Sorbets", 11, "Gelatos de Leite com Fruta", 14, "Chocolate base água", 17, "Vegano", 20, "Alcoólicos", 23, "Zero", 26, "Gelatos Proteicos", 29, 8), 1)) + (ROUND(J407,4) &lt; INDEX('Tabela de ingredientes'!$O$1:$V$30, SWITCH(B407, "Gelatos de Leite", 7, "Sorbets", 10, "Gelatos de Leite com Fruta", 13, "Chocolate base água", 16, "Vegano", 19, "Alcoólicos", 22, "Zero", 25, "Gelatos Proteicos", 28, 7), 2)) + (ROUND(J407,4) &gt; INDEX('Tabela de ingredientes'!$O$1:$V$30, SWITCH(B407, "Gelatos de Leite", 8, "Sorbets", 11, "Gelatos de Leite com Fruta", 14, "Chocolate base água", 17, "Vegano", 20, "Alcoólicos", 23, "Zero", 26, "Gelatos Proteicos", 29, 8), 2)) + (ROUND(K407,4) &lt; INDEX('Tabela de ingredientes'!$O$1:$V$30, SWITCH(B407, "Gelatos de Leite", 7, "Sorbets", 10, "Gelatos de Leite com Fruta", 13, "Chocolate base água", 16, "Vegano", 19, "Alcoólicos", 22, "Zero", 25, "Gelatos Proteicos", 28, 7), 3)) + (ROUND(K407,4) &gt; INDEX('Tabela de ingredientes'!$O$1:$V$30, SWITCH(B407, "Gelatos de Leite", 8, "Sorbets", 11, "Gelatos de Leite com Fruta", 14, "Chocolate base água", 17, "Vegano", 20, "Alcoólicos", 23, "Zero", 26, "Gelatos Proteicos", 29, 8), 3)) + (ROUND(L407,4) &lt; INDEX('Tabela de ingredientes'!$O$1:$V$30, SWITCH(B407, "Gelatos de Leite", 7, "Sorbets", 10, "Gelatos de Leite com Fruta", 13, "Chocolate base água", 16, "Vegano", 19, "Alcoólicos", 22, "Zero", 25, "Gelatos Proteicos", 28, 7), 4)) + (ROUND(L407,4) &gt; INDEX('Tabela de ingredientes'!$O$1:$V$30, SWITCH(B407, "Gelatos de Leite", 8, "Sorbets", 11, "Gelatos de Leite com Fruta", 14, "Chocolate base água", 17, "Vegano", 20, "Alcoólicos", 23, "Zero", 26, "Gelatos Proteicos", 29, 8), 4)) + (ROUND(M407,4) &lt; INDEX('Tabela de ingredientes'!$O$1:$V$30, SWITCH(B407, "Gelatos de Leite", 7, "Sorbets", 10, "Gelatos de Leite com Fruta", 13, "Chocolate base água", 16, "Vegano", 19, "Alcoólicos", 22, "Zero", 25, "Gelatos Proteicos", 28, 7), 5)) + (ROUND(M407,4) &gt; INDEX('Tabela de ingredientes'!$O$1:$V$30, SWITCH(B407, "Gelatos de Leite", 8, "Sorbets", 11, "Gelatos de Leite com Fruta", 14, "Chocolate base água", 17, "Vegano", 20, "Alcoólicos", 23, "Zero", 26, "Gelatos Proteicos", 29, 8), 5)) + (ROUND(N407,4) &lt; INDEX('Tabela de ingredientes'!$O$1:$V$30, SWITCH(B407, "Gelatos de Leite", 7, "Sorbets", 10, "Gelatos de Leite com Fruta", 13, "Chocolate base água", 16, "Vegano", 19, "Alcoólicos", 22, "Zero", 25, "Gelatos Proteicos", 28, 7), 6)) + (ROUND(N407,4) &gt; INDEX('Tabela de ingredientes'!$O$1:$V$30, SWITCH(B407, "Gelatos de Leite", 8, "Sorbets", 11, "Gelatos de Leite com Fruta", 14, "Chocolate base água", 17, "Vegano", 20, "Alcoólicos", 23, "Zero", 26, "Gelatos Proteicos", 29, 8), 6)) + (ROUND(O407,4) &lt; INDEX('Tabela de ingredientes'!$O$1:$V$30, SWITCH(B407, "Gelatos de Leite", 7, "Sorbets", 10, "Gelatos de Leite com Fruta", 13, "Chocolate base água", 16, "Vegano", 19, "Alcoólicos", 22, "Zero", 25, "Gelatos Proteicos", 28, 7), 7)) + (ROUND(O407,4) &gt; INDEX('Tabela de ingredientes'!$O$1:$V$30, SWITCH(B407, "Gelatos de Leite", 8, "Sorbets", 11, "Gelatos de Leite com Fruta", 14, "Chocolate base água", 17, "Vegano", 20, "Alcoólicos", 23, "Zero", 26, "Gelatos Proteicos", 29, 8), 7)) + (ROUND(P407,4) &lt; INDEX('Tabela de ingredientes'!$O$1:$V$30, SWITCH(B407, "Gelatos de Leite", 7, "Sorbets", 10, "Gelatos de Leite com Fruta", 13, "Chocolate base água", 16, "Vegano", 19, "Alcoólicos", 22, "Zero", 25, "Gelatos Proteicos", 28, 7), 8)) + (ROUND(P407,4) &gt; INDEX('Tabela de ingredientes'!$O$1:$V$30, SWITCH(B407, "Gelatos de Leite", 8, "Sorbets", 11, "Gelatos de Leite com Fruta", 14, "Chocolate base água", 17, "Vegano", 20, "Alcoólicos", 23, "Zero", 26, "Gelatos Proteicos", 29, 8), 8)) + IF(B407="Gelatos Proteicos", (ROUND(Q407,4)&lt;'Tabela de ingredientes'!$W$28)+(ROUND(Q407,4)&gt;'Tabela de ingredientes'!$W$29), 0) = 0, "Ok", "Revisar"))</f>
        <v/>
      </c>
    </row>
    <row r="408">
      <c r="A408" s="264"/>
      <c r="B408" s="264" t="s">
        <v>187</v>
      </c>
      <c r="C408" s="264" t="s">
        <v>187</v>
      </c>
      <c r="D408" s="264" t="s">
        <v>187</v>
      </c>
      <c r="E408" s="264" t="s">
        <v>187</v>
      </c>
      <c r="F408" s="264" t="s">
        <v>187</v>
      </c>
      <c r="G408" s="264" t="s">
        <v>187</v>
      </c>
      <c r="H408" s="264" t="s">
        <v>187</v>
      </c>
      <c r="I408" s="264" t="s">
        <v>187</v>
      </c>
      <c r="J408" s="264" t="s">
        <v>187</v>
      </c>
      <c r="K408" s="264" t="s">
        <v>187</v>
      </c>
      <c r="L408" s="264" t="s">
        <v>187</v>
      </c>
      <c r="M408" s="264" t="s">
        <v>187</v>
      </c>
      <c r="N408" s="264" t="s">
        <v>187</v>
      </c>
      <c r="O408" s="264" t="s">
        <v>187</v>
      </c>
      <c r="P408" s="264" t="s">
        <v>187</v>
      </c>
      <c r="Q408" s="264" t="s">
        <v>187</v>
      </c>
      <c r="R408" s="264" t="s">
        <v>187</v>
      </c>
      <c r="S408" s="97" t="str">
        <f t="array" ref="S408">IF(A408="","", IF( (ROUND(I408,4) &lt; INDEX('Tabela de ingredientes'!$O$1:$V$30, SWITCH(B408, "Gelatos de Leite", 7, "Sorbets", 10, "Gelatos de Leite com Fruta", 13, "Chocolate base água", 16, "Vegano", 19, "Alcoólicos", 22, "Zero", 25, "Gelatos Proteicos", 28, 7), 1)) + (ROUND(I408,4) &gt; INDEX('Tabela de ingredientes'!$O$1:$V$30, SWITCH(B408, "Gelatos de Leite", 8, "Sorbets", 11, "Gelatos de Leite com Fruta", 14, "Chocolate base água", 17, "Vegano", 20, "Alcoólicos", 23, "Zero", 26, "Gelatos Proteicos", 29, 8), 1)) + (ROUND(J408,4) &lt; INDEX('Tabela de ingredientes'!$O$1:$V$30, SWITCH(B408, "Gelatos de Leite", 7, "Sorbets", 10, "Gelatos de Leite com Fruta", 13, "Chocolate base água", 16, "Vegano", 19, "Alcoólicos", 22, "Zero", 25, "Gelatos Proteicos", 28, 7), 2)) + (ROUND(J408,4) &gt; INDEX('Tabela de ingredientes'!$O$1:$V$30, SWITCH(B408, "Gelatos de Leite", 8, "Sorbets", 11, "Gelatos de Leite com Fruta", 14, "Chocolate base água", 17, "Vegano", 20, "Alcoólicos", 23, "Zero", 26, "Gelatos Proteicos", 29, 8), 2)) + (ROUND(K408,4) &lt; INDEX('Tabela de ingredientes'!$O$1:$V$30, SWITCH(B408, "Gelatos de Leite", 7, "Sorbets", 10, "Gelatos de Leite com Fruta", 13, "Chocolate base água", 16, "Vegano", 19, "Alcoólicos", 22, "Zero", 25, "Gelatos Proteicos", 28, 7), 3)) + (ROUND(K408,4) &gt; INDEX('Tabela de ingredientes'!$O$1:$V$30, SWITCH(B408, "Gelatos de Leite", 8, "Sorbets", 11, "Gelatos de Leite com Fruta", 14, "Chocolate base água", 17, "Vegano", 20, "Alcoólicos", 23, "Zero", 26, "Gelatos Proteicos", 29, 8), 3)) + (ROUND(L408,4) &lt; INDEX('Tabela de ingredientes'!$O$1:$V$30, SWITCH(B408, "Gelatos de Leite", 7, "Sorbets", 10, "Gelatos de Leite com Fruta", 13, "Chocolate base água", 16, "Vegano", 19, "Alcoólicos", 22, "Zero", 25, "Gelatos Proteicos", 28, 7), 4)) + (ROUND(L408,4) &gt; INDEX('Tabela de ingredientes'!$O$1:$V$30, SWITCH(B408, "Gelatos de Leite", 8, "Sorbets", 11, "Gelatos de Leite com Fruta", 14, "Chocolate base água", 17, "Vegano", 20, "Alcoólicos", 23, "Zero", 26, "Gelatos Proteicos", 29, 8), 4)) + (ROUND(M408,4) &lt; INDEX('Tabela de ingredientes'!$O$1:$V$30, SWITCH(B408, "Gelatos de Leite", 7, "Sorbets", 10, "Gelatos de Leite com Fruta", 13, "Chocolate base água", 16, "Vegano", 19, "Alcoólicos", 22, "Zero", 25, "Gelatos Proteicos", 28, 7), 5)) + (ROUND(M408,4) &gt; INDEX('Tabela de ingredientes'!$O$1:$V$30, SWITCH(B408, "Gelatos de Leite", 8, "Sorbets", 11, "Gelatos de Leite com Fruta", 14, "Chocolate base água", 17, "Vegano", 20, "Alcoólicos", 23, "Zero", 26, "Gelatos Proteicos", 29, 8), 5)) + (ROUND(N408,4) &lt; INDEX('Tabela de ingredientes'!$O$1:$V$30, SWITCH(B408, "Gelatos de Leite", 7, "Sorbets", 10, "Gelatos de Leite com Fruta", 13, "Chocolate base água", 16, "Vegano", 19, "Alcoólicos", 22, "Zero", 25, "Gelatos Proteicos", 28, 7), 6)) + (ROUND(N408,4) &gt; INDEX('Tabela de ingredientes'!$O$1:$V$30, SWITCH(B408, "Gelatos de Leite", 8, "Sorbets", 11, "Gelatos de Leite com Fruta", 14, "Chocolate base água", 17, "Vegano", 20, "Alcoólicos", 23, "Zero", 26, "Gelatos Proteicos", 29, 8), 6)) + (ROUND(O408,4) &lt; INDEX('Tabela de ingredientes'!$O$1:$V$30, SWITCH(B408, "Gelatos de Leite", 7, "Sorbets", 10, "Gelatos de Leite com Fruta", 13, "Chocolate base água", 16, "Vegano", 19, "Alcoólicos", 22, "Zero", 25, "Gelatos Proteicos", 28, 7), 7)) + (ROUND(O408,4) &gt; INDEX('Tabela de ingredientes'!$O$1:$V$30, SWITCH(B408, "Gelatos de Leite", 8, "Sorbets", 11, "Gelatos de Leite com Fruta", 14, "Chocolate base água", 17, "Vegano", 20, "Alcoólicos", 23, "Zero", 26, "Gelatos Proteicos", 29, 8), 7)) + (ROUND(P408,4) &lt; INDEX('Tabela de ingredientes'!$O$1:$V$30, SWITCH(B408, "Gelatos de Leite", 7, "Sorbets", 10, "Gelatos de Leite com Fruta", 13, "Chocolate base água", 16, "Vegano", 19, "Alcoólicos", 22, "Zero", 25, "Gelatos Proteicos", 28, 7), 8)) + (ROUND(P408,4) &gt; INDEX('Tabela de ingredientes'!$O$1:$V$30, SWITCH(B408, "Gelatos de Leite", 8, "Sorbets", 11, "Gelatos de Leite com Fruta", 14, "Chocolate base água", 17, "Vegano", 20, "Alcoólicos", 23, "Zero", 26, "Gelatos Proteicos", 29, 8), 8)) + IF(B408="Gelatos Proteicos", (ROUND(Q408,4)&lt;'Tabela de ingredientes'!$W$28)+(ROUND(Q408,4)&gt;'Tabela de ingredientes'!$W$29), 0) = 0, "Ok", "Revisar"))</f>
        <v/>
      </c>
    </row>
    <row r="409">
      <c r="A409" s="264"/>
      <c r="B409" s="264" t="s">
        <v>187</v>
      </c>
      <c r="C409" s="264" t="s">
        <v>187</v>
      </c>
      <c r="D409" s="264" t="s">
        <v>187</v>
      </c>
      <c r="E409" s="264" t="s">
        <v>187</v>
      </c>
      <c r="F409" s="264" t="s">
        <v>187</v>
      </c>
      <c r="G409" s="264" t="s">
        <v>187</v>
      </c>
      <c r="H409" s="264" t="s">
        <v>187</v>
      </c>
      <c r="I409" s="264" t="s">
        <v>187</v>
      </c>
      <c r="J409" s="264" t="s">
        <v>187</v>
      </c>
      <c r="K409" s="264" t="s">
        <v>187</v>
      </c>
      <c r="L409" s="264" t="s">
        <v>187</v>
      </c>
      <c r="M409" s="264" t="s">
        <v>187</v>
      </c>
      <c r="N409" s="264" t="s">
        <v>187</v>
      </c>
      <c r="O409" s="264" t="s">
        <v>187</v>
      </c>
      <c r="P409" s="264" t="s">
        <v>187</v>
      </c>
      <c r="Q409" s="264" t="s">
        <v>187</v>
      </c>
      <c r="R409" s="264" t="s">
        <v>187</v>
      </c>
      <c r="S409" s="97" t="str">
        <f t="array" ref="S409">IF(A409="","", IF( (ROUND(I409,4) &lt; INDEX('Tabela de ingredientes'!$O$1:$V$30, SWITCH(B409, "Gelatos de Leite", 7, "Sorbets", 10, "Gelatos de Leite com Fruta", 13, "Chocolate base água", 16, "Vegano", 19, "Alcoólicos", 22, "Zero", 25, "Gelatos Proteicos", 28, 7), 1)) + (ROUND(I409,4) &gt; INDEX('Tabela de ingredientes'!$O$1:$V$30, SWITCH(B409, "Gelatos de Leite", 8, "Sorbets", 11, "Gelatos de Leite com Fruta", 14, "Chocolate base água", 17, "Vegano", 20, "Alcoólicos", 23, "Zero", 26, "Gelatos Proteicos", 29, 8), 1)) + (ROUND(J409,4) &lt; INDEX('Tabela de ingredientes'!$O$1:$V$30, SWITCH(B409, "Gelatos de Leite", 7, "Sorbets", 10, "Gelatos de Leite com Fruta", 13, "Chocolate base água", 16, "Vegano", 19, "Alcoólicos", 22, "Zero", 25, "Gelatos Proteicos", 28, 7), 2)) + (ROUND(J409,4) &gt; INDEX('Tabela de ingredientes'!$O$1:$V$30, SWITCH(B409, "Gelatos de Leite", 8, "Sorbets", 11, "Gelatos de Leite com Fruta", 14, "Chocolate base água", 17, "Vegano", 20, "Alcoólicos", 23, "Zero", 26, "Gelatos Proteicos", 29, 8), 2)) + (ROUND(K409,4) &lt; INDEX('Tabela de ingredientes'!$O$1:$V$30, SWITCH(B409, "Gelatos de Leite", 7, "Sorbets", 10, "Gelatos de Leite com Fruta", 13, "Chocolate base água", 16, "Vegano", 19, "Alcoólicos", 22, "Zero", 25, "Gelatos Proteicos", 28, 7), 3)) + (ROUND(K409,4) &gt; INDEX('Tabela de ingredientes'!$O$1:$V$30, SWITCH(B409, "Gelatos de Leite", 8, "Sorbets", 11, "Gelatos de Leite com Fruta", 14, "Chocolate base água", 17, "Vegano", 20, "Alcoólicos", 23, "Zero", 26, "Gelatos Proteicos", 29, 8), 3)) + (ROUND(L409,4) &lt; INDEX('Tabela de ingredientes'!$O$1:$V$30, SWITCH(B409, "Gelatos de Leite", 7, "Sorbets", 10, "Gelatos de Leite com Fruta", 13, "Chocolate base água", 16, "Vegano", 19, "Alcoólicos", 22, "Zero", 25, "Gelatos Proteicos", 28, 7), 4)) + (ROUND(L409,4) &gt; INDEX('Tabela de ingredientes'!$O$1:$V$30, SWITCH(B409, "Gelatos de Leite", 8, "Sorbets", 11, "Gelatos de Leite com Fruta", 14, "Chocolate base água", 17, "Vegano", 20, "Alcoólicos", 23, "Zero", 26, "Gelatos Proteicos", 29, 8), 4)) + (ROUND(M409,4) &lt; INDEX('Tabela de ingredientes'!$O$1:$V$30, SWITCH(B409, "Gelatos de Leite", 7, "Sorbets", 10, "Gelatos de Leite com Fruta", 13, "Chocolate base água", 16, "Vegano", 19, "Alcoólicos", 22, "Zero", 25, "Gelatos Proteicos", 28, 7), 5)) + (ROUND(M409,4) &gt; INDEX('Tabela de ingredientes'!$O$1:$V$30, SWITCH(B409, "Gelatos de Leite", 8, "Sorbets", 11, "Gelatos de Leite com Fruta", 14, "Chocolate base água", 17, "Vegano", 20, "Alcoólicos", 23, "Zero", 26, "Gelatos Proteicos", 29, 8), 5)) + (ROUND(N409,4) &lt; INDEX('Tabela de ingredientes'!$O$1:$V$30, SWITCH(B409, "Gelatos de Leite", 7, "Sorbets", 10, "Gelatos de Leite com Fruta", 13, "Chocolate base água", 16, "Vegano", 19, "Alcoólicos", 22, "Zero", 25, "Gelatos Proteicos", 28, 7), 6)) + (ROUND(N409,4) &gt; INDEX('Tabela de ingredientes'!$O$1:$V$30, SWITCH(B409, "Gelatos de Leite", 8, "Sorbets", 11, "Gelatos de Leite com Fruta", 14, "Chocolate base água", 17, "Vegano", 20, "Alcoólicos", 23, "Zero", 26, "Gelatos Proteicos", 29, 8), 6)) + (ROUND(O409,4) &lt; INDEX('Tabela de ingredientes'!$O$1:$V$30, SWITCH(B409, "Gelatos de Leite", 7, "Sorbets", 10, "Gelatos de Leite com Fruta", 13, "Chocolate base água", 16, "Vegano", 19, "Alcoólicos", 22, "Zero", 25, "Gelatos Proteicos", 28, 7), 7)) + (ROUND(O409,4) &gt; INDEX('Tabela de ingredientes'!$O$1:$V$30, SWITCH(B409, "Gelatos de Leite", 8, "Sorbets", 11, "Gelatos de Leite com Fruta", 14, "Chocolate base água", 17, "Vegano", 20, "Alcoólicos", 23, "Zero", 26, "Gelatos Proteicos", 29, 8), 7)) + (ROUND(P409,4) &lt; INDEX('Tabela de ingredientes'!$O$1:$V$30, SWITCH(B409, "Gelatos de Leite", 7, "Sorbets", 10, "Gelatos de Leite com Fruta", 13, "Chocolate base água", 16, "Vegano", 19, "Alcoólicos", 22, "Zero", 25, "Gelatos Proteicos", 28, 7), 8)) + (ROUND(P409,4) &gt; INDEX('Tabela de ingredientes'!$O$1:$V$30, SWITCH(B409, "Gelatos de Leite", 8, "Sorbets", 11, "Gelatos de Leite com Fruta", 14, "Chocolate base água", 17, "Vegano", 20, "Alcoólicos", 23, "Zero", 26, "Gelatos Proteicos", 29, 8), 8)) + IF(B409="Gelatos Proteicos", (ROUND(Q409,4)&lt;'Tabela de ingredientes'!$W$28)+(ROUND(Q409,4)&gt;'Tabela de ingredientes'!$W$29), 0) = 0, "Ok", "Revisar"))</f>
        <v/>
      </c>
    </row>
    <row r="410">
      <c r="A410" s="264"/>
      <c r="B410" s="264" t="s">
        <v>187</v>
      </c>
      <c r="C410" s="264" t="s">
        <v>187</v>
      </c>
      <c r="D410" s="264" t="s">
        <v>187</v>
      </c>
      <c r="E410" s="264" t="s">
        <v>187</v>
      </c>
      <c r="F410" s="264" t="s">
        <v>187</v>
      </c>
      <c r="G410" s="264" t="s">
        <v>187</v>
      </c>
      <c r="H410" s="264" t="s">
        <v>187</v>
      </c>
      <c r="I410" s="264" t="s">
        <v>187</v>
      </c>
      <c r="J410" s="264" t="s">
        <v>187</v>
      </c>
      <c r="K410" s="264" t="s">
        <v>187</v>
      </c>
      <c r="L410" s="264" t="s">
        <v>187</v>
      </c>
      <c r="M410" s="264" t="s">
        <v>187</v>
      </c>
      <c r="N410" s="264" t="s">
        <v>187</v>
      </c>
      <c r="O410" s="264" t="s">
        <v>187</v>
      </c>
      <c r="P410" s="264" t="s">
        <v>187</v>
      </c>
      <c r="Q410" s="264" t="s">
        <v>187</v>
      </c>
      <c r="R410" s="264" t="s">
        <v>187</v>
      </c>
      <c r="S410" s="97" t="str">
        <f t="array" ref="S410">IF(A410="","", IF( (ROUND(I410,4) &lt; INDEX('Tabela de ingredientes'!$O$1:$V$30, SWITCH(B410, "Gelatos de Leite", 7, "Sorbets", 10, "Gelatos de Leite com Fruta", 13, "Chocolate base água", 16, "Vegano", 19, "Alcoólicos", 22, "Zero", 25, "Gelatos Proteicos", 28, 7), 1)) + (ROUND(I410,4) &gt; INDEX('Tabela de ingredientes'!$O$1:$V$30, SWITCH(B410, "Gelatos de Leite", 8, "Sorbets", 11, "Gelatos de Leite com Fruta", 14, "Chocolate base água", 17, "Vegano", 20, "Alcoólicos", 23, "Zero", 26, "Gelatos Proteicos", 29, 8), 1)) + (ROUND(J410,4) &lt; INDEX('Tabela de ingredientes'!$O$1:$V$30, SWITCH(B410, "Gelatos de Leite", 7, "Sorbets", 10, "Gelatos de Leite com Fruta", 13, "Chocolate base água", 16, "Vegano", 19, "Alcoólicos", 22, "Zero", 25, "Gelatos Proteicos", 28, 7), 2)) + (ROUND(J410,4) &gt; INDEX('Tabela de ingredientes'!$O$1:$V$30, SWITCH(B410, "Gelatos de Leite", 8, "Sorbets", 11, "Gelatos de Leite com Fruta", 14, "Chocolate base água", 17, "Vegano", 20, "Alcoólicos", 23, "Zero", 26, "Gelatos Proteicos", 29, 8), 2)) + (ROUND(K410,4) &lt; INDEX('Tabela de ingredientes'!$O$1:$V$30, SWITCH(B410, "Gelatos de Leite", 7, "Sorbets", 10, "Gelatos de Leite com Fruta", 13, "Chocolate base água", 16, "Vegano", 19, "Alcoólicos", 22, "Zero", 25, "Gelatos Proteicos", 28, 7), 3)) + (ROUND(K410,4) &gt; INDEX('Tabela de ingredientes'!$O$1:$V$30, SWITCH(B410, "Gelatos de Leite", 8, "Sorbets", 11, "Gelatos de Leite com Fruta", 14, "Chocolate base água", 17, "Vegano", 20, "Alcoólicos", 23, "Zero", 26, "Gelatos Proteicos", 29, 8), 3)) + (ROUND(L410,4) &lt; INDEX('Tabela de ingredientes'!$O$1:$V$30, SWITCH(B410, "Gelatos de Leite", 7, "Sorbets", 10, "Gelatos de Leite com Fruta", 13, "Chocolate base água", 16, "Vegano", 19, "Alcoólicos", 22, "Zero", 25, "Gelatos Proteicos", 28, 7), 4)) + (ROUND(L410,4) &gt; INDEX('Tabela de ingredientes'!$O$1:$V$30, SWITCH(B410, "Gelatos de Leite", 8, "Sorbets", 11, "Gelatos de Leite com Fruta", 14, "Chocolate base água", 17, "Vegano", 20, "Alcoólicos", 23, "Zero", 26, "Gelatos Proteicos", 29, 8), 4)) + (ROUND(M410,4) &lt; INDEX('Tabela de ingredientes'!$O$1:$V$30, SWITCH(B410, "Gelatos de Leite", 7, "Sorbets", 10, "Gelatos de Leite com Fruta", 13, "Chocolate base água", 16, "Vegano", 19, "Alcoólicos", 22, "Zero", 25, "Gelatos Proteicos", 28, 7), 5)) + (ROUND(M410,4) &gt; INDEX('Tabela de ingredientes'!$O$1:$V$30, SWITCH(B410, "Gelatos de Leite", 8, "Sorbets", 11, "Gelatos de Leite com Fruta", 14, "Chocolate base água", 17, "Vegano", 20, "Alcoólicos", 23, "Zero", 26, "Gelatos Proteicos", 29, 8), 5)) + (ROUND(N410,4) &lt; INDEX('Tabela de ingredientes'!$O$1:$V$30, SWITCH(B410, "Gelatos de Leite", 7, "Sorbets", 10, "Gelatos de Leite com Fruta", 13, "Chocolate base água", 16, "Vegano", 19, "Alcoólicos", 22, "Zero", 25, "Gelatos Proteicos", 28, 7), 6)) + (ROUND(N410,4) &gt; INDEX('Tabela de ingredientes'!$O$1:$V$30, SWITCH(B410, "Gelatos de Leite", 8, "Sorbets", 11, "Gelatos de Leite com Fruta", 14, "Chocolate base água", 17, "Vegano", 20, "Alcoólicos", 23, "Zero", 26, "Gelatos Proteicos", 29, 8), 6)) + (ROUND(O410,4) &lt; INDEX('Tabela de ingredientes'!$O$1:$V$30, SWITCH(B410, "Gelatos de Leite", 7, "Sorbets", 10, "Gelatos de Leite com Fruta", 13, "Chocolate base água", 16, "Vegano", 19, "Alcoólicos", 22, "Zero", 25, "Gelatos Proteicos", 28, 7), 7)) + (ROUND(O410,4) &gt; INDEX('Tabela de ingredientes'!$O$1:$V$30, SWITCH(B410, "Gelatos de Leite", 8, "Sorbets", 11, "Gelatos de Leite com Fruta", 14, "Chocolate base água", 17, "Vegano", 20, "Alcoólicos", 23, "Zero", 26, "Gelatos Proteicos", 29, 8), 7)) + (ROUND(P410,4) &lt; INDEX('Tabela de ingredientes'!$O$1:$V$30, SWITCH(B410, "Gelatos de Leite", 7, "Sorbets", 10, "Gelatos de Leite com Fruta", 13, "Chocolate base água", 16, "Vegano", 19, "Alcoólicos", 22, "Zero", 25, "Gelatos Proteicos", 28, 7), 8)) + (ROUND(P410,4) &gt; INDEX('Tabela de ingredientes'!$O$1:$V$30, SWITCH(B410, "Gelatos de Leite", 8, "Sorbets", 11, "Gelatos de Leite com Fruta", 14, "Chocolate base água", 17, "Vegano", 20, "Alcoólicos", 23, "Zero", 26, "Gelatos Proteicos", 29, 8), 8)) + IF(B410="Gelatos Proteicos", (ROUND(Q410,4)&lt;'Tabela de ingredientes'!$W$28)+(ROUND(Q410,4)&gt;'Tabela de ingredientes'!$W$29), 0) = 0, "Ok", "Revisar"))</f>
        <v/>
      </c>
    </row>
    <row r="411">
      <c r="A411" s="264"/>
      <c r="B411" s="264" t="s">
        <v>187</v>
      </c>
      <c r="C411" s="264" t="s">
        <v>187</v>
      </c>
      <c r="D411" s="264" t="s">
        <v>187</v>
      </c>
      <c r="E411" s="264" t="s">
        <v>187</v>
      </c>
      <c r="F411" s="264" t="s">
        <v>187</v>
      </c>
      <c r="G411" s="264" t="s">
        <v>187</v>
      </c>
      <c r="H411" s="264" t="s">
        <v>187</v>
      </c>
      <c r="I411" s="264" t="s">
        <v>187</v>
      </c>
      <c r="J411" s="264" t="s">
        <v>187</v>
      </c>
      <c r="K411" s="264" t="s">
        <v>187</v>
      </c>
      <c r="L411" s="264" t="s">
        <v>187</v>
      </c>
      <c r="M411" s="264" t="s">
        <v>187</v>
      </c>
      <c r="N411" s="264" t="s">
        <v>187</v>
      </c>
      <c r="O411" s="264" t="s">
        <v>187</v>
      </c>
      <c r="P411" s="264" t="s">
        <v>187</v>
      </c>
      <c r="Q411" s="264" t="s">
        <v>187</v>
      </c>
      <c r="R411" s="264" t="s">
        <v>187</v>
      </c>
      <c r="S411" s="97" t="str">
        <f t="array" ref="S411">IF(A411="","", IF( (ROUND(I411,4) &lt; INDEX('Tabela de ingredientes'!$O$1:$V$30, SWITCH(B411, "Gelatos de Leite", 7, "Sorbets", 10, "Gelatos de Leite com Fruta", 13, "Chocolate base água", 16, "Vegano", 19, "Alcoólicos", 22, "Zero", 25, "Gelatos Proteicos", 28, 7), 1)) + (ROUND(I411,4) &gt; INDEX('Tabela de ingredientes'!$O$1:$V$30, SWITCH(B411, "Gelatos de Leite", 8, "Sorbets", 11, "Gelatos de Leite com Fruta", 14, "Chocolate base água", 17, "Vegano", 20, "Alcoólicos", 23, "Zero", 26, "Gelatos Proteicos", 29, 8), 1)) + (ROUND(J411,4) &lt; INDEX('Tabela de ingredientes'!$O$1:$V$30, SWITCH(B411, "Gelatos de Leite", 7, "Sorbets", 10, "Gelatos de Leite com Fruta", 13, "Chocolate base água", 16, "Vegano", 19, "Alcoólicos", 22, "Zero", 25, "Gelatos Proteicos", 28, 7), 2)) + (ROUND(J411,4) &gt; INDEX('Tabela de ingredientes'!$O$1:$V$30, SWITCH(B411, "Gelatos de Leite", 8, "Sorbets", 11, "Gelatos de Leite com Fruta", 14, "Chocolate base água", 17, "Vegano", 20, "Alcoólicos", 23, "Zero", 26, "Gelatos Proteicos", 29, 8), 2)) + (ROUND(K411,4) &lt; INDEX('Tabela de ingredientes'!$O$1:$V$30, SWITCH(B411, "Gelatos de Leite", 7, "Sorbets", 10, "Gelatos de Leite com Fruta", 13, "Chocolate base água", 16, "Vegano", 19, "Alcoólicos", 22, "Zero", 25, "Gelatos Proteicos", 28, 7), 3)) + (ROUND(K411,4) &gt; INDEX('Tabela de ingredientes'!$O$1:$V$30, SWITCH(B411, "Gelatos de Leite", 8, "Sorbets", 11, "Gelatos de Leite com Fruta", 14, "Chocolate base água", 17, "Vegano", 20, "Alcoólicos", 23, "Zero", 26, "Gelatos Proteicos", 29, 8), 3)) + (ROUND(L411,4) &lt; INDEX('Tabela de ingredientes'!$O$1:$V$30, SWITCH(B411, "Gelatos de Leite", 7, "Sorbets", 10, "Gelatos de Leite com Fruta", 13, "Chocolate base água", 16, "Vegano", 19, "Alcoólicos", 22, "Zero", 25, "Gelatos Proteicos", 28, 7), 4)) + (ROUND(L411,4) &gt; INDEX('Tabela de ingredientes'!$O$1:$V$30, SWITCH(B411, "Gelatos de Leite", 8, "Sorbets", 11, "Gelatos de Leite com Fruta", 14, "Chocolate base água", 17, "Vegano", 20, "Alcoólicos", 23, "Zero", 26, "Gelatos Proteicos", 29, 8), 4)) + (ROUND(M411,4) &lt; INDEX('Tabela de ingredientes'!$O$1:$V$30, SWITCH(B411, "Gelatos de Leite", 7, "Sorbets", 10, "Gelatos de Leite com Fruta", 13, "Chocolate base água", 16, "Vegano", 19, "Alcoólicos", 22, "Zero", 25, "Gelatos Proteicos", 28, 7), 5)) + (ROUND(M411,4) &gt; INDEX('Tabela de ingredientes'!$O$1:$V$30, SWITCH(B411, "Gelatos de Leite", 8, "Sorbets", 11, "Gelatos de Leite com Fruta", 14, "Chocolate base água", 17, "Vegano", 20, "Alcoólicos", 23, "Zero", 26, "Gelatos Proteicos", 29, 8), 5)) + (ROUND(N411,4) &lt; INDEX('Tabela de ingredientes'!$O$1:$V$30, SWITCH(B411, "Gelatos de Leite", 7, "Sorbets", 10, "Gelatos de Leite com Fruta", 13, "Chocolate base água", 16, "Vegano", 19, "Alcoólicos", 22, "Zero", 25, "Gelatos Proteicos", 28, 7), 6)) + (ROUND(N411,4) &gt; INDEX('Tabela de ingredientes'!$O$1:$V$30, SWITCH(B411, "Gelatos de Leite", 8, "Sorbets", 11, "Gelatos de Leite com Fruta", 14, "Chocolate base água", 17, "Vegano", 20, "Alcoólicos", 23, "Zero", 26, "Gelatos Proteicos", 29, 8), 6)) + (ROUND(O411,4) &lt; INDEX('Tabela de ingredientes'!$O$1:$V$30, SWITCH(B411, "Gelatos de Leite", 7, "Sorbets", 10, "Gelatos de Leite com Fruta", 13, "Chocolate base água", 16, "Vegano", 19, "Alcoólicos", 22, "Zero", 25, "Gelatos Proteicos", 28, 7), 7)) + (ROUND(O411,4) &gt; INDEX('Tabela de ingredientes'!$O$1:$V$30, SWITCH(B411, "Gelatos de Leite", 8, "Sorbets", 11, "Gelatos de Leite com Fruta", 14, "Chocolate base água", 17, "Vegano", 20, "Alcoólicos", 23, "Zero", 26, "Gelatos Proteicos", 29, 8), 7)) + (ROUND(P411,4) &lt; INDEX('Tabela de ingredientes'!$O$1:$V$30, SWITCH(B411, "Gelatos de Leite", 7, "Sorbets", 10, "Gelatos de Leite com Fruta", 13, "Chocolate base água", 16, "Vegano", 19, "Alcoólicos", 22, "Zero", 25, "Gelatos Proteicos", 28, 7), 8)) + (ROUND(P411,4) &gt; INDEX('Tabela de ingredientes'!$O$1:$V$30, SWITCH(B411, "Gelatos de Leite", 8, "Sorbets", 11, "Gelatos de Leite com Fruta", 14, "Chocolate base água", 17, "Vegano", 20, "Alcoólicos", 23, "Zero", 26, "Gelatos Proteicos", 29, 8), 8)) + IF(B411="Gelatos Proteicos", (ROUND(Q411,4)&lt;'Tabela de ingredientes'!$W$28)+(ROUND(Q411,4)&gt;'Tabela de ingredientes'!$W$29), 0) = 0, "Ok", "Revisar"))</f>
        <v/>
      </c>
    </row>
    <row r="412">
      <c r="A412" s="264"/>
      <c r="B412" s="264" t="s">
        <v>187</v>
      </c>
      <c r="C412" s="264" t="s">
        <v>187</v>
      </c>
      <c r="D412" s="264" t="s">
        <v>187</v>
      </c>
      <c r="E412" s="264" t="s">
        <v>187</v>
      </c>
      <c r="F412" s="264" t="s">
        <v>187</v>
      </c>
      <c r="G412" s="264" t="s">
        <v>187</v>
      </c>
      <c r="H412" s="264" t="s">
        <v>187</v>
      </c>
      <c r="I412" s="264" t="s">
        <v>187</v>
      </c>
      <c r="J412" s="264" t="s">
        <v>187</v>
      </c>
      <c r="K412" s="264" t="s">
        <v>187</v>
      </c>
      <c r="L412" s="264" t="s">
        <v>187</v>
      </c>
      <c r="M412" s="264" t="s">
        <v>187</v>
      </c>
      <c r="N412" s="264" t="s">
        <v>187</v>
      </c>
      <c r="O412" s="264" t="s">
        <v>187</v>
      </c>
      <c r="P412" s="264" t="s">
        <v>187</v>
      </c>
      <c r="Q412" s="264" t="s">
        <v>187</v>
      </c>
      <c r="R412" s="264" t="s">
        <v>187</v>
      </c>
      <c r="S412" s="97" t="str">
        <f t="array" ref="S412">IF(A412="","", IF( (ROUND(I412,4) &lt; INDEX('Tabela de ingredientes'!$O$1:$V$30, SWITCH(B412, "Gelatos de Leite", 7, "Sorbets", 10, "Gelatos de Leite com Fruta", 13, "Chocolate base água", 16, "Vegano", 19, "Alcoólicos", 22, "Zero", 25, "Gelatos Proteicos", 28, 7), 1)) + (ROUND(I412,4) &gt; INDEX('Tabela de ingredientes'!$O$1:$V$30, SWITCH(B412, "Gelatos de Leite", 8, "Sorbets", 11, "Gelatos de Leite com Fruta", 14, "Chocolate base água", 17, "Vegano", 20, "Alcoólicos", 23, "Zero", 26, "Gelatos Proteicos", 29, 8), 1)) + (ROUND(J412,4) &lt; INDEX('Tabela de ingredientes'!$O$1:$V$30, SWITCH(B412, "Gelatos de Leite", 7, "Sorbets", 10, "Gelatos de Leite com Fruta", 13, "Chocolate base água", 16, "Vegano", 19, "Alcoólicos", 22, "Zero", 25, "Gelatos Proteicos", 28, 7), 2)) + (ROUND(J412,4) &gt; INDEX('Tabela de ingredientes'!$O$1:$V$30, SWITCH(B412, "Gelatos de Leite", 8, "Sorbets", 11, "Gelatos de Leite com Fruta", 14, "Chocolate base água", 17, "Vegano", 20, "Alcoólicos", 23, "Zero", 26, "Gelatos Proteicos", 29, 8), 2)) + (ROUND(K412,4) &lt; INDEX('Tabela de ingredientes'!$O$1:$V$30, SWITCH(B412, "Gelatos de Leite", 7, "Sorbets", 10, "Gelatos de Leite com Fruta", 13, "Chocolate base água", 16, "Vegano", 19, "Alcoólicos", 22, "Zero", 25, "Gelatos Proteicos", 28, 7), 3)) + (ROUND(K412,4) &gt; INDEX('Tabela de ingredientes'!$O$1:$V$30, SWITCH(B412, "Gelatos de Leite", 8, "Sorbets", 11, "Gelatos de Leite com Fruta", 14, "Chocolate base água", 17, "Vegano", 20, "Alcoólicos", 23, "Zero", 26, "Gelatos Proteicos", 29, 8), 3)) + (ROUND(L412,4) &lt; INDEX('Tabela de ingredientes'!$O$1:$V$30, SWITCH(B412, "Gelatos de Leite", 7, "Sorbets", 10, "Gelatos de Leite com Fruta", 13, "Chocolate base água", 16, "Vegano", 19, "Alcoólicos", 22, "Zero", 25, "Gelatos Proteicos", 28, 7), 4)) + (ROUND(L412,4) &gt; INDEX('Tabela de ingredientes'!$O$1:$V$30, SWITCH(B412, "Gelatos de Leite", 8, "Sorbets", 11, "Gelatos de Leite com Fruta", 14, "Chocolate base água", 17, "Vegano", 20, "Alcoólicos", 23, "Zero", 26, "Gelatos Proteicos", 29, 8), 4)) + (ROUND(M412,4) &lt; INDEX('Tabela de ingredientes'!$O$1:$V$30, SWITCH(B412, "Gelatos de Leite", 7, "Sorbets", 10, "Gelatos de Leite com Fruta", 13, "Chocolate base água", 16, "Vegano", 19, "Alcoólicos", 22, "Zero", 25, "Gelatos Proteicos", 28, 7), 5)) + (ROUND(M412,4) &gt; INDEX('Tabela de ingredientes'!$O$1:$V$30, SWITCH(B412, "Gelatos de Leite", 8, "Sorbets", 11, "Gelatos de Leite com Fruta", 14, "Chocolate base água", 17, "Vegano", 20, "Alcoólicos", 23, "Zero", 26, "Gelatos Proteicos", 29, 8), 5)) + (ROUND(N412,4) &lt; INDEX('Tabela de ingredientes'!$O$1:$V$30, SWITCH(B412, "Gelatos de Leite", 7, "Sorbets", 10, "Gelatos de Leite com Fruta", 13, "Chocolate base água", 16, "Vegano", 19, "Alcoólicos", 22, "Zero", 25, "Gelatos Proteicos", 28, 7), 6)) + (ROUND(N412,4) &gt; INDEX('Tabela de ingredientes'!$O$1:$V$30, SWITCH(B412, "Gelatos de Leite", 8, "Sorbets", 11, "Gelatos de Leite com Fruta", 14, "Chocolate base água", 17, "Vegano", 20, "Alcoólicos", 23, "Zero", 26, "Gelatos Proteicos", 29, 8), 6)) + (ROUND(O412,4) &lt; INDEX('Tabela de ingredientes'!$O$1:$V$30, SWITCH(B412, "Gelatos de Leite", 7, "Sorbets", 10, "Gelatos de Leite com Fruta", 13, "Chocolate base água", 16, "Vegano", 19, "Alcoólicos", 22, "Zero", 25, "Gelatos Proteicos", 28, 7), 7)) + (ROUND(O412,4) &gt; INDEX('Tabela de ingredientes'!$O$1:$V$30, SWITCH(B412, "Gelatos de Leite", 8, "Sorbets", 11, "Gelatos de Leite com Fruta", 14, "Chocolate base água", 17, "Vegano", 20, "Alcoólicos", 23, "Zero", 26, "Gelatos Proteicos", 29, 8), 7)) + (ROUND(P412,4) &lt; INDEX('Tabela de ingredientes'!$O$1:$V$30, SWITCH(B412, "Gelatos de Leite", 7, "Sorbets", 10, "Gelatos de Leite com Fruta", 13, "Chocolate base água", 16, "Vegano", 19, "Alcoólicos", 22, "Zero", 25, "Gelatos Proteicos", 28, 7), 8)) + (ROUND(P412,4) &gt; INDEX('Tabela de ingredientes'!$O$1:$V$30, SWITCH(B412, "Gelatos de Leite", 8, "Sorbets", 11, "Gelatos de Leite com Fruta", 14, "Chocolate base água", 17, "Vegano", 20, "Alcoólicos", 23, "Zero", 26, "Gelatos Proteicos", 29, 8), 8)) + IF(B412="Gelatos Proteicos", (ROUND(Q412,4)&lt;'Tabela de ingredientes'!$W$28)+(ROUND(Q412,4)&gt;'Tabela de ingredientes'!$W$29), 0) = 0, "Ok", "Revisar"))</f>
        <v/>
      </c>
    </row>
    <row r="413">
      <c r="A413" s="264"/>
      <c r="B413" s="264" t="s">
        <v>187</v>
      </c>
      <c r="C413" s="264" t="s">
        <v>187</v>
      </c>
      <c r="D413" s="264" t="s">
        <v>187</v>
      </c>
      <c r="E413" s="264" t="s">
        <v>187</v>
      </c>
      <c r="F413" s="264" t="s">
        <v>187</v>
      </c>
      <c r="G413" s="264" t="s">
        <v>187</v>
      </c>
      <c r="H413" s="264" t="s">
        <v>187</v>
      </c>
      <c r="I413" s="264" t="s">
        <v>187</v>
      </c>
      <c r="J413" s="264" t="s">
        <v>187</v>
      </c>
      <c r="K413" s="264" t="s">
        <v>187</v>
      </c>
      <c r="L413" s="264" t="s">
        <v>187</v>
      </c>
      <c r="M413" s="264" t="s">
        <v>187</v>
      </c>
      <c r="N413" s="264" t="s">
        <v>187</v>
      </c>
      <c r="O413" s="264" t="s">
        <v>187</v>
      </c>
      <c r="P413" s="264" t="s">
        <v>187</v>
      </c>
      <c r="Q413" s="264" t="s">
        <v>187</v>
      </c>
      <c r="R413" s="264" t="s">
        <v>187</v>
      </c>
      <c r="S413" s="97" t="str">
        <f t="array" ref="S413">IF(A413="","", IF( (ROUND(I413,4) &lt; INDEX('Tabela de ingredientes'!$O$1:$V$30, SWITCH(B413, "Gelatos de Leite", 7, "Sorbets", 10, "Gelatos de Leite com Fruta", 13, "Chocolate base água", 16, "Vegano", 19, "Alcoólicos", 22, "Zero", 25, "Gelatos Proteicos", 28, 7), 1)) + (ROUND(I413,4) &gt; INDEX('Tabela de ingredientes'!$O$1:$V$30, SWITCH(B413, "Gelatos de Leite", 8, "Sorbets", 11, "Gelatos de Leite com Fruta", 14, "Chocolate base água", 17, "Vegano", 20, "Alcoólicos", 23, "Zero", 26, "Gelatos Proteicos", 29, 8), 1)) + (ROUND(J413,4) &lt; INDEX('Tabela de ingredientes'!$O$1:$V$30, SWITCH(B413, "Gelatos de Leite", 7, "Sorbets", 10, "Gelatos de Leite com Fruta", 13, "Chocolate base água", 16, "Vegano", 19, "Alcoólicos", 22, "Zero", 25, "Gelatos Proteicos", 28, 7), 2)) + (ROUND(J413,4) &gt; INDEX('Tabela de ingredientes'!$O$1:$V$30, SWITCH(B413, "Gelatos de Leite", 8, "Sorbets", 11, "Gelatos de Leite com Fruta", 14, "Chocolate base água", 17, "Vegano", 20, "Alcoólicos", 23, "Zero", 26, "Gelatos Proteicos", 29, 8), 2)) + (ROUND(K413,4) &lt; INDEX('Tabela de ingredientes'!$O$1:$V$30, SWITCH(B413, "Gelatos de Leite", 7, "Sorbets", 10, "Gelatos de Leite com Fruta", 13, "Chocolate base água", 16, "Vegano", 19, "Alcoólicos", 22, "Zero", 25, "Gelatos Proteicos", 28, 7), 3)) + (ROUND(K413,4) &gt; INDEX('Tabela de ingredientes'!$O$1:$V$30, SWITCH(B413, "Gelatos de Leite", 8, "Sorbets", 11, "Gelatos de Leite com Fruta", 14, "Chocolate base água", 17, "Vegano", 20, "Alcoólicos", 23, "Zero", 26, "Gelatos Proteicos", 29, 8), 3)) + (ROUND(L413,4) &lt; INDEX('Tabela de ingredientes'!$O$1:$V$30, SWITCH(B413, "Gelatos de Leite", 7, "Sorbets", 10, "Gelatos de Leite com Fruta", 13, "Chocolate base água", 16, "Vegano", 19, "Alcoólicos", 22, "Zero", 25, "Gelatos Proteicos", 28, 7), 4)) + (ROUND(L413,4) &gt; INDEX('Tabela de ingredientes'!$O$1:$V$30, SWITCH(B413, "Gelatos de Leite", 8, "Sorbets", 11, "Gelatos de Leite com Fruta", 14, "Chocolate base água", 17, "Vegano", 20, "Alcoólicos", 23, "Zero", 26, "Gelatos Proteicos", 29, 8), 4)) + (ROUND(M413,4) &lt; INDEX('Tabela de ingredientes'!$O$1:$V$30, SWITCH(B413, "Gelatos de Leite", 7, "Sorbets", 10, "Gelatos de Leite com Fruta", 13, "Chocolate base água", 16, "Vegano", 19, "Alcoólicos", 22, "Zero", 25, "Gelatos Proteicos", 28, 7), 5)) + (ROUND(M413,4) &gt; INDEX('Tabela de ingredientes'!$O$1:$V$30, SWITCH(B413, "Gelatos de Leite", 8, "Sorbets", 11, "Gelatos de Leite com Fruta", 14, "Chocolate base água", 17, "Vegano", 20, "Alcoólicos", 23, "Zero", 26, "Gelatos Proteicos", 29, 8), 5)) + (ROUND(N413,4) &lt; INDEX('Tabela de ingredientes'!$O$1:$V$30, SWITCH(B413, "Gelatos de Leite", 7, "Sorbets", 10, "Gelatos de Leite com Fruta", 13, "Chocolate base água", 16, "Vegano", 19, "Alcoólicos", 22, "Zero", 25, "Gelatos Proteicos", 28, 7), 6)) + (ROUND(N413,4) &gt; INDEX('Tabela de ingredientes'!$O$1:$V$30, SWITCH(B413, "Gelatos de Leite", 8, "Sorbets", 11, "Gelatos de Leite com Fruta", 14, "Chocolate base água", 17, "Vegano", 20, "Alcoólicos", 23, "Zero", 26, "Gelatos Proteicos", 29, 8), 6)) + (ROUND(O413,4) &lt; INDEX('Tabela de ingredientes'!$O$1:$V$30, SWITCH(B413, "Gelatos de Leite", 7, "Sorbets", 10, "Gelatos de Leite com Fruta", 13, "Chocolate base água", 16, "Vegano", 19, "Alcoólicos", 22, "Zero", 25, "Gelatos Proteicos", 28, 7), 7)) + (ROUND(O413,4) &gt; INDEX('Tabela de ingredientes'!$O$1:$V$30, SWITCH(B413, "Gelatos de Leite", 8, "Sorbets", 11, "Gelatos de Leite com Fruta", 14, "Chocolate base água", 17, "Vegano", 20, "Alcoólicos", 23, "Zero", 26, "Gelatos Proteicos", 29, 8), 7)) + (ROUND(P413,4) &lt; INDEX('Tabela de ingredientes'!$O$1:$V$30, SWITCH(B413, "Gelatos de Leite", 7, "Sorbets", 10, "Gelatos de Leite com Fruta", 13, "Chocolate base água", 16, "Vegano", 19, "Alcoólicos", 22, "Zero", 25, "Gelatos Proteicos", 28, 7), 8)) + (ROUND(P413,4) &gt; INDEX('Tabela de ingredientes'!$O$1:$V$30, SWITCH(B413, "Gelatos de Leite", 8, "Sorbets", 11, "Gelatos de Leite com Fruta", 14, "Chocolate base água", 17, "Vegano", 20, "Alcoólicos", 23, "Zero", 26, "Gelatos Proteicos", 29, 8), 8)) + IF(B413="Gelatos Proteicos", (ROUND(Q413,4)&lt;'Tabela de ingredientes'!$W$28)+(ROUND(Q413,4)&gt;'Tabela de ingredientes'!$W$29), 0) = 0, "Ok", "Revisar"))</f>
        <v/>
      </c>
    </row>
    <row r="414">
      <c r="A414" s="264"/>
      <c r="B414" s="264" t="s">
        <v>187</v>
      </c>
      <c r="C414" s="264" t="s">
        <v>187</v>
      </c>
      <c r="D414" s="264" t="s">
        <v>187</v>
      </c>
      <c r="E414" s="264" t="s">
        <v>187</v>
      </c>
      <c r="F414" s="264" t="s">
        <v>187</v>
      </c>
      <c r="G414" s="264" t="s">
        <v>187</v>
      </c>
      <c r="H414" s="264" t="s">
        <v>187</v>
      </c>
      <c r="I414" s="264" t="s">
        <v>187</v>
      </c>
      <c r="J414" s="264" t="s">
        <v>187</v>
      </c>
      <c r="K414" s="264" t="s">
        <v>187</v>
      </c>
      <c r="L414" s="264" t="s">
        <v>187</v>
      </c>
      <c r="M414" s="264" t="s">
        <v>187</v>
      </c>
      <c r="N414" s="264" t="s">
        <v>187</v>
      </c>
      <c r="O414" s="264" t="s">
        <v>187</v>
      </c>
      <c r="P414" s="264" t="s">
        <v>187</v>
      </c>
      <c r="Q414" s="264" t="s">
        <v>187</v>
      </c>
      <c r="R414" s="264" t="s">
        <v>187</v>
      </c>
      <c r="S414" s="97" t="str">
        <f t="array" ref="S414">IF(A414="","", IF( (ROUND(I414,4) &lt; INDEX('Tabela de ingredientes'!$O$1:$V$30, SWITCH(B414, "Gelatos de Leite", 7, "Sorbets", 10, "Gelatos de Leite com Fruta", 13, "Chocolate base água", 16, "Vegano", 19, "Alcoólicos", 22, "Zero", 25, "Gelatos Proteicos", 28, 7), 1)) + (ROUND(I414,4) &gt; INDEX('Tabela de ingredientes'!$O$1:$V$30, SWITCH(B414, "Gelatos de Leite", 8, "Sorbets", 11, "Gelatos de Leite com Fruta", 14, "Chocolate base água", 17, "Vegano", 20, "Alcoólicos", 23, "Zero", 26, "Gelatos Proteicos", 29, 8), 1)) + (ROUND(J414,4) &lt; INDEX('Tabela de ingredientes'!$O$1:$V$30, SWITCH(B414, "Gelatos de Leite", 7, "Sorbets", 10, "Gelatos de Leite com Fruta", 13, "Chocolate base água", 16, "Vegano", 19, "Alcoólicos", 22, "Zero", 25, "Gelatos Proteicos", 28, 7), 2)) + (ROUND(J414,4) &gt; INDEX('Tabela de ingredientes'!$O$1:$V$30, SWITCH(B414, "Gelatos de Leite", 8, "Sorbets", 11, "Gelatos de Leite com Fruta", 14, "Chocolate base água", 17, "Vegano", 20, "Alcoólicos", 23, "Zero", 26, "Gelatos Proteicos", 29, 8), 2)) + (ROUND(K414,4) &lt; INDEX('Tabela de ingredientes'!$O$1:$V$30, SWITCH(B414, "Gelatos de Leite", 7, "Sorbets", 10, "Gelatos de Leite com Fruta", 13, "Chocolate base água", 16, "Vegano", 19, "Alcoólicos", 22, "Zero", 25, "Gelatos Proteicos", 28, 7), 3)) + (ROUND(K414,4) &gt; INDEX('Tabela de ingredientes'!$O$1:$V$30, SWITCH(B414, "Gelatos de Leite", 8, "Sorbets", 11, "Gelatos de Leite com Fruta", 14, "Chocolate base água", 17, "Vegano", 20, "Alcoólicos", 23, "Zero", 26, "Gelatos Proteicos", 29, 8), 3)) + (ROUND(L414,4) &lt; INDEX('Tabela de ingredientes'!$O$1:$V$30, SWITCH(B414, "Gelatos de Leite", 7, "Sorbets", 10, "Gelatos de Leite com Fruta", 13, "Chocolate base água", 16, "Vegano", 19, "Alcoólicos", 22, "Zero", 25, "Gelatos Proteicos", 28, 7), 4)) + (ROUND(L414,4) &gt; INDEX('Tabela de ingredientes'!$O$1:$V$30, SWITCH(B414, "Gelatos de Leite", 8, "Sorbets", 11, "Gelatos de Leite com Fruta", 14, "Chocolate base água", 17, "Vegano", 20, "Alcoólicos", 23, "Zero", 26, "Gelatos Proteicos", 29, 8), 4)) + (ROUND(M414,4) &lt; INDEX('Tabela de ingredientes'!$O$1:$V$30, SWITCH(B414, "Gelatos de Leite", 7, "Sorbets", 10, "Gelatos de Leite com Fruta", 13, "Chocolate base água", 16, "Vegano", 19, "Alcoólicos", 22, "Zero", 25, "Gelatos Proteicos", 28, 7), 5)) + (ROUND(M414,4) &gt; INDEX('Tabela de ingredientes'!$O$1:$V$30, SWITCH(B414, "Gelatos de Leite", 8, "Sorbets", 11, "Gelatos de Leite com Fruta", 14, "Chocolate base água", 17, "Vegano", 20, "Alcoólicos", 23, "Zero", 26, "Gelatos Proteicos", 29, 8), 5)) + (ROUND(N414,4) &lt; INDEX('Tabela de ingredientes'!$O$1:$V$30, SWITCH(B414, "Gelatos de Leite", 7, "Sorbets", 10, "Gelatos de Leite com Fruta", 13, "Chocolate base água", 16, "Vegano", 19, "Alcoólicos", 22, "Zero", 25, "Gelatos Proteicos", 28, 7), 6)) + (ROUND(N414,4) &gt; INDEX('Tabela de ingredientes'!$O$1:$V$30, SWITCH(B414, "Gelatos de Leite", 8, "Sorbets", 11, "Gelatos de Leite com Fruta", 14, "Chocolate base água", 17, "Vegano", 20, "Alcoólicos", 23, "Zero", 26, "Gelatos Proteicos", 29, 8), 6)) + (ROUND(O414,4) &lt; INDEX('Tabela de ingredientes'!$O$1:$V$30, SWITCH(B414, "Gelatos de Leite", 7, "Sorbets", 10, "Gelatos de Leite com Fruta", 13, "Chocolate base água", 16, "Vegano", 19, "Alcoólicos", 22, "Zero", 25, "Gelatos Proteicos", 28, 7), 7)) + (ROUND(O414,4) &gt; INDEX('Tabela de ingredientes'!$O$1:$V$30, SWITCH(B414, "Gelatos de Leite", 8, "Sorbets", 11, "Gelatos de Leite com Fruta", 14, "Chocolate base água", 17, "Vegano", 20, "Alcoólicos", 23, "Zero", 26, "Gelatos Proteicos", 29, 8), 7)) + (ROUND(P414,4) &lt; INDEX('Tabela de ingredientes'!$O$1:$V$30, SWITCH(B414, "Gelatos de Leite", 7, "Sorbets", 10, "Gelatos de Leite com Fruta", 13, "Chocolate base água", 16, "Vegano", 19, "Alcoólicos", 22, "Zero", 25, "Gelatos Proteicos", 28, 7), 8)) + (ROUND(P414,4) &gt; INDEX('Tabela de ingredientes'!$O$1:$V$30, SWITCH(B414, "Gelatos de Leite", 8, "Sorbets", 11, "Gelatos de Leite com Fruta", 14, "Chocolate base água", 17, "Vegano", 20, "Alcoólicos", 23, "Zero", 26, "Gelatos Proteicos", 29, 8), 8)) + IF(B414="Gelatos Proteicos", (ROUND(Q414,4)&lt;'Tabela de ingredientes'!$W$28)+(ROUND(Q414,4)&gt;'Tabela de ingredientes'!$W$29), 0) = 0, "Ok", "Revisar"))</f>
        <v/>
      </c>
    </row>
    <row r="415">
      <c r="A415" s="264"/>
      <c r="B415" s="264" t="s">
        <v>187</v>
      </c>
      <c r="C415" s="264" t="s">
        <v>187</v>
      </c>
      <c r="D415" s="264" t="s">
        <v>187</v>
      </c>
      <c r="E415" s="264" t="s">
        <v>187</v>
      </c>
      <c r="F415" s="264" t="s">
        <v>187</v>
      </c>
      <c r="G415" s="264" t="s">
        <v>187</v>
      </c>
      <c r="H415" s="264" t="s">
        <v>187</v>
      </c>
      <c r="I415" s="264" t="s">
        <v>187</v>
      </c>
      <c r="J415" s="264" t="s">
        <v>187</v>
      </c>
      <c r="K415" s="264" t="s">
        <v>187</v>
      </c>
      <c r="L415" s="264" t="s">
        <v>187</v>
      </c>
      <c r="M415" s="264" t="s">
        <v>187</v>
      </c>
      <c r="N415" s="264" t="s">
        <v>187</v>
      </c>
      <c r="O415" s="264" t="s">
        <v>187</v>
      </c>
      <c r="P415" s="264" t="s">
        <v>187</v>
      </c>
      <c r="Q415" s="264" t="s">
        <v>187</v>
      </c>
      <c r="R415" s="264" t="s">
        <v>187</v>
      </c>
      <c r="S415" s="97" t="str">
        <f t="array" ref="S415">IF(A415="","", IF( (ROUND(I415,4) &lt; INDEX('Tabela de ingredientes'!$O$1:$V$30, SWITCH(B415, "Gelatos de Leite", 7, "Sorbets", 10, "Gelatos de Leite com Fruta", 13, "Chocolate base água", 16, "Vegano", 19, "Alcoólicos", 22, "Zero", 25, "Gelatos Proteicos", 28, 7), 1)) + (ROUND(I415,4) &gt; INDEX('Tabela de ingredientes'!$O$1:$V$30, SWITCH(B415, "Gelatos de Leite", 8, "Sorbets", 11, "Gelatos de Leite com Fruta", 14, "Chocolate base água", 17, "Vegano", 20, "Alcoólicos", 23, "Zero", 26, "Gelatos Proteicos", 29, 8), 1)) + (ROUND(J415,4) &lt; INDEX('Tabela de ingredientes'!$O$1:$V$30, SWITCH(B415, "Gelatos de Leite", 7, "Sorbets", 10, "Gelatos de Leite com Fruta", 13, "Chocolate base água", 16, "Vegano", 19, "Alcoólicos", 22, "Zero", 25, "Gelatos Proteicos", 28, 7), 2)) + (ROUND(J415,4) &gt; INDEX('Tabela de ingredientes'!$O$1:$V$30, SWITCH(B415, "Gelatos de Leite", 8, "Sorbets", 11, "Gelatos de Leite com Fruta", 14, "Chocolate base água", 17, "Vegano", 20, "Alcoólicos", 23, "Zero", 26, "Gelatos Proteicos", 29, 8), 2)) + (ROUND(K415,4) &lt; INDEX('Tabela de ingredientes'!$O$1:$V$30, SWITCH(B415, "Gelatos de Leite", 7, "Sorbets", 10, "Gelatos de Leite com Fruta", 13, "Chocolate base água", 16, "Vegano", 19, "Alcoólicos", 22, "Zero", 25, "Gelatos Proteicos", 28, 7), 3)) + (ROUND(K415,4) &gt; INDEX('Tabela de ingredientes'!$O$1:$V$30, SWITCH(B415, "Gelatos de Leite", 8, "Sorbets", 11, "Gelatos de Leite com Fruta", 14, "Chocolate base água", 17, "Vegano", 20, "Alcoólicos", 23, "Zero", 26, "Gelatos Proteicos", 29, 8), 3)) + (ROUND(L415,4) &lt; INDEX('Tabela de ingredientes'!$O$1:$V$30, SWITCH(B415, "Gelatos de Leite", 7, "Sorbets", 10, "Gelatos de Leite com Fruta", 13, "Chocolate base água", 16, "Vegano", 19, "Alcoólicos", 22, "Zero", 25, "Gelatos Proteicos", 28, 7), 4)) + (ROUND(L415,4) &gt; INDEX('Tabela de ingredientes'!$O$1:$V$30, SWITCH(B415, "Gelatos de Leite", 8, "Sorbets", 11, "Gelatos de Leite com Fruta", 14, "Chocolate base água", 17, "Vegano", 20, "Alcoólicos", 23, "Zero", 26, "Gelatos Proteicos", 29, 8), 4)) + (ROUND(M415,4) &lt; INDEX('Tabela de ingredientes'!$O$1:$V$30, SWITCH(B415, "Gelatos de Leite", 7, "Sorbets", 10, "Gelatos de Leite com Fruta", 13, "Chocolate base água", 16, "Vegano", 19, "Alcoólicos", 22, "Zero", 25, "Gelatos Proteicos", 28, 7), 5)) + (ROUND(M415,4) &gt; INDEX('Tabela de ingredientes'!$O$1:$V$30, SWITCH(B415, "Gelatos de Leite", 8, "Sorbets", 11, "Gelatos de Leite com Fruta", 14, "Chocolate base água", 17, "Vegano", 20, "Alcoólicos", 23, "Zero", 26, "Gelatos Proteicos", 29, 8), 5)) + (ROUND(N415,4) &lt; INDEX('Tabela de ingredientes'!$O$1:$V$30, SWITCH(B415, "Gelatos de Leite", 7, "Sorbets", 10, "Gelatos de Leite com Fruta", 13, "Chocolate base água", 16, "Vegano", 19, "Alcoólicos", 22, "Zero", 25, "Gelatos Proteicos", 28, 7), 6)) + (ROUND(N415,4) &gt; INDEX('Tabela de ingredientes'!$O$1:$V$30, SWITCH(B415, "Gelatos de Leite", 8, "Sorbets", 11, "Gelatos de Leite com Fruta", 14, "Chocolate base água", 17, "Vegano", 20, "Alcoólicos", 23, "Zero", 26, "Gelatos Proteicos", 29, 8), 6)) + (ROUND(O415,4) &lt; INDEX('Tabela de ingredientes'!$O$1:$V$30, SWITCH(B415, "Gelatos de Leite", 7, "Sorbets", 10, "Gelatos de Leite com Fruta", 13, "Chocolate base água", 16, "Vegano", 19, "Alcoólicos", 22, "Zero", 25, "Gelatos Proteicos", 28, 7), 7)) + (ROUND(O415,4) &gt; INDEX('Tabela de ingredientes'!$O$1:$V$30, SWITCH(B415, "Gelatos de Leite", 8, "Sorbets", 11, "Gelatos de Leite com Fruta", 14, "Chocolate base água", 17, "Vegano", 20, "Alcoólicos", 23, "Zero", 26, "Gelatos Proteicos", 29, 8), 7)) + (ROUND(P415,4) &lt; INDEX('Tabela de ingredientes'!$O$1:$V$30, SWITCH(B415, "Gelatos de Leite", 7, "Sorbets", 10, "Gelatos de Leite com Fruta", 13, "Chocolate base água", 16, "Vegano", 19, "Alcoólicos", 22, "Zero", 25, "Gelatos Proteicos", 28, 7), 8)) + (ROUND(P415,4) &gt; INDEX('Tabela de ingredientes'!$O$1:$V$30, SWITCH(B415, "Gelatos de Leite", 8, "Sorbets", 11, "Gelatos de Leite com Fruta", 14, "Chocolate base água", 17, "Vegano", 20, "Alcoólicos", 23, "Zero", 26, "Gelatos Proteicos", 29, 8), 8)) + IF(B415="Gelatos Proteicos", (ROUND(Q415,4)&lt;'Tabela de ingredientes'!$W$28)+(ROUND(Q415,4)&gt;'Tabela de ingredientes'!$W$29), 0) = 0, "Ok", "Revisar"))</f>
        <v/>
      </c>
    </row>
    <row r="416">
      <c r="A416" s="264"/>
      <c r="B416" s="264" t="s">
        <v>187</v>
      </c>
      <c r="C416" s="264" t="s">
        <v>187</v>
      </c>
      <c r="D416" s="264" t="s">
        <v>187</v>
      </c>
      <c r="E416" s="264" t="s">
        <v>187</v>
      </c>
      <c r="F416" s="264" t="s">
        <v>187</v>
      </c>
      <c r="G416" s="264" t="s">
        <v>187</v>
      </c>
      <c r="H416" s="264" t="s">
        <v>187</v>
      </c>
      <c r="I416" s="264" t="s">
        <v>187</v>
      </c>
      <c r="J416" s="264" t="s">
        <v>187</v>
      </c>
      <c r="K416" s="264" t="s">
        <v>187</v>
      </c>
      <c r="L416" s="264" t="s">
        <v>187</v>
      </c>
      <c r="M416" s="264" t="s">
        <v>187</v>
      </c>
      <c r="N416" s="264" t="s">
        <v>187</v>
      </c>
      <c r="O416" s="264" t="s">
        <v>187</v>
      </c>
      <c r="P416" s="264" t="s">
        <v>187</v>
      </c>
      <c r="Q416" s="264" t="s">
        <v>187</v>
      </c>
      <c r="R416" s="264" t="s">
        <v>187</v>
      </c>
      <c r="S416" s="97" t="str">
        <f t="array" ref="S416">IF(A416="","", IF( (ROUND(I416,4) &lt; INDEX('Tabela de ingredientes'!$O$1:$V$30, SWITCH(B416, "Gelatos de Leite", 7, "Sorbets", 10, "Gelatos de Leite com Fruta", 13, "Chocolate base água", 16, "Vegano", 19, "Alcoólicos", 22, "Zero", 25, "Gelatos Proteicos", 28, 7), 1)) + (ROUND(I416,4) &gt; INDEX('Tabela de ingredientes'!$O$1:$V$30, SWITCH(B416, "Gelatos de Leite", 8, "Sorbets", 11, "Gelatos de Leite com Fruta", 14, "Chocolate base água", 17, "Vegano", 20, "Alcoólicos", 23, "Zero", 26, "Gelatos Proteicos", 29, 8), 1)) + (ROUND(J416,4) &lt; INDEX('Tabela de ingredientes'!$O$1:$V$30, SWITCH(B416, "Gelatos de Leite", 7, "Sorbets", 10, "Gelatos de Leite com Fruta", 13, "Chocolate base água", 16, "Vegano", 19, "Alcoólicos", 22, "Zero", 25, "Gelatos Proteicos", 28, 7), 2)) + (ROUND(J416,4) &gt; INDEX('Tabela de ingredientes'!$O$1:$V$30, SWITCH(B416, "Gelatos de Leite", 8, "Sorbets", 11, "Gelatos de Leite com Fruta", 14, "Chocolate base água", 17, "Vegano", 20, "Alcoólicos", 23, "Zero", 26, "Gelatos Proteicos", 29, 8), 2)) + (ROUND(K416,4) &lt; INDEX('Tabela de ingredientes'!$O$1:$V$30, SWITCH(B416, "Gelatos de Leite", 7, "Sorbets", 10, "Gelatos de Leite com Fruta", 13, "Chocolate base água", 16, "Vegano", 19, "Alcoólicos", 22, "Zero", 25, "Gelatos Proteicos", 28, 7), 3)) + (ROUND(K416,4) &gt; INDEX('Tabela de ingredientes'!$O$1:$V$30, SWITCH(B416, "Gelatos de Leite", 8, "Sorbets", 11, "Gelatos de Leite com Fruta", 14, "Chocolate base água", 17, "Vegano", 20, "Alcoólicos", 23, "Zero", 26, "Gelatos Proteicos", 29, 8), 3)) + (ROUND(L416,4) &lt; INDEX('Tabela de ingredientes'!$O$1:$V$30, SWITCH(B416, "Gelatos de Leite", 7, "Sorbets", 10, "Gelatos de Leite com Fruta", 13, "Chocolate base água", 16, "Vegano", 19, "Alcoólicos", 22, "Zero", 25, "Gelatos Proteicos", 28, 7), 4)) + (ROUND(L416,4) &gt; INDEX('Tabela de ingredientes'!$O$1:$V$30, SWITCH(B416, "Gelatos de Leite", 8, "Sorbets", 11, "Gelatos de Leite com Fruta", 14, "Chocolate base água", 17, "Vegano", 20, "Alcoólicos", 23, "Zero", 26, "Gelatos Proteicos", 29, 8), 4)) + (ROUND(M416,4) &lt; INDEX('Tabela de ingredientes'!$O$1:$V$30, SWITCH(B416, "Gelatos de Leite", 7, "Sorbets", 10, "Gelatos de Leite com Fruta", 13, "Chocolate base água", 16, "Vegano", 19, "Alcoólicos", 22, "Zero", 25, "Gelatos Proteicos", 28, 7), 5)) + (ROUND(M416,4) &gt; INDEX('Tabela de ingredientes'!$O$1:$V$30, SWITCH(B416, "Gelatos de Leite", 8, "Sorbets", 11, "Gelatos de Leite com Fruta", 14, "Chocolate base água", 17, "Vegano", 20, "Alcoólicos", 23, "Zero", 26, "Gelatos Proteicos", 29, 8), 5)) + (ROUND(N416,4) &lt; INDEX('Tabela de ingredientes'!$O$1:$V$30, SWITCH(B416, "Gelatos de Leite", 7, "Sorbets", 10, "Gelatos de Leite com Fruta", 13, "Chocolate base água", 16, "Vegano", 19, "Alcoólicos", 22, "Zero", 25, "Gelatos Proteicos", 28, 7), 6)) + (ROUND(N416,4) &gt; INDEX('Tabela de ingredientes'!$O$1:$V$30, SWITCH(B416, "Gelatos de Leite", 8, "Sorbets", 11, "Gelatos de Leite com Fruta", 14, "Chocolate base água", 17, "Vegano", 20, "Alcoólicos", 23, "Zero", 26, "Gelatos Proteicos", 29, 8), 6)) + (ROUND(O416,4) &lt; INDEX('Tabela de ingredientes'!$O$1:$V$30, SWITCH(B416, "Gelatos de Leite", 7, "Sorbets", 10, "Gelatos de Leite com Fruta", 13, "Chocolate base água", 16, "Vegano", 19, "Alcoólicos", 22, "Zero", 25, "Gelatos Proteicos", 28, 7), 7)) + (ROUND(O416,4) &gt; INDEX('Tabela de ingredientes'!$O$1:$V$30, SWITCH(B416, "Gelatos de Leite", 8, "Sorbets", 11, "Gelatos de Leite com Fruta", 14, "Chocolate base água", 17, "Vegano", 20, "Alcoólicos", 23, "Zero", 26, "Gelatos Proteicos", 29, 8), 7)) + (ROUND(P416,4) &lt; INDEX('Tabela de ingredientes'!$O$1:$V$30, SWITCH(B416, "Gelatos de Leite", 7, "Sorbets", 10, "Gelatos de Leite com Fruta", 13, "Chocolate base água", 16, "Vegano", 19, "Alcoólicos", 22, "Zero", 25, "Gelatos Proteicos", 28, 7), 8)) + (ROUND(P416,4) &gt; INDEX('Tabela de ingredientes'!$O$1:$V$30, SWITCH(B416, "Gelatos de Leite", 8, "Sorbets", 11, "Gelatos de Leite com Fruta", 14, "Chocolate base água", 17, "Vegano", 20, "Alcoólicos", 23, "Zero", 26, "Gelatos Proteicos", 29, 8), 8)) + IF(B416="Gelatos Proteicos", (ROUND(Q416,4)&lt;'Tabela de ingredientes'!$W$28)+(ROUND(Q416,4)&gt;'Tabela de ingredientes'!$W$29), 0) = 0, "Ok", "Revisar"))</f>
        <v/>
      </c>
    </row>
    <row r="417">
      <c r="A417" s="264"/>
      <c r="B417" s="264" t="s">
        <v>187</v>
      </c>
      <c r="C417" s="264" t="s">
        <v>187</v>
      </c>
      <c r="D417" s="264" t="s">
        <v>187</v>
      </c>
      <c r="E417" s="264" t="s">
        <v>187</v>
      </c>
      <c r="F417" s="264" t="s">
        <v>187</v>
      </c>
      <c r="G417" s="264" t="s">
        <v>187</v>
      </c>
      <c r="H417" s="264" t="s">
        <v>187</v>
      </c>
      <c r="I417" s="264" t="s">
        <v>187</v>
      </c>
      <c r="J417" s="264" t="s">
        <v>187</v>
      </c>
      <c r="K417" s="264" t="s">
        <v>187</v>
      </c>
      <c r="L417" s="264" t="s">
        <v>187</v>
      </c>
      <c r="M417" s="264" t="s">
        <v>187</v>
      </c>
      <c r="N417" s="264" t="s">
        <v>187</v>
      </c>
      <c r="O417" s="264" t="s">
        <v>187</v>
      </c>
      <c r="P417" s="264" t="s">
        <v>187</v>
      </c>
      <c r="Q417" s="264" t="s">
        <v>187</v>
      </c>
      <c r="R417" s="264" t="s">
        <v>187</v>
      </c>
      <c r="S417" s="97" t="str">
        <f t="array" ref="S417">IF(A417="","", IF( (ROUND(I417,4) &lt; INDEX('Tabela de ingredientes'!$O$1:$V$30, SWITCH(B417, "Gelatos de Leite", 7, "Sorbets", 10, "Gelatos de Leite com Fruta", 13, "Chocolate base água", 16, "Vegano", 19, "Alcoólicos", 22, "Zero", 25, "Gelatos Proteicos", 28, 7), 1)) + (ROUND(I417,4) &gt; INDEX('Tabela de ingredientes'!$O$1:$V$30, SWITCH(B417, "Gelatos de Leite", 8, "Sorbets", 11, "Gelatos de Leite com Fruta", 14, "Chocolate base água", 17, "Vegano", 20, "Alcoólicos", 23, "Zero", 26, "Gelatos Proteicos", 29, 8), 1)) + (ROUND(J417,4) &lt; INDEX('Tabela de ingredientes'!$O$1:$V$30, SWITCH(B417, "Gelatos de Leite", 7, "Sorbets", 10, "Gelatos de Leite com Fruta", 13, "Chocolate base água", 16, "Vegano", 19, "Alcoólicos", 22, "Zero", 25, "Gelatos Proteicos", 28, 7), 2)) + (ROUND(J417,4) &gt; INDEX('Tabela de ingredientes'!$O$1:$V$30, SWITCH(B417, "Gelatos de Leite", 8, "Sorbets", 11, "Gelatos de Leite com Fruta", 14, "Chocolate base água", 17, "Vegano", 20, "Alcoólicos", 23, "Zero", 26, "Gelatos Proteicos", 29, 8), 2)) + (ROUND(K417,4) &lt; INDEX('Tabela de ingredientes'!$O$1:$V$30, SWITCH(B417, "Gelatos de Leite", 7, "Sorbets", 10, "Gelatos de Leite com Fruta", 13, "Chocolate base água", 16, "Vegano", 19, "Alcoólicos", 22, "Zero", 25, "Gelatos Proteicos", 28, 7), 3)) + (ROUND(K417,4) &gt; INDEX('Tabela de ingredientes'!$O$1:$V$30, SWITCH(B417, "Gelatos de Leite", 8, "Sorbets", 11, "Gelatos de Leite com Fruta", 14, "Chocolate base água", 17, "Vegano", 20, "Alcoólicos", 23, "Zero", 26, "Gelatos Proteicos", 29, 8), 3)) + (ROUND(L417,4) &lt; INDEX('Tabela de ingredientes'!$O$1:$V$30, SWITCH(B417, "Gelatos de Leite", 7, "Sorbets", 10, "Gelatos de Leite com Fruta", 13, "Chocolate base água", 16, "Vegano", 19, "Alcoólicos", 22, "Zero", 25, "Gelatos Proteicos", 28, 7), 4)) + (ROUND(L417,4) &gt; INDEX('Tabela de ingredientes'!$O$1:$V$30, SWITCH(B417, "Gelatos de Leite", 8, "Sorbets", 11, "Gelatos de Leite com Fruta", 14, "Chocolate base água", 17, "Vegano", 20, "Alcoólicos", 23, "Zero", 26, "Gelatos Proteicos", 29, 8), 4)) + (ROUND(M417,4) &lt; INDEX('Tabela de ingredientes'!$O$1:$V$30, SWITCH(B417, "Gelatos de Leite", 7, "Sorbets", 10, "Gelatos de Leite com Fruta", 13, "Chocolate base água", 16, "Vegano", 19, "Alcoólicos", 22, "Zero", 25, "Gelatos Proteicos", 28, 7), 5)) + (ROUND(M417,4) &gt; INDEX('Tabela de ingredientes'!$O$1:$V$30, SWITCH(B417, "Gelatos de Leite", 8, "Sorbets", 11, "Gelatos de Leite com Fruta", 14, "Chocolate base água", 17, "Vegano", 20, "Alcoólicos", 23, "Zero", 26, "Gelatos Proteicos", 29, 8), 5)) + (ROUND(N417,4) &lt; INDEX('Tabela de ingredientes'!$O$1:$V$30, SWITCH(B417, "Gelatos de Leite", 7, "Sorbets", 10, "Gelatos de Leite com Fruta", 13, "Chocolate base água", 16, "Vegano", 19, "Alcoólicos", 22, "Zero", 25, "Gelatos Proteicos", 28, 7), 6)) + (ROUND(N417,4) &gt; INDEX('Tabela de ingredientes'!$O$1:$V$30, SWITCH(B417, "Gelatos de Leite", 8, "Sorbets", 11, "Gelatos de Leite com Fruta", 14, "Chocolate base água", 17, "Vegano", 20, "Alcoólicos", 23, "Zero", 26, "Gelatos Proteicos", 29, 8), 6)) + (ROUND(O417,4) &lt; INDEX('Tabela de ingredientes'!$O$1:$V$30, SWITCH(B417, "Gelatos de Leite", 7, "Sorbets", 10, "Gelatos de Leite com Fruta", 13, "Chocolate base água", 16, "Vegano", 19, "Alcoólicos", 22, "Zero", 25, "Gelatos Proteicos", 28, 7), 7)) + (ROUND(O417,4) &gt; INDEX('Tabela de ingredientes'!$O$1:$V$30, SWITCH(B417, "Gelatos de Leite", 8, "Sorbets", 11, "Gelatos de Leite com Fruta", 14, "Chocolate base água", 17, "Vegano", 20, "Alcoólicos", 23, "Zero", 26, "Gelatos Proteicos", 29, 8), 7)) + (ROUND(P417,4) &lt; INDEX('Tabela de ingredientes'!$O$1:$V$30, SWITCH(B417, "Gelatos de Leite", 7, "Sorbets", 10, "Gelatos de Leite com Fruta", 13, "Chocolate base água", 16, "Vegano", 19, "Alcoólicos", 22, "Zero", 25, "Gelatos Proteicos", 28, 7), 8)) + (ROUND(P417,4) &gt; INDEX('Tabela de ingredientes'!$O$1:$V$30, SWITCH(B417, "Gelatos de Leite", 8, "Sorbets", 11, "Gelatos de Leite com Fruta", 14, "Chocolate base água", 17, "Vegano", 20, "Alcoólicos", 23, "Zero", 26, "Gelatos Proteicos", 29, 8), 8)) + IF(B417="Gelatos Proteicos", (ROUND(Q417,4)&lt;'Tabela de ingredientes'!$W$28)+(ROUND(Q417,4)&gt;'Tabela de ingredientes'!$W$29), 0) = 0, "Ok", "Revisar"))</f>
        <v/>
      </c>
    </row>
    <row r="418">
      <c r="A418" s="264"/>
      <c r="B418" s="264" t="s">
        <v>187</v>
      </c>
      <c r="C418" s="264" t="s">
        <v>187</v>
      </c>
      <c r="D418" s="264" t="s">
        <v>187</v>
      </c>
      <c r="E418" s="264" t="s">
        <v>187</v>
      </c>
      <c r="F418" s="264" t="s">
        <v>187</v>
      </c>
      <c r="G418" s="264" t="s">
        <v>187</v>
      </c>
      <c r="H418" s="264" t="s">
        <v>187</v>
      </c>
      <c r="I418" s="264" t="s">
        <v>187</v>
      </c>
      <c r="J418" s="264" t="s">
        <v>187</v>
      </c>
      <c r="K418" s="264" t="s">
        <v>187</v>
      </c>
      <c r="L418" s="264" t="s">
        <v>187</v>
      </c>
      <c r="M418" s="264" t="s">
        <v>187</v>
      </c>
      <c r="N418" s="264" t="s">
        <v>187</v>
      </c>
      <c r="O418" s="264" t="s">
        <v>187</v>
      </c>
      <c r="P418" s="264" t="s">
        <v>187</v>
      </c>
      <c r="Q418" s="264" t="s">
        <v>187</v>
      </c>
      <c r="R418" s="264" t="s">
        <v>187</v>
      </c>
      <c r="S418" s="97" t="str">
        <f t="array" ref="S418">IF(A418="","", IF( (ROUND(I418,4) &lt; INDEX('Tabela de ingredientes'!$O$1:$V$30, SWITCH(B418, "Gelatos de Leite", 7, "Sorbets", 10, "Gelatos de Leite com Fruta", 13, "Chocolate base água", 16, "Vegano", 19, "Alcoólicos", 22, "Zero", 25, "Gelatos Proteicos", 28, 7), 1)) + (ROUND(I418,4) &gt; INDEX('Tabela de ingredientes'!$O$1:$V$30, SWITCH(B418, "Gelatos de Leite", 8, "Sorbets", 11, "Gelatos de Leite com Fruta", 14, "Chocolate base água", 17, "Vegano", 20, "Alcoólicos", 23, "Zero", 26, "Gelatos Proteicos", 29, 8), 1)) + (ROUND(J418,4) &lt; INDEX('Tabela de ingredientes'!$O$1:$V$30, SWITCH(B418, "Gelatos de Leite", 7, "Sorbets", 10, "Gelatos de Leite com Fruta", 13, "Chocolate base água", 16, "Vegano", 19, "Alcoólicos", 22, "Zero", 25, "Gelatos Proteicos", 28, 7), 2)) + (ROUND(J418,4) &gt; INDEX('Tabela de ingredientes'!$O$1:$V$30, SWITCH(B418, "Gelatos de Leite", 8, "Sorbets", 11, "Gelatos de Leite com Fruta", 14, "Chocolate base água", 17, "Vegano", 20, "Alcoólicos", 23, "Zero", 26, "Gelatos Proteicos", 29, 8), 2)) + (ROUND(K418,4) &lt; INDEX('Tabela de ingredientes'!$O$1:$V$30, SWITCH(B418, "Gelatos de Leite", 7, "Sorbets", 10, "Gelatos de Leite com Fruta", 13, "Chocolate base água", 16, "Vegano", 19, "Alcoólicos", 22, "Zero", 25, "Gelatos Proteicos", 28, 7), 3)) + (ROUND(K418,4) &gt; INDEX('Tabela de ingredientes'!$O$1:$V$30, SWITCH(B418, "Gelatos de Leite", 8, "Sorbets", 11, "Gelatos de Leite com Fruta", 14, "Chocolate base água", 17, "Vegano", 20, "Alcoólicos", 23, "Zero", 26, "Gelatos Proteicos", 29, 8), 3)) + (ROUND(L418,4) &lt; INDEX('Tabela de ingredientes'!$O$1:$V$30, SWITCH(B418, "Gelatos de Leite", 7, "Sorbets", 10, "Gelatos de Leite com Fruta", 13, "Chocolate base água", 16, "Vegano", 19, "Alcoólicos", 22, "Zero", 25, "Gelatos Proteicos", 28, 7), 4)) + (ROUND(L418,4) &gt; INDEX('Tabela de ingredientes'!$O$1:$V$30, SWITCH(B418, "Gelatos de Leite", 8, "Sorbets", 11, "Gelatos de Leite com Fruta", 14, "Chocolate base água", 17, "Vegano", 20, "Alcoólicos", 23, "Zero", 26, "Gelatos Proteicos", 29, 8), 4)) + (ROUND(M418,4) &lt; INDEX('Tabela de ingredientes'!$O$1:$V$30, SWITCH(B418, "Gelatos de Leite", 7, "Sorbets", 10, "Gelatos de Leite com Fruta", 13, "Chocolate base água", 16, "Vegano", 19, "Alcoólicos", 22, "Zero", 25, "Gelatos Proteicos", 28, 7), 5)) + (ROUND(M418,4) &gt; INDEX('Tabela de ingredientes'!$O$1:$V$30, SWITCH(B418, "Gelatos de Leite", 8, "Sorbets", 11, "Gelatos de Leite com Fruta", 14, "Chocolate base água", 17, "Vegano", 20, "Alcoólicos", 23, "Zero", 26, "Gelatos Proteicos", 29, 8), 5)) + (ROUND(N418,4) &lt; INDEX('Tabela de ingredientes'!$O$1:$V$30, SWITCH(B418, "Gelatos de Leite", 7, "Sorbets", 10, "Gelatos de Leite com Fruta", 13, "Chocolate base água", 16, "Vegano", 19, "Alcoólicos", 22, "Zero", 25, "Gelatos Proteicos", 28, 7), 6)) + (ROUND(N418,4) &gt; INDEX('Tabela de ingredientes'!$O$1:$V$30, SWITCH(B418, "Gelatos de Leite", 8, "Sorbets", 11, "Gelatos de Leite com Fruta", 14, "Chocolate base água", 17, "Vegano", 20, "Alcoólicos", 23, "Zero", 26, "Gelatos Proteicos", 29, 8), 6)) + (ROUND(O418,4) &lt; INDEX('Tabela de ingredientes'!$O$1:$V$30, SWITCH(B418, "Gelatos de Leite", 7, "Sorbets", 10, "Gelatos de Leite com Fruta", 13, "Chocolate base água", 16, "Vegano", 19, "Alcoólicos", 22, "Zero", 25, "Gelatos Proteicos", 28, 7), 7)) + (ROUND(O418,4) &gt; INDEX('Tabela de ingredientes'!$O$1:$V$30, SWITCH(B418, "Gelatos de Leite", 8, "Sorbets", 11, "Gelatos de Leite com Fruta", 14, "Chocolate base água", 17, "Vegano", 20, "Alcoólicos", 23, "Zero", 26, "Gelatos Proteicos", 29, 8), 7)) + (ROUND(P418,4) &lt; INDEX('Tabela de ingredientes'!$O$1:$V$30, SWITCH(B418, "Gelatos de Leite", 7, "Sorbets", 10, "Gelatos de Leite com Fruta", 13, "Chocolate base água", 16, "Vegano", 19, "Alcoólicos", 22, "Zero", 25, "Gelatos Proteicos", 28, 7), 8)) + (ROUND(P418,4) &gt; INDEX('Tabela de ingredientes'!$O$1:$V$30, SWITCH(B418, "Gelatos de Leite", 8, "Sorbets", 11, "Gelatos de Leite com Fruta", 14, "Chocolate base água", 17, "Vegano", 20, "Alcoólicos", 23, "Zero", 26, "Gelatos Proteicos", 29, 8), 8)) + IF(B418="Gelatos Proteicos", (ROUND(Q418,4)&lt;'Tabela de ingredientes'!$W$28)+(ROUND(Q418,4)&gt;'Tabela de ingredientes'!$W$29), 0) = 0, "Ok", "Revisar"))</f>
        <v/>
      </c>
    </row>
    <row r="419">
      <c r="A419" s="264"/>
      <c r="B419" s="264" t="s">
        <v>187</v>
      </c>
      <c r="C419" s="264" t="s">
        <v>187</v>
      </c>
      <c r="D419" s="264" t="s">
        <v>187</v>
      </c>
      <c r="E419" s="264" t="s">
        <v>187</v>
      </c>
      <c r="F419" s="264" t="s">
        <v>187</v>
      </c>
      <c r="G419" s="264" t="s">
        <v>187</v>
      </c>
      <c r="H419" s="264" t="s">
        <v>187</v>
      </c>
      <c r="I419" s="264" t="s">
        <v>187</v>
      </c>
      <c r="J419" s="264" t="s">
        <v>187</v>
      </c>
      <c r="K419" s="264" t="s">
        <v>187</v>
      </c>
      <c r="L419" s="264" t="s">
        <v>187</v>
      </c>
      <c r="M419" s="264" t="s">
        <v>187</v>
      </c>
      <c r="N419" s="264" t="s">
        <v>187</v>
      </c>
      <c r="O419" s="264" t="s">
        <v>187</v>
      </c>
      <c r="P419" s="264" t="s">
        <v>187</v>
      </c>
      <c r="Q419" s="264" t="s">
        <v>187</v>
      </c>
      <c r="R419" s="264" t="s">
        <v>187</v>
      </c>
      <c r="S419" s="97" t="str">
        <f t="array" ref="S419">IF(A419="","", IF( (ROUND(I419,4) &lt; INDEX('Tabela de ingredientes'!$O$1:$V$30, SWITCH(B419, "Gelatos de Leite", 7, "Sorbets", 10, "Gelatos de Leite com Fruta", 13, "Chocolate base água", 16, "Vegano", 19, "Alcoólicos", 22, "Zero", 25, "Gelatos Proteicos", 28, 7), 1)) + (ROUND(I419,4) &gt; INDEX('Tabela de ingredientes'!$O$1:$V$30, SWITCH(B419, "Gelatos de Leite", 8, "Sorbets", 11, "Gelatos de Leite com Fruta", 14, "Chocolate base água", 17, "Vegano", 20, "Alcoólicos", 23, "Zero", 26, "Gelatos Proteicos", 29, 8), 1)) + (ROUND(J419,4) &lt; INDEX('Tabela de ingredientes'!$O$1:$V$30, SWITCH(B419, "Gelatos de Leite", 7, "Sorbets", 10, "Gelatos de Leite com Fruta", 13, "Chocolate base água", 16, "Vegano", 19, "Alcoólicos", 22, "Zero", 25, "Gelatos Proteicos", 28, 7), 2)) + (ROUND(J419,4) &gt; INDEX('Tabela de ingredientes'!$O$1:$V$30, SWITCH(B419, "Gelatos de Leite", 8, "Sorbets", 11, "Gelatos de Leite com Fruta", 14, "Chocolate base água", 17, "Vegano", 20, "Alcoólicos", 23, "Zero", 26, "Gelatos Proteicos", 29, 8), 2)) + (ROUND(K419,4) &lt; INDEX('Tabela de ingredientes'!$O$1:$V$30, SWITCH(B419, "Gelatos de Leite", 7, "Sorbets", 10, "Gelatos de Leite com Fruta", 13, "Chocolate base água", 16, "Vegano", 19, "Alcoólicos", 22, "Zero", 25, "Gelatos Proteicos", 28, 7), 3)) + (ROUND(K419,4) &gt; INDEX('Tabela de ingredientes'!$O$1:$V$30, SWITCH(B419, "Gelatos de Leite", 8, "Sorbets", 11, "Gelatos de Leite com Fruta", 14, "Chocolate base água", 17, "Vegano", 20, "Alcoólicos", 23, "Zero", 26, "Gelatos Proteicos", 29, 8), 3)) + (ROUND(L419,4) &lt; INDEX('Tabela de ingredientes'!$O$1:$V$30, SWITCH(B419, "Gelatos de Leite", 7, "Sorbets", 10, "Gelatos de Leite com Fruta", 13, "Chocolate base água", 16, "Vegano", 19, "Alcoólicos", 22, "Zero", 25, "Gelatos Proteicos", 28, 7), 4)) + (ROUND(L419,4) &gt; INDEX('Tabela de ingredientes'!$O$1:$V$30, SWITCH(B419, "Gelatos de Leite", 8, "Sorbets", 11, "Gelatos de Leite com Fruta", 14, "Chocolate base água", 17, "Vegano", 20, "Alcoólicos", 23, "Zero", 26, "Gelatos Proteicos", 29, 8), 4)) + (ROUND(M419,4) &lt; INDEX('Tabela de ingredientes'!$O$1:$V$30, SWITCH(B419, "Gelatos de Leite", 7, "Sorbets", 10, "Gelatos de Leite com Fruta", 13, "Chocolate base água", 16, "Vegano", 19, "Alcoólicos", 22, "Zero", 25, "Gelatos Proteicos", 28, 7), 5)) + (ROUND(M419,4) &gt; INDEX('Tabela de ingredientes'!$O$1:$V$30, SWITCH(B419, "Gelatos de Leite", 8, "Sorbets", 11, "Gelatos de Leite com Fruta", 14, "Chocolate base água", 17, "Vegano", 20, "Alcoólicos", 23, "Zero", 26, "Gelatos Proteicos", 29, 8), 5)) + (ROUND(N419,4) &lt; INDEX('Tabela de ingredientes'!$O$1:$V$30, SWITCH(B419, "Gelatos de Leite", 7, "Sorbets", 10, "Gelatos de Leite com Fruta", 13, "Chocolate base água", 16, "Vegano", 19, "Alcoólicos", 22, "Zero", 25, "Gelatos Proteicos", 28, 7), 6)) + (ROUND(N419,4) &gt; INDEX('Tabela de ingredientes'!$O$1:$V$30, SWITCH(B419, "Gelatos de Leite", 8, "Sorbets", 11, "Gelatos de Leite com Fruta", 14, "Chocolate base água", 17, "Vegano", 20, "Alcoólicos", 23, "Zero", 26, "Gelatos Proteicos", 29, 8), 6)) + (ROUND(O419,4) &lt; INDEX('Tabela de ingredientes'!$O$1:$V$30, SWITCH(B419, "Gelatos de Leite", 7, "Sorbets", 10, "Gelatos de Leite com Fruta", 13, "Chocolate base água", 16, "Vegano", 19, "Alcoólicos", 22, "Zero", 25, "Gelatos Proteicos", 28, 7), 7)) + (ROUND(O419,4) &gt; INDEX('Tabela de ingredientes'!$O$1:$V$30, SWITCH(B419, "Gelatos de Leite", 8, "Sorbets", 11, "Gelatos de Leite com Fruta", 14, "Chocolate base água", 17, "Vegano", 20, "Alcoólicos", 23, "Zero", 26, "Gelatos Proteicos", 29, 8), 7)) + (ROUND(P419,4) &lt; INDEX('Tabela de ingredientes'!$O$1:$V$30, SWITCH(B419, "Gelatos de Leite", 7, "Sorbets", 10, "Gelatos de Leite com Fruta", 13, "Chocolate base água", 16, "Vegano", 19, "Alcoólicos", 22, "Zero", 25, "Gelatos Proteicos", 28, 7), 8)) + (ROUND(P419,4) &gt; INDEX('Tabela de ingredientes'!$O$1:$V$30, SWITCH(B419, "Gelatos de Leite", 8, "Sorbets", 11, "Gelatos de Leite com Fruta", 14, "Chocolate base água", 17, "Vegano", 20, "Alcoólicos", 23, "Zero", 26, "Gelatos Proteicos", 29, 8), 8)) + IF(B419="Gelatos Proteicos", (ROUND(Q419,4)&lt;'Tabela de ingredientes'!$W$28)+(ROUND(Q419,4)&gt;'Tabela de ingredientes'!$W$29), 0) = 0, "Ok", "Revisar"))</f>
        <v/>
      </c>
    </row>
    <row r="420">
      <c r="A420" s="264"/>
      <c r="B420" s="264" t="s">
        <v>187</v>
      </c>
      <c r="C420" s="264" t="s">
        <v>187</v>
      </c>
      <c r="D420" s="264" t="s">
        <v>187</v>
      </c>
      <c r="E420" s="264" t="s">
        <v>187</v>
      </c>
      <c r="F420" s="264" t="s">
        <v>187</v>
      </c>
      <c r="G420" s="264" t="s">
        <v>187</v>
      </c>
      <c r="H420" s="264" t="s">
        <v>187</v>
      </c>
      <c r="I420" s="264" t="s">
        <v>187</v>
      </c>
      <c r="J420" s="264" t="s">
        <v>187</v>
      </c>
      <c r="K420" s="264" t="s">
        <v>187</v>
      </c>
      <c r="L420" s="264" t="s">
        <v>187</v>
      </c>
      <c r="M420" s="264" t="s">
        <v>187</v>
      </c>
      <c r="N420" s="264" t="s">
        <v>187</v>
      </c>
      <c r="O420" s="264" t="s">
        <v>187</v>
      </c>
      <c r="P420" s="264" t="s">
        <v>187</v>
      </c>
      <c r="Q420" s="264" t="s">
        <v>187</v>
      </c>
      <c r="R420" s="264" t="s">
        <v>187</v>
      </c>
      <c r="S420" s="97" t="str">
        <f t="array" ref="S420">IF(A420="","", IF( (ROUND(I420,4) &lt; INDEX('Tabela de ingredientes'!$O$1:$V$30, SWITCH(B420, "Gelatos de Leite", 7, "Sorbets", 10, "Gelatos de Leite com Fruta", 13, "Chocolate base água", 16, "Vegano", 19, "Alcoólicos", 22, "Zero", 25, "Gelatos Proteicos", 28, 7), 1)) + (ROUND(I420,4) &gt; INDEX('Tabela de ingredientes'!$O$1:$V$30, SWITCH(B420, "Gelatos de Leite", 8, "Sorbets", 11, "Gelatos de Leite com Fruta", 14, "Chocolate base água", 17, "Vegano", 20, "Alcoólicos", 23, "Zero", 26, "Gelatos Proteicos", 29, 8), 1)) + (ROUND(J420,4) &lt; INDEX('Tabela de ingredientes'!$O$1:$V$30, SWITCH(B420, "Gelatos de Leite", 7, "Sorbets", 10, "Gelatos de Leite com Fruta", 13, "Chocolate base água", 16, "Vegano", 19, "Alcoólicos", 22, "Zero", 25, "Gelatos Proteicos", 28, 7), 2)) + (ROUND(J420,4) &gt; INDEX('Tabela de ingredientes'!$O$1:$V$30, SWITCH(B420, "Gelatos de Leite", 8, "Sorbets", 11, "Gelatos de Leite com Fruta", 14, "Chocolate base água", 17, "Vegano", 20, "Alcoólicos", 23, "Zero", 26, "Gelatos Proteicos", 29, 8), 2)) + (ROUND(K420,4) &lt; INDEX('Tabela de ingredientes'!$O$1:$V$30, SWITCH(B420, "Gelatos de Leite", 7, "Sorbets", 10, "Gelatos de Leite com Fruta", 13, "Chocolate base água", 16, "Vegano", 19, "Alcoólicos", 22, "Zero", 25, "Gelatos Proteicos", 28, 7), 3)) + (ROUND(K420,4) &gt; INDEX('Tabela de ingredientes'!$O$1:$V$30, SWITCH(B420, "Gelatos de Leite", 8, "Sorbets", 11, "Gelatos de Leite com Fruta", 14, "Chocolate base água", 17, "Vegano", 20, "Alcoólicos", 23, "Zero", 26, "Gelatos Proteicos", 29, 8), 3)) + (ROUND(L420,4) &lt; INDEX('Tabela de ingredientes'!$O$1:$V$30, SWITCH(B420, "Gelatos de Leite", 7, "Sorbets", 10, "Gelatos de Leite com Fruta", 13, "Chocolate base água", 16, "Vegano", 19, "Alcoólicos", 22, "Zero", 25, "Gelatos Proteicos", 28, 7), 4)) + (ROUND(L420,4) &gt; INDEX('Tabela de ingredientes'!$O$1:$V$30, SWITCH(B420, "Gelatos de Leite", 8, "Sorbets", 11, "Gelatos de Leite com Fruta", 14, "Chocolate base água", 17, "Vegano", 20, "Alcoólicos", 23, "Zero", 26, "Gelatos Proteicos", 29, 8), 4)) + (ROUND(M420,4) &lt; INDEX('Tabela de ingredientes'!$O$1:$V$30, SWITCH(B420, "Gelatos de Leite", 7, "Sorbets", 10, "Gelatos de Leite com Fruta", 13, "Chocolate base água", 16, "Vegano", 19, "Alcoólicos", 22, "Zero", 25, "Gelatos Proteicos", 28, 7), 5)) + (ROUND(M420,4) &gt; INDEX('Tabela de ingredientes'!$O$1:$V$30, SWITCH(B420, "Gelatos de Leite", 8, "Sorbets", 11, "Gelatos de Leite com Fruta", 14, "Chocolate base água", 17, "Vegano", 20, "Alcoólicos", 23, "Zero", 26, "Gelatos Proteicos", 29, 8), 5)) + (ROUND(N420,4) &lt; INDEX('Tabela de ingredientes'!$O$1:$V$30, SWITCH(B420, "Gelatos de Leite", 7, "Sorbets", 10, "Gelatos de Leite com Fruta", 13, "Chocolate base água", 16, "Vegano", 19, "Alcoólicos", 22, "Zero", 25, "Gelatos Proteicos", 28, 7), 6)) + (ROUND(N420,4) &gt; INDEX('Tabela de ingredientes'!$O$1:$V$30, SWITCH(B420, "Gelatos de Leite", 8, "Sorbets", 11, "Gelatos de Leite com Fruta", 14, "Chocolate base água", 17, "Vegano", 20, "Alcoólicos", 23, "Zero", 26, "Gelatos Proteicos", 29, 8), 6)) + (ROUND(O420,4) &lt; INDEX('Tabela de ingredientes'!$O$1:$V$30, SWITCH(B420, "Gelatos de Leite", 7, "Sorbets", 10, "Gelatos de Leite com Fruta", 13, "Chocolate base água", 16, "Vegano", 19, "Alcoólicos", 22, "Zero", 25, "Gelatos Proteicos", 28, 7), 7)) + (ROUND(O420,4) &gt; INDEX('Tabela de ingredientes'!$O$1:$V$30, SWITCH(B420, "Gelatos de Leite", 8, "Sorbets", 11, "Gelatos de Leite com Fruta", 14, "Chocolate base água", 17, "Vegano", 20, "Alcoólicos", 23, "Zero", 26, "Gelatos Proteicos", 29, 8), 7)) + (ROUND(P420,4) &lt; INDEX('Tabela de ingredientes'!$O$1:$V$30, SWITCH(B420, "Gelatos de Leite", 7, "Sorbets", 10, "Gelatos de Leite com Fruta", 13, "Chocolate base água", 16, "Vegano", 19, "Alcoólicos", 22, "Zero", 25, "Gelatos Proteicos", 28, 7), 8)) + (ROUND(P420,4) &gt; INDEX('Tabela de ingredientes'!$O$1:$V$30, SWITCH(B420, "Gelatos de Leite", 8, "Sorbets", 11, "Gelatos de Leite com Fruta", 14, "Chocolate base água", 17, "Vegano", 20, "Alcoólicos", 23, "Zero", 26, "Gelatos Proteicos", 29, 8), 8)) + IF(B420="Gelatos Proteicos", (ROUND(Q420,4)&lt;'Tabela de ingredientes'!$W$28)+(ROUND(Q420,4)&gt;'Tabela de ingredientes'!$W$29), 0) = 0, "Ok", "Revisar"))</f>
        <v/>
      </c>
    </row>
    <row r="421">
      <c r="A421" s="264"/>
      <c r="B421" s="264" t="s">
        <v>187</v>
      </c>
      <c r="C421" s="264" t="s">
        <v>187</v>
      </c>
      <c r="D421" s="264" t="s">
        <v>187</v>
      </c>
      <c r="E421" s="264" t="s">
        <v>187</v>
      </c>
      <c r="F421" s="264" t="s">
        <v>187</v>
      </c>
      <c r="G421" s="264" t="s">
        <v>187</v>
      </c>
      <c r="H421" s="264" t="s">
        <v>187</v>
      </c>
      <c r="I421" s="264" t="s">
        <v>187</v>
      </c>
      <c r="J421" s="264" t="s">
        <v>187</v>
      </c>
      <c r="K421" s="264" t="s">
        <v>187</v>
      </c>
      <c r="L421" s="264" t="s">
        <v>187</v>
      </c>
      <c r="M421" s="264" t="s">
        <v>187</v>
      </c>
      <c r="N421" s="264" t="s">
        <v>187</v>
      </c>
      <c r="O421" s="264" t="s">
        <v>187</v>
      </c>
      <c r="P421" s="264" t="s">
        <v>187</v>
      </c>
      <c r="Q421" s="264" t="s">
        <v>187</v>
      </c>
      <c r="R421" s="264" t="s">
        <v>187</v>
      </c>
      <c r="S421" s="97" t="str">
        <f t="array" ref="S421">IF(A421="","", IF( (ROUND(I421,4) &lt; INDEX('Tabela de ingredientes'!$O$1:$V$30, SWITCH(B421, "Gelatos de Leite", 7, "Sorbets", 10, "Gelatos de Leite com Fruta", 13, "Chocolate base água", 16, "Vegano", 19, "Alcoólicos", 22, "Zero", 25, "Gelatos Proteicos", 28, 7), 1)) + (ROUND(I421,4) &gt; INDEX('Tabela de ingredientes'!$O$1:$V$30, SWITCH(B421, "Gelatos de Leite", 8, "Sorbets", 11, "Gelatos de Leite com Fruta", 14, "Chocolate base água", 17, "Vegano", 20, "Alcoólicos", 23, "Zero", 26, "Gelatos Proteicos", 29, 8), 1)) + (ROUND(J421,4) &lt; INDEX('Tabela de ingredientes'!$O$1:$V$30, SWITCH(B421, "Gelatos de Leite", 7, "Sorbets", 10, "Gelatos de Leite com Fruta", 13, "Chocolate base água", 16, "Vegano", 19, "Alcoólicos", 22, "Zero", 25, "Gelatos Proteicos", 28, 7), 2)) + (ROUND(J421,4) &gt; INDEX('Tabela de ingredientes'!$O$1:$V$30, SWITCH(B421, "Gelatos de Leite", 8, "Sorbets", 11, "Gelatos de Leite com Fruta", 14, "Chocolate base água", 17, "Vegano", 20, "Alcoólicos", 23, "Zero", 26, "Gelatos Proteicos", 29, 8), 2)) + (ROUND(K421,4) &lt; INDEX('Tabela de ingredientes'!$O$1:$V$30, SWITCH(B421, "Gelatos de Leite", 7, "Sorbets", 10, "Gelatos de Leite com Fruta", 13, "Chocolate base água", 16, "Vegano", 19, "Alcoólicos", 22, "Zero", 25, "Gelatos Proteicos", 28, 7), 3)) + (ROUND(K421,4) &gt; INDEX('Tabela de ingredientes'!$O$1:$V$30, SWITCH(B421, "Gelatos de Leite", 8, "Sorbets", 11, "Gelatos de Leite com Fruta", 14, "Chocolate base água", 17, "Vegano", 20, "Alcoólicos", 23, "Zero", 26, "Gelatos Proteicos", 29, 8), 3)) + (ROUND(L421,4) &lt; INDEX('Tabela de ingredientes'!$O$1:$V$30, SWITCH(B421, "Gelatos de Leite", 7, "Sorbets", 10, "Gelatos de Leite com Fruta", 13, "Chocolate base água", 16, "Vegano", 19, "Alcoólicos", 22, "Zero", 25, "Gelatos Proteicos", 28, 7), 4)) + (ROUND(L421,4) &gt; INDEX('Tabela de ingredientes'!$O$1:$V$30, SWITCH(B421, "Gelatos de Leite", 8, "Sorbets", 11, "Gelatos de Leite com Fruta", 14, "Chocolate base água", 17, "Vegano", 20, "Alcoólicos", 23, "Zero", 26, "Gelatos Proteicos", 29, 8), 4)) + (ROUND(M421,4) &lt; INDEX('Tabela de ingredientes'!$O$1:$V$30, SWITCH(B421, "Gelatos de Leite", 7, "Sorbets", 10, "Gelatos de Leite com Fruta", 13, "Chocolate base água", 16, "Vegano", 19, "Alcoólicos", 22, "Zero", 25, "Gelatos Proteicos", 28, 7), 5)) + (ROUND(M421,4) &gt; INDEX('Tabela de ingredientes'!$O$1:$V$30, SWITCH(B421, "Gelatos de Leite", 8, "Sorbets", 11, "Gelatos de Leite com Fruta", 14, "Chocolate base água", 17, "Vegano", 20, "Alcoólicos", 23, "Zero", 26, "Gelatos Proteicos", 29, 8), 5)) + (ROUND(N421,4) &lt; INDEX('Tabela de ingredientes'!$O$1:$V$30, SWITCH(B421, "Gelatos de Leite", 7, "Sorbets", 10, "Gelatos de Leite com Fruta", 13, "Chocolate base água", 16, "Vegano", 19, "Alcoólicos", 22, "Zero", 25, "Gelatos Proteicos", 28, 7), 6)) + (ROUND(N421,4) &gt; INDEX('Tabela de ingredientes'!$O$1:$V$30, SWITCH(B421, "Gelatos de Leite", 8, "Sorbets", 11, "Gelatos de Leite com Fruta", 14, "Chocolate base água", 17, "Vegano", 20, "Alcoólicos", 23, "Zero", 26, "Gelatos Proteicos", 29, 8), 6)) + (ROUND(O421,4) &lt; INDEX('Tabela de ingredientes'!$O$1:$V$30, SWITCH(B421, "Gelatos de Leite", 7, "Sorbets", 10, "Gelatos de Leite com Fruta", 13, "Chocolate base água", 16, "Vegano", 19, "Alcoólicos", 22, "Zero", 25, "Gelatos Proteicos", 28, 7), 7)) + (ROUND(O421,4) &gt; INDEX('Tabela de ingredientes'!$O$1:$V$30, SWITCH(B421, "Gelatos de Leite", 8, "Sorbets", 11, "Gelatos de Leite com Fruta", 14, "Chocolate base água", 17, "Vegano", 20, "Alcoólicos", 23, "Zero", 26, "Gelatos Proteicos", 29, 8), 7)) + (ROUND(P421,4) &lt; INDEX('Tabela de ingredientes'!$O$1:$V$30, SWITCH(B421, "Gelatos de Leite", 7, "Sorbets", 10, "Gelatos de Leite com Fruta", 13, "Chocolate base água", 16, "Vegano", 19, "Alcoólicos", 22, "Zero", 25, "Gelatos Proteicos", 28, 7), 8)) + (ROUND(P421,4) &gt; INDEX('Tabela de ingredientes'!$O$1:$V$30, SWITCH(B421, "Gelatos de Leite", 8, "Sorbets", 11, "Gelatos de Leite com Fruta", 14, "Chocolate base água", 17, "Vegano", 20, "Alcoólicos", 23, "Zero", 26, "Gelatos Proteicos", 29, 8), 8)) + IF(B421="Gelatos Proteicos", (ROUND(Q421,4)&lt;'Tabela de ingredientes'!$W$28)+(ROUND(Q421,4)&gt;'Tabela de ingredientes'!$W$29), 0) = 0, "Ok", "Revisar"))</f>
        <v/>
      </c>
    </row>
    <row r="422">
      <c r="A422" s="264"/>
      <c r="B422" s="264" t="s">
        <v>187</v>
      </c>
      <c r="C422" s="264" t="s">
        <v>187</v>
      </c>
      <c r="D422" s="264" t="s">
        <v>187</v>
      </c>
      <c r="E422" s="264" t="s">
        <v>187</v>
      </c>
      <c r="F422" s="264" t="s">
        <v>187</v>
      </c>
      <c r="G422" s="264" t="s">
        <v>187</v>
      </c>
      <c r="H422" s="264" t="s">
        <v>187</v>
      </c>
      <c r="I422" s="264" t="s">
        <v>187</v>
      </c>
      <c r="J422" s="264" t="s">
        <v>187</v>
      </c>
      <c r="K422" s="264" t="s">
        <v>187</v>
      </c>
      <c r="L422" s="264" t="s">
        <v>187</v>
      </c>
      <c r="M422" s="264" t="s">
        <v>187</v>
      </c>
      <c r="N422" s="264" t="s">
        <v>187</v>
      </c>
      <c r="O422" s="264" t="s">
        <v>187</v>
      </c>
      <c r="P422" s="264" t="s">
        <v>187</v>
      </c>
      <c r="Q422" s="264" t="s">
        <v>187</v>
      </c>
      <c r="R422" s="264" t="s">
        <v>187</v>
      </c>
      <c r="S422" s="97" t="str">
        <f t="array" ref="S422">IF(A422="","", IF( (ROUND(I422,4) &lt; INDEX('Tabela de ingredientes'!$O$1:$V$30, SWITCH(B422, "Gelatos de Leite", 7, "Sorbets", 10, "Gelatos de Leite com Fruta", 13, "Chocolate base água", 16, "Vegano", 19, "Alcoólicos", 22, "Zero", 25, "Gelatos Proteicos", 28, 7), 1)) + (ROUND(I422,4) &gt; INDEX('Tabela de ingredientes'!$O$1:$V$30, SWITCH(B422, "Gelatos de Leite", 8, "Sorbets", 11, "Gelatos de Leite com Fruta", 14, "Chocolate base água", 17, "Vegano", 20, "Alcoólicos", 23, "Zero", 26, "Gelatos Proteicos", 29, 8), 1)) + (ROUND(J422,4) &lt; INDEX('Tabela de ingredientes'!$O$1:$V$30, SWITCH(B422, "Gelatos de Leite", 7, "Sorbets", 10, "Gelatos de Leite com Fruta", 13, "Chocolate base água", 16, "Vegano", 19, "Alcoólicos", 22, "Zero", 25, "Gelatos Proteicos", 28, 7), 2)) + (ROUND(J422,4) &gt; INDEX('Tabela de ingredientes'!$O$1:$V$30, SWITCH(B422, "Gelatos de Leite", 8, "Sorbets", 11, "Gelatos de Leite com Fruta", 14, "Chocolate base água", 17, "Vegano", 20, "Alcoólicos", 23, "Zero", 26, "Gelatos Proteicos", 29, 8), 2)) + (ROUND(K422,4) &lt; INDEX('Tabela de ingredientes'!$O$1:$V$30, SWITCH(B422, "Gelatos de Leite", 7, "Sorbets", 10, "Gelatos de Leite com Fruta", 13, "Chocolate base água", 16, "Vegano", 19, "Alcoólicos", 22, "Zero", 25, "Gelatos Proteicos", 28, 7), 3)) + (ROUND(K422,4) &gt; INDEX('Tabela de ingredientes'!$O$1:$V$30, SWITCH(B422, "Gelatos de Leite", 8, "Sorbets", 11, "Gelatos de Leite com Fruta", 14, "Chocolate base água", 17, "Vegano", 20, "Alcoólicos", 23, "Zero", 26, "Gelatos Proteicos", 29, 8), 3)) + (ROUND(L422,4) &lt; INDEX('Tabela de ingredientes'!$O$1:$V$30, SWITCH(B422, "Gelatos de Leite", 7, "Sorbets", 10, "Gelatos de Leite com Fruta", 13, "Chocolate base água", 16, "Vegano", 19, "Alcoólicos", 22, "Zero", 25, "Gelatos Proteicos", 28, 7), 4)) + (ROUND(L422,4) &gt; INDEX('Tabela de ingredientes'!$O$1:$V$30, SWITCH(B422, "Gelatos de Leite", 8, "Sorbets", 11, "Gelatos de Leite com Fruta", 14, "Chocolate base água", 17, "Vegano", 20, "Alcoólicos", 23, "Zero", 26, "Gelatos Proteicos", 29, 8), 4)) + (ROUND(M422,4) &lt; INDEX('Tabela de ingredientes'!$O$1:$V$30, SWITCH(B422, "Gelatos de Leite", 7, "Sorbets", 10, "Gelatos de Leite com Fruta", 13, "Chocolate base água", 16, "Vegano", 19, "Alcoólicos", 22, "Zero", 25, "Gelatos Proteicos", 28, 7), 5)) + (ROUND(M422,4) &gt; INDEX('Tabela de ingredientes'!$O$1:$V$30, SWITCH(B422, "Gelatos de Leite", 8, "Sorbets", 11, "Gelatos de Leite com Fruta", 14, "Chocolate base água", 17, "Vegano", 20, "Alcoólicos", 23, "Zero", 26, "Gelatos Proteicos", 29, 8), 5)) + (ROUND(N422,4) &lt; INDEX('Tabela de ingredientes'!$O$1:$V$30, SWITCH(B422, "Gelatos de Leite", 7, "Sorbets", 10, "Gelatos de Leite com Fruta", 13, "Chocolate base água", 16, "Vegano", 19, "Alcoólicos", 22, "Zero", 25, "Gelatos Proteicos", 28, 7), 6)) + (ROUND(N422,4) &gt; INDEX('Tabela de ingredientes'!$O$1:$V$30, SWITCH(B422, "Gelatos de Leite", 8, "Sorbets", 11, "Gelatos de Leite com Fruta", 14, "Chocolate base água", 17, "Vegano", 20, "Alcoólicos", 23, "Zero", 26, "Gelatos Proteicos", 29, 8), 6)) + (ROUND(O422,4) &lt; INDEX('Tabela de ingredientes'!$O$1:$V$30, SWITCH(B422, "Gelatos de Leite", 7, "Sorbets", 10, "Gelatos de Leite com Fruta", 13, "Chocolate base água", 16, "Vegano", 19, "Alcoólicos", 22, "Zero", 25, "Gelatos Proteicos", 28, 7), 7)) + (ROUND(O422,4) &gt; INDEX('Tabela de ingredientes'!$O$1:$V$30, SWITCH(B422, "Gelatos de Leite", 8, "Sorbets", 11, "Gelatos de Leite com Fruta", 14, "Chocolate base água", 17, "Vegano", 20, "Alcoólicos", 23, "Zero", 26, "Gelatos Proteicos", 29, 8), 7)) + (ROUND(P422,4) &lt; INDEX('Tabela de ingredientes'!$O$1:$V$30, SWITCH(B422, "Gelatos de Leite", 7, "Sorbets", 10, "Gelatos de Leite com Fruta", 13, "Chocolate base água", 16, "Vegano", 19, "Alcoólicos", 22, "Zero", 25, "Gelatos Proteicos", 28, 7), 8)) + (ROUND(P422,4) &gt; INDEX('Tabela de ingredientes'!$O$1:$V$30, SWITCH(B422, "Gelatos de Leite", 8, "Sorbets", 11, "Gelatos de Leite com Fruta", 14, "Chocolate base água", 17, "Vegano", 20, "Alcoólicos", 23, "Zero", 26, "Gelatos Proteicos", 29, 8), 8)) + IF(B422="Gelatos Proteicos", (ROUND(Q422,4)&lt;'Tabela de ingredientes'!$W$28)+(ROUND(Q422,4)&gt;'Tabela de ingredientes'!$W$29), 0) = 0, "Ok", "Revisar"))</f>
        <v/>
      </c>
    </row>
    <row r="423">
      <c r="A423" s="264"/>
      <c r="B423" s="264" t="s">
        <v>187</v>
      </c>
      <c r="C423" s="264" t="s">
        <v>187</v>
      </c>
      <c r="D423" s="264" t="s">
        <v>187</v>
      </c>
      <c r="E423" s="264" t="s">
        <v>187</v>
      </c>
      <c r="F423" s="264" t="s">
        <v>187</v>
      </c>
      <c r="G423" s="264" t="s">
        <v>187</v>
      </c>
      <c r="H423" s="264" t="s">
        <v>187</v>
      </c>
      <c r="I423" s="264" t="s">
        <v>187</v>
      </c>
      <c r="J423" s="264" t="s">
        <v>187</v>
      </c>
      <c r="K423" s="264" t="s">
        <v>187</v>
      </c>
      <c r="L423" s="264" t="s">
        <v>187</v>
      </c>
      <c r="M423" s="264" t="s">
        <v>187</v>
      </c>
      <c r="N423" s="264" t="s">
        <v>187</v>
      </c>
      <c r="O423" s="264" t="s">
        <v>187</v>
      </c>
      <c r="P423" s="264" t="s">
        <v>187</v>
      </c>
      <c r="Q423" s="264" t="s">
        <v>187</v>
      </c>
      <c r="R423" s="264" t="s">
        <v>187</v>
      </c>
      <c r="S423" s="97" t="str">
        <f t="array" ref="S423">IF(A423="","", IF( (ROUND(I423,4) &lt; INDEX('Tabela de ingredientes'!$O$1:$V$30, SWITCH(B423, "Gelatos de Leite", 7, "Sorbets", 10, "Gelatos de Leite com Fruta", 13, "Chocolate base água", 16, "Vegano", 19, "Alcoólicos", 22, "Zero", 25, "Gelatos Proteicos", 28, 7), 1)) + (ROUND(I423,4) &gt; INDEX('Tabela de ingredientes'!$O$1:$V$30, SWITCH(B423, "Gelatos de Leite", 8, "Sorbets", 11, "Gelatos de Leite com Fruta", 14, "Chocolate base água", 17, "Vegano", 20, "Alcoólicos", 23, "Zero", 26, "Gelatos Proteicos", 29, 8), 1)) + (ROUND(J423,4) &lt; INDEX('Tabela de ingredientes'!$O$1:$V$30, SWITCH(B423, "Gelatos de Leite", 7, "Sorbets", 10, "Gelatos de Leite com Fruta", 13, "Chocolate base água", 16, "Vegano", 19, "Alcoólicos", 22, "Zero", 25, "Gelatos Proteicos", 28, 7), 2)) + (ROUND(J423,4) &gt; INDEX('Tabela de ingredientes'!$O$1:$V$30, SWITCH(B423, "Gelatos de Leite", 8, "Sorbets", 11, "Gelatos de Leite com Fruta", 14, "Chocolate base água", 17, "Vegano", 20, "Alcoólicos", 23, "Zero", 26, "Gelatos Proteicos", 29, 8), 2)) + (ROUND(K423,4) &lt; INDEX('Tabela de ingredientes'!$O$1:$V$30, SWITCH(B423, "Gelatos de Leite", 7, "Sorbets", 10, "Gelatos de Leite com Fruta", 13, "Chocolate base água", 16, "Vegano", 19, "Alcoólicos", 22, "Zero", 25, "Gelatos Proteicos", 28, 7), 3)) + (ROUND(K423,4) &gt; INDEX('Tabela de ingredientes'!$O$1:$V$30, SWITCH(B423, "Gelatos de Leite", 8, "Sorbets", 11, "Gelatos de Leite com Fruta", 14, "Chocolate base água", 17, "Vegano", 20, "Alcoólicos", 23, "Zero", 26, "Gelatos Proteicos", 29, 8), 3)) + (ROUND(L423,4) &lt; INDEX('Tabela de ingredientes'!$O$1:$V$30, SWITCH(B423, "Gelatos de Leite", 7, "Sorbets", 10, "Gelatos de Leite com Fruta", 13, "Chocolate base água", 16, "Vegano", 19, "Alcoólicos", 22, "Zero", 25, "Gelatos Proteicos", 28, 7), 4)) + (ROUND(L423,4) &gt; INDEX('Tabela de ingredientes'!$O$1:$V$30, SWITCH(B423, "Gelatos de Leite", 8, "Sorbets", 11, "Gelatos de Leite com Fruta", 14, "Chocolate base água", 17, "Vegano", 20, "Alcoólicos", 23, "Zero", 26, "Gelatos Proteicos", 29, 8), 4)) + (ROUND(M423,4) &lt; INDEX('Tabela de ingredientes'!$O$1:$V$30, SWITCH(B423, "Gelatos de Leite", 7, "Sorbets", 10, "Gelatos de Leite com Fruta", 13, "Chocolate base água", 16, "Vegano", 19, "Alcoólicos", 22, "Zero", 25, "Gelatos Proteicos", 28, 7), 5)) + (ROUND(M423,4) &gt; INDEX('Tabela de ingredientes'!$O$1:$V$30, SWITCH(B423, "Gelatos de Leite", 8, "Sorbets", 11, "Gelatos de Leite com Fruta", 14, "Chocolate base água", 17, "Vegano", 20, "Alcoólicos", 23, "Zero", 26, "Gelatos Proteicos", 29, 8), 5)) + (ROUND(N423,4) &lt; INDEX('Tabela de ingredientes'!$O$1:$V$30, SWITCH(B423, "Gelatos de Leite", 7, "Sorbets", 10, "Gelatos de Leite com Fruta", 13, "Chocolate base água", 16, "Vegano", 19, "Alcoólicos", 22, "Zero", 25, "Gelatos Proteicos", 28, 7), 6)) + (ROUND(N423,4) &gt; INDEX('Tabela de ingredientes'!$O$1:$V$30, SWITCH(B423, "Gelatos de Leite", 8, "Sorbets", 11, "Gelatos de Leite com Fruta", 14, "Chocolate base água", 17, "Vegano", 20, "Alcoólicos", 23, "Zero", 26, "Gelatos Proteicos", 29, 8), 6)) + (ROUND(O423,4) &lt; INDEX('Tabela de ingredientes'!$O$1:$V$30, SWITCH(B423, "Gelatos de Leite", 7, "Sorbets", 10, "Gelatos de Leite com Fruta", 13, "Chocolate base água", 16, "Vegano", 19, "Alcoólicos", 22, "Zero", 25, "Gelatos Proteicos", 28, 7), 7)) + (ROUND(O423,4) &gt; INDEX('Tabela de ingredientes'!$O$1:$V$30, SWITCH(B423, "Gelatos de Leite", 8, "Sorbets", 11, "Gelatos de Leite com Fruta", 14, "Chocolate base água", 17, "Vegano", 20, "Alcoólicos", 23, "Zero", 26, "Gelatos Proteicos", 29, 8), 7)) + (ROUND(P423,4) &lt; INDEX('Tabela de ingredientes'!$O$1:$V$30, SWITCH(B423, "Gelatos de Leite", 7, "Sorbets", 10, "Gelatos de Leite com Fruta", 13, "Chocolate base água", 16, "Vegano", 19, "Alcoólicos", 22, "Zero", 25, "Gelatos Proteicos", 28, 7), 8)) + (ROUND(P423,4) &gt; INDEX('Tabela de ingredientes'!$O$1:$V$30, SWITCH(B423, "Gelatos de Leite", 8, "Sorbets", 11, "Gelatos de Leite com Fruta", 14, "Chocolate base água", 17, "Vegano", 20, "Alcoólicos", 23, "Zero", 26, "Gelatos Proteicos", 29, 8), 8)) + IF(B423="Gelatos Proteicos", (ROUND(Q423,4)&lt;'Tabela de ingredientes'!$W$28)+(ROUND(Q423,4)&gt;'Tabela de ingredientes'!$W$29), 0) = 0, "Ok", "Revisar"))</f>
        <v/>
      </c>
    </row>
    <row r="424">
      <c r="A424" s="264"/>
      <c r="B424" s="264" t="s">
        <v>187</v>
      </c>
      <c r="C424" s="264" t="s">
        <v>187</v>
      </c>
      <c r="D424" s="264" t="s">
        <v>187</v>
      </c>
      <c r="E424" s="264" t="s">
        <v>187</v>
      </c>
      <c r="F424" s="264" t="s">
        <v>187</v>
      </c>
      <c r="G424" s="264" t="s">
        <v>187</v>
      </c>
      <c r="H424" s="264" t="s">
        <v>187</v>
      </c>
      <c r="I424" s="264" t="s">
        <v>187</v>
      </c>
      <c r="J424" s="264" t="s">
        <v>187</v>
      </c>
      <c r="K424" s="264" t="s">
        <v>187</v>
      </c>
      <c r="L424" s="264" t="s">
        <v>187</v>
      </c>
      <c r="M424" s="264" t="s">
        <v>187</v>
      </c>
      <c r="N424" s="264" t="s">
        <v>187</v>
      </c>
      <c r="O424" s="264" t="s">
        <v>187</v>
      </c>
      <c r="P424" s="264" t="s">
        <v>187</v>
      </c>
      <c r="Q424" s="264" t="s">
        <v>187</v>
      </c>
      <c r="R424" s="264" t="s">
        <v>187</v>
      </c>
      <c r="S424" s="97" t="str">
        <f t="array" ref="S424">IF(A424="","", IF( (ROUND(I424,4) &lt; INDEX('Tabela de ingredientes'!$O$1:$V$30, SWITCH(B424, "Gelatos de Leite", 7, "Sorbets", 10, "Gelatos de Leite com Fruta", 13, "Chocolate base água", 16, "Vegano", 19, "Alcoólicos", 22, "Zero", 25, "Gelatos Proteicos", 28, 7), 1)) + (ROUND(I424,4) &gt; INDEX('Tabela de ingredientes'!$O$1:$V$30, SWITCH(B424, "Gelatos de Leite", 8, "Sorbets", 11, "Gelatos de Leite com Fruta", 14, "Chocolate base água", 17, "Vegano", 20, "Alcoólicos", 23, "Zero", 26, "Gelatos Proteicos", 29, 8), 1)) + (ROUND(J424,4) &lt; INDEX('Tabela de ingredientes'!$O$1:$V$30, SWITCH(B424, "Gelatos de Leite", 7, "Sorbets", 10, "Gelatos de Leite com Fruta", 13, "Chocolate base água", 16, "Vegano", 19, "Alcoólicos", 22, "Zero", 25, "Gelatos Proteicos", 28, 7), 2)) + (ROUND(J424,4) &gt; INDEX('Tabela de ingredientes'!$O$1:$V$30, SWITCH(B424, "Gelatos de Leite", 8, "Sorbets", 11, "Gelatos de Leite com Fruta", 14, "Chocolate base água", 17, "Vegano", 20, "Alcoólicos", 23, "Zero", 26, "Gelatos Proteicos", 29, 8), 2)) + (ROUND(K424,4) &lt; INDEX('Tabela de ingredientes'!$O$1:$V$30, SWITCH(B424, "Gelatos de Leite", 7, "Sorbets", 10, "Gelatos de Leite com Fruta", 13, "Chocolate base água", 16, "Vegano", 19, "Alcoólicos", 22, "Zero", 25, "Gelatos Proteicos", 28, 7), 3)) + (ROUND(K424,4) &gt; INDEX('Tabela de ingredientes'!$O$1:$V$30, SWITCH(B424, "Gelatos de Leite", 8, "Sorbets", 11, "Gelatos de Leite com Fruta", 14, "Chocolate base água", 17, "Vegano", 20, "Alcoólicos", 23, "Zero", 26, "Gelatos Proteicos", 29, 8), 3)) + (ROUND(L424,4) &lt; INDEX('Tabela de ingredientes'!$O$1:$V$30, SWITCH(B424, "Gelatos de Leite", 7, "Sorbets", 10, "Gelatos de Leite com Fruta", 13, "Chocolate base água", 16, "Vegano", 19, "Alcoólicos", 22, "Zero", 25, "Gelatos Proteicos", 28, 7), 4)) + (ROUND(L424,4) &gt; INDEX('Tabela de ingredientes'!$O$1:$V$30, SWITCH(B424, "Gelatos de Leite", 8, "Sorbets", 11, "Gelatos de Leite com Fruta", 14, "Chocolate base água", 17, "Vegano", 20, "Alcoólicos", 23, "Zero", 26, "Gelatos Proteicos", 29, 8), 4)) + (ROUND(M424,4) &lt; INDEX('Tabela de ingredientes'!$O$1:$V$30, SWITCH(B424, "Gelatos de Leite", 7, "Sorbets", 10, "Gelatos de Leite com Fruta", 13, "Chocolate base água", 16, "Vegano", 19, "Alcoólicos", 22, "Zero", 25, "Gelatos Proteicos", 28, 7), 5)) + (ROUND(M424,4) &gt; INDEX('Tabela de ingredientes'!$O$1:$V$30, SWITCH(B424, "Gelatos de Leite", 8, "Sorbets", 11, "Gelatos de Leite com Fruta", 14, "Chocolate base água", 17, "Vegano", 20, "Alcoólicos", 23, "Zero", 26, "Gelatos Proteicos", 29, 8), 5)) + (ROUND(N424,4) &lt; INDEX('Tabela de ingredientes'!$O$1:$V$30, SWITCH(B424, "Gelatos de Leite", 7, "Sorbets", 10, "Gelatos de Leite com Fruta", 13, "Chocolate base água", 16, "Vegano", 19, "Alcoólicos", 22, "Zero", 25, "Gelatos Proteicos", 28, 7), 6)) + (ROUND(N424,4) &gt; INDEX('Tabela de ingredientes'!$O$1:$V$30, SWITCH(B424, "Gelatos de Leite", 8, "Sorbets", 11, "Gelatos de Leite com Fruta", 14, "Chocolate base água", 17, "Vegano", 20, "Alcoólicos", 23, "Zero", 26, "Gelatos Proteicos", 29, 8), 6)) + (ROUND(O424,4) &lt; INDEX('Tabela de ingredientes'!$O$1:$V$30, SWITCH(B424, "Gelatos de Leite", 7, "Sorbets", 10, "Gelatos de Leite com Fruta", 13, "Chocolate base água", 16, "Vegano", 19, "Alcoólicos", 22, "Zero", 25, "Gelatos Proteicos", 28, 7), 7)) + (ROUND(O424,4) &gt; INDEX('Tabela de ingredientes'!$O$1:$V$30, SWITCH(B424, "Gelatos de Leite", 8, "Sorbets", 11, "Gelatos de Leite com Fruta", 14, "Chocolate base água", 17, "Vegano", 20, "Alcoólicos", 23, "Zero", 26, "Gelatos Proteicos", 29, 8), 7)) + (ROUND(P424,4) &lt; INDEX('Tabela de ingredientes'!$O$1:$V$30, SWITCH(B424, "Gelatos de Leite", 7, "Sorbets", 10, "Gelatos de Leite com Fruta", 13, "Chocolate base água", 16, "Vegano", 19, "Alcoólicos", 22, "Zero", 25, "Gelatos Proteicos", 28, 7), 8)) + (ROUND(P424,4) &gt; INDEX('Tabela de ingredientes'!$O$1:$V$30, SWITCH(B424, "Gelatos de Leite", 8, "Sorbets", 11, "Gelatos de Leite com Fruta", 14, "Chocolate base água", 17, "Vegano", 20, "Alcoólicos", 23, "Zero", 26, "Gelatos Proteicos", 29, 8), 8)) + IF(B424="Gelatos Proteicos", (ROUND(Q424,4)&lt;'Tabela de ingredientes'!$W$28)+(ROUND(Q424,4)&gt;'Tabela de ingredientes'!$W$29), 0) = 0, "Ok", "Revisar"))</f>
        <v/>
      </c>
    </row>
    <row r="425">
      <c r="A425" s="264"/>
      <c r="B425" s="264" t="s">
        <v>187</v>
      </c>
      <c r="C425" s="264" t="s">
        <v>187</v>
      </c>
      <c r="D425" s="264" t="s">
        <v>187</v>
      </c>
      <c r="E425" s="264" t="s">
        <v>187</v>
      </c>
      <c r="F425" s="264" t="s">
        <v>187</v>
      </c>
      <c r="G425" s="264" t="s">
        <v>187</v>
      </c>
      <c r="H425" s="264" t="s">
        <v>187</v>
      </c>
      <c r="I425" s="264" t="s">
        <v>187</v>
      </c>
      <c r="J425" s="264" t="s">
        <v>187</v>
      </c>
      <c r="K425" s="264" t="s">
        <v>187</v>
      </c>
      <c r="L425" s="264" t="s">
        <v>187</v>
      </c>
      <c r="M425" s="264" t="s">
        <v>187</v>
      </c>
      <c r="N425" s="264" t="s">
        <v>187</v>
      </c>
      <c r="O425" s="264" t="s">
        <v>187</v>
      </c>
      <c r="P425" s="264" t="s">
        <v>187</v>
      </c>
      <c r="Q425" s="264" t="s">
        <v>187</v>
      </c>
      <c r="R425" s="264" t="s">
        <v>187</v>
      </c>
      <c r="S425" s="97" t="str">
        <f t="array" ref="S425">IF(A425="","", IF( (ROUND(I425,4) &lt; INDEX('Tabela de ingredientes'!$O$1:$V$30, SWITCH(B425, "Gelatos de Leite", 7, "Sorbets", 10, "Gelatos de Leite com Fruta", 13, "Chocolate base água", 16, "Vegano", 19, "Alcoólicos", 22, "Zero", 25, "Gelatos Proteicos", 28, 7), 1)) + (ROUND(I425,4) &gt; INDEX('Tabela de ingredientes'!$O$1:$V$30, SWITCH(B425, "Gelatos de Leite", 8, "Sorbets", 11, "Gelatos de Leite com Fruta", 14, "Chocolate base água", 17, "Vegano", 20, "Alcoólicos", 23, "Zero", 26, "Gelatos Proteicos", 29, 8), 1)) + (ROUND(J425,4) &lt; INDEX('Tabela de ingredientes'!$O$1:$V$30, SWITCH(B425, "Gelatos de Leite", 7, "Sorbets", 10, "Gelatos de Leite com Fruta", 13, "Chocolate base água", 16, "Vegano", 19, "Alcoólicos", 22, "Zero", 25, "Gelatos Proteicos", 28, 7), 2)) + (ROUND(J425,4) &gt; INDEX('Tabela de ingredientes'!$O$1:$V$30, SWITCH(B425, "Gelatos de Leite", 8, "Sorbets", 11, "Gelatos de Leite com Fruta", 14, "Chocolate base água", 17, "Vegano", 20, "Alcoólicos", 23, "Zero", 26, "Gelatos Proteicos", 29, 8), 2)) + (ROUND(K425,4) &lt; INDEX('Tabela de ingredientes'!$O$1:$V$30, SWITCH(B425, "Gelatos de Leite", 7, "Sorbets", 10, "Gelatos de Leite com Fruta", 13, "Chocolate base água", 16, "Vegano", 19, "Alcoólicos", 22, "Zero", 25, "Gelatos Proteicos", 28, 7), 3)) + (ROUND(K425,4) &gt; INDEX('Tabela de ingredientes'!$O$1:$V$30, SWITCH(B425, "Gelatos de Leite", 8, "Sorbets", 11, "Gelatos de Leite com Fruta", 14, "Chocolate base água", 17, "Vegano", 20, "Alcoólicos", 23, "Zero", 26, "Gelatos Proteicos", 29, 8), 3)) + (ROUND(L425,4) &lt; INDEX('Tabela de ingredientes'!$O$1:$V$30, SWITCH(B425, "Gelatos de Leite", 7, "Sorbets", 10, "Gelatos de Leite com Fruta", 13, "Chocolate base água", 16, "Vegano", 19, "Alcoólicos", 22, "Zero", 25, "Gelatos Proteicos", 28, 7), 4)) + (ROUND(L425,4) &gt; INDEX('Tabela de ingredientes'!$O$1:$V$30, SWITCH(B425, "Gelatos de Leite", 8, "Sorbets", 11, "Gelatos de Leite com Fruta", 14, "Chocolate base água", 17, "Vegano", 20, "Alcoólicos", 23, "Zero", 26, "Gelatos Proteicos", 29, 8), 4)) + (ROUND(M425,4) &lt; INDEX('Tabela de ingredientes'!$O$1:$V$30, SWITCH(B425, "Gelatos de Leite", 7, "Sorbets", 10, "Gelatos de Leite com Fruta", 13, "Chocolate base água", 16, "Vegano", 19, "Alcoólicos", 22, "Zero", 25, "Gelatos Proteicos", 28, 7), 5)) + (ROUND(M425,4) &gt; INDEX('Tabela de ingredientes'!$O$1:$V$30, SWITCH(B425, "Gelatos de Leite", 8, "Sorbets", 11, "Gelatos de Leite com Fruta", 14, "Chocolate base água", 17, "Vegano", 20, "Alcoólicos", 23, "Zero", 26, "Gelatos Proteicos", 29, 8), 5)) + (ROUND(N425,4) &lt; INDEX('Tabela de ingredientes'!$O$1:$V$30, SWITCH(B425, "Gelatos de Leite", 7, "Sorbets", 10, "Gelatos de Leite com Fruta", 13, "Chocolate base água", 16, "Vegano", 19, "Alcoólicos", 22, "Zero", 25, "Gelatos Proteicos", 28, 7), 6)) + (ROUND(N425,4) &gt; INDEX('Tabela de ingredientes'!$O$1:$V$30, SWITCH(B425, "Gelatos de Leite", 8, "Sorbets", 11, "Gelatos de Leite com Fruta", 14, "Chocolate base água", 17, "Vegano", 20, "Alcoólicos", 23, "Zero", 26, "Gelatos Proteicos", 29, 8), 6)) + (ROUND(O425,4) &lt; INDEX('Tabela de ingredientes'!$O$1:$V$30, SWITCH(B425, "Gelatos de Leite", 7, "Sorbets", 10, "Gelatos de Leite com Fruta", 13, "Chocolate base água", 16, "Vegano", 19, "Alcoólicos", 22, "Zero", 25, "Gelatos Proteicos", 28, 7), 7)) + (ROUND(O425,4) &gt; INDEX('Tabela de ingredientes'!$O$1:$V$30, SWITCH(B425, "Gelatos de Leite", 8, "Sorbets", 11, "Gelatos de Leite com Fruta", 14, "Chocolate base água", 17, "Vegano", 20, "Alcoólicos", 23, "Zero", 26, "Gelatos Proteicos", 29, 8), 7)) + (ROUND(P425,4) &lt; INDEX('Tabela de ingredientes'!$O$1:$V$30, SWITCH(B425, "Gelatos de Leite", 7, "Sorbets", 10, "Gelatos de Leite com Fruta", 13, "Chocolate base água", 16, "Vegano", 19, "Alcoólicos", 22, "Zero", 25, "Gelatos Proteicos", 28, 7), 8)) + (ROUND(P425,4) &gt; INDEX('Tabela de ingredientes'!$O$1:$V$30, SWITCH(B425, "Gelatos de Leite", 8, "Sorbets", 11, "Gelatos de Leite com Fruta", 14, "Chocolate base água", 17, "Vegano", 20, "Alcoólicos", 23, "Zero", 26, "Gelatos Proteicos", 29, 8), 8)) + IF(B425="Gelatos Proteicos", (ROUND(Q425,4)&lt;'Tabela de ingredientes'!$W$28)+(ROUND(Q425,4)&gt;'Tabela de ingredientes'!$W$29), 0) = 0, "Ok", "Revisar"))</f>
        <v/>
      </c>
    </row>
    <row r="426">
      <c r="A426" s="264"/>
      <c r="B426" s="264" t="s">
        <v>187</v>
      </c>
      <c r="C426" s="264" t="s">
        <v>187</v>
      </c>
      <c r="D426" s="264" t="s">
        <v>187</v>
      </c>
      <c r="E426" s="264" t="s">
        <v>187</v>
      </c>
      <c r="F426" s="264" t="s">
        <v>187</v>
      </c>
      <c r="G426" s="264" t="s">
        <v>187</v>
      </c>
      <c r="H426" s="264" t="s">
        <v>187</v>
      </c>
      <c r="I426" s="264" t="s">
        <v>187</v>
      </c>
      <c r="J426" s="264" t="s">
        <v>187</v>
      </c>
      <c r="K426" s="264" t="s">
        <v>187</v>
      </c>
      <c r="L426" s="264" t="s">
        <v>187</v>
      </c>
      <c r="M426" s="264" t="s">
        <v>187</v>
      </c>
      <c r="N426" s="264" t="s">
        <v>187</v>
      </c>
      <c r="O426" s="264" t="s">
        <v>187</v>
      </c>
      <c r="P426" s="264" t="s">
        <v>187</v>
      </c>
      <c r="Q426" s="264" t="s">
        <v>187</v>
      </c>
      <c r="R426" s="264" t="s">
        <v>187</v>
      </c>
      <c r="S426" s="97" t="str">
        <f t="array" ref="S426">IF(A426="","", IF( (ROUND(I426,4) &lt; INDEX('Tabela de ingredientes'!$O$1:$V$30, SWITCH(B426, "Gelatos de Leite", 7, "Sorbets", 10, "Gelatos de Leite com Fruta", 13, "Chocolate base água", 16, "Vegano", 19, "Alcoólicos", 22, "Zero", 25, "Gelatos Proteicos", 28, 7), 1)) + (ROUND(I426,4) &gt; INDEX('Tabela de ingredientes'!$O$1:$V$30, SWITCH(B426, "Gelatos de Leite", 8, "Sorbets", 11, "Gelatos de Leite com Fruta", 14, "Chocolate base água", 17, "Vegano", 20, "Alcoólicos", 23, "Zero", 26, "Gelatos Proteicos", 29, 8), 1)) + (ROUND(J426,4) &lt; INDEX('Tabela de ingredientes'!$O$1:$V$30, SWITCH(B426, "Gelatos de Leite", 7, "Sorbets", 10, "Gelatos de Leite com Fruta", 13, "Chocolate base água", 16, "Vegano", 19, "Alcoólicos", 22, "Zero", 25, "Gelatos Proteicos", 28, 7), 2)) + (ROUND(J426,4) &gt; INDEX('Tabela de ingredientes'!$O$1:$V$30, SWITCH(B426, "Gelatos de Leite", 8, "Sorbets", 11, "Gelatos de Leite com Fruta", 14, "Chocolate base água", 17, "Vegano", 20, "Alcoólicos", 23, "Zero", 26, "Gelatos Proteicos", 29, 8), 2)) + (ROUND(K426,4) &lt; INDEX('Tabela de ingredientes'!$O$1:$V$30, SWITCH(B426, "Gelatos de Leite", 7, "Sorbets", 10, "Gelatos de Leite com Fruta", 13, "Chocolate base água", 16, "Vegano", 19, "Alcoólicos", 22, "Zero", 25, "Gelatos Proteicos", 28, 7), 3)) + (ROUND(K426,4) &gt; INDEX('Tabela de ingredientes'!$O$1:$V$30, SWITCH(B426, "Gelatos de Leite", 8, "Sorbets", 11, "Gelatos de Leite com Fruta", 14, "Chocolate base água", 17, "Vegano", 20, "Alcoólicos", 23, "Zero", 26, "Gelatos Proteicos", 29, 8), 3)) + (ROUND(L426,4) &lt; INDEX('Tabela de ingredientes'!$O$1:$V$30, SWITCH(B426, "Gelatos de Leite", 7, "Sorbets", 10, "Gelatos de Leite com Fruta", 13, "Chocolate base água", 16, "Vegano", 19, "Alcoólicos", 22, "Zero", 25, "Gelatos Proteicos", 28, 7), 4)) + (ROUND(L426,4) &gt; INDEX('Tabela de ingredientes'!$O$1:$V$30, SWITCH(B426, "Gelatos de Leite", 8, "Sorbets", 11, "Gelatos de Leite com Fruta", 14, "Chocolate base água", 17, "Vegano", 20, "Alcoólicos", 23, "Zero", 26, "Gelatos Proteicos", 29, 8), 4)) + (ROUND(M426,4) &lt; INDEX('Tabela de ingredientes'!$O$1:$V$30, SWITCH(B426, "Gelatos de Leite", 7, "Sorbets", 10, "Gelatos de Leite com Fruta", 13, "Chocolate base água", 16, "Vegano", 19, "Alcoólicos", 22, "Zero", 25, "Gelatos Proteicos", 28, 7), 5)) + (ROUND(M426,4) &gt; INDEX('Tabela de ingredientes'!$O$1:$V$30, SWITCH(B426, "Gelatos de Leite", 8, "Sorbets", 11, "Gelatos de Leite com Fruta", 14, "Chocolate base água", 17, "Vegano", 20, "Alcoólicos", 23, "Zero", 26, "Gelatos Proteicos", 29, 8), 5)) + (ROUND(N426,4) &lt; INDEX('Tabela de ingredientes'!$O$1:$V$30, SWITCH(B426, "Gelatos de Leite", 7, "Sorbets", 10, "Gelatos de Leite com Fruta", 13, "Chocolate base água", 16, "Vegano", 19, "Alcoólicos", 22, "Zero", 25, "Gelatos Proteicos", 28, 7), 6)) + (ROUND(N426,4) &gt; INDEX('Tabela de ingredientes'!$O$1:$V$30, SWITCH(B426, "Gelatos de Leite", 8, "Sorbets", 11, "Gelatos de Leite com Fruta", 14, "Chocolate base água", 17, "Vegano", 20, "Alcoólicos", 23, "Zero", 26, "Gelatos Proteicos", 29, 8), 6)) + (ROUND(O426,4) &lt; INDEX('Tabela de ingredientes'!$O$1:$V$30, SWITCH(B426, "Gelatos de Leite", 7, "Sorbets", 10, "Gelatos de Leite com Fruta", 13, "Chocolate base água", 16, "Vegano", 19, "Alcoólicos", 22, "Zero", 25, "Gelatos Proteicos", 28, 7), 7)) + (ROUND(O426,4) &gt; INDEX('Tabela de ingredientes'!$O$1:$V$30, SWITCH(B426, "Gelatos de Leite", 8, "Sorbets", 11, "Gelatos de Leite com Fruta", 14, "Chocolate base água", 17, "Vegano", 20, "Alcoólicos", 23, "Zero", 26, "Gelatos Proteicos", 29, 8), 7)) + (ROUND(P426,4) &lt; INDEX('Tabela de ingredientes'!$O$1:$V$30, SWITCH(B426, "Gelatos de Leite", 7, "Sorbets", 10, "Gelatos de Leite com Fruta", 13, "Chocolate base água", 16, "Vegano", 19, "Alcoólicos", 22, "Zero", 25, "Gelatos Proteicos", 28, 7), 8)) + (ROUND(P426,4) &gt; INDEX('Tabela de ingredientes'!$O$1:$V$30, SWITCH(B426, "Gelatos de Leite", 8, "Sorbets", 11, "Gelatos de Leite com Fruta", 14, "Chocolate base água", 17, "Vegano", 20, "Alcoólicos", 23, "Zero", 26, "Gelatos Proteicos", 29, 8), 8)) + IF(B426="Gelatos Proteicos", (ROUND(Q426,4)&lt;'Tabela de ingredientes'!$W$28)+(ROUND(Q426,4)&gt;'Tabela de ingredientes'!$W$29), 0) = 0, "Ok", "Revisar"))</f>
        <v/>
      </c>
    </row>
    <row r="427">
      <c r="A427" s="264"/>
      <c r="B427" s="264" t="s">
        <v>187</v>
      </c>
      <c r="C427" s="264" t="s">
        <v>187</v>
      </c>
      <c r="D427" s="264" t="s">
        <v>187</v>
      </c>
      <c r="E427" s="264" t="s">
        <v>187</v>
      </c>
      <c r="F427" s="264" t="s">
        <v>187</v>
      </c>
      <c r="G427" s="264" t="s">
        <v>187</v>
      </c>
      <c r="H427" s="264" t="s">
        <v>187</v>
      </c>
      <c r="I427" s="264" t="s">
        <v>187</v>
      </c>
      <c r="J427" s="264" t="s">
        <v>187</v>
      </c>
      <c r="K427" s="264" t="s">
        <v>187</v>
      </c>
      <c r="L427" s="264" t="s">
        <v>187</v>
      </c>
      <c r="M427" s="264" t="s">
        <v>187</v>
      </c>
      <c r="N427" s="264" t="s">
        <v>187</v>
      </c>
      <c r="O427" s="264" t="s">
        <v>187</v>
      </c>
      <c r="P427" s="264" t="s">
        <v>187</v>
      </c>
      <c r="Q427" s="264" t="s">
        <v>187</v>
      </c>
      <c r="R427" s="264" t="s">
        <v>187</v>
      </c>
      <c r="S427" s="97" t="str">
        <f t="array" ref="S427">IF(A427="","", IF( (ROUND(I427,4) &lt; INDEX('Tabela de ingredientes'!$O$1:$V$30, SWITCH(B427, "Gelatos de Leite", 7, "Sorbets", 10, "Gelatos de Leite com Fruta", 13, "Chocolate base água", 16, "Vegano", 19, "Alcoólicos", 22, "Zero", 25, "Gelatos Proteicos", 28, 7), 1)) + (ROUND(I427,4) &gt; INDEX('Tabela de ingredientes'!$O$1:$V$30, SWITCH(B427, "Gelatos de Leite", 8, "Sorbets", 11, "Gelatos de Leite com Fruta", 14, "Chocolate base água", 17, "Vegano", 20, "Alcoólicos", 23, "Zero", 26, "Gelatos Proteicos", 29, 8), 1)) + (ROUND(J427,4) &lt; INDEX('Tabela de ingredientes'!$O$1:$V$30, SWITCH(B427, "Gelatos de Leite", 7, "Sorbets", 10, "Gelatos de Leite com Fruta", 13, "Chocolate base água", 16, "Vegano", 19, "Alcoólicos", 22, "Zero", 25, "Gelatos Proteicos", 28, 7), 2)) + (ROUND(J427,4) &gt; INDEX('Tabela de ingredientes'!$O$1:$V$30, SWITCH(B427, "Gelatos de Leite", 8, "Sorbets", 11, "Gelatos de Leite com Fruta", 14, "Chocolate base água", 17, "Vegano", 20, "Alcoólicos", 23, "Zero", 26, "Gelatos Proteicos", 29, 8), 2)) + (ROUND(K427,4) &lt; INDEX('Tabela de ingredientes'!$O$1:$V$30, SWITCH(B427, "Gelatos de Leite", 7, "Sorbets", 10, "Gelatos de Leite com Fruta", 13, "Chocolate base água", 16, "Vegano", 19, "Alcoólicos", 22, "Zero", 25, "Gelatos Proteicos", 28, 7), 3)) + (ROUND(K427,4) &gt; INDEX('Tabela de ingredientes'!$O$1:$V$30, SWITCH(B427, "Gelatos de Leite", 8, "Sorbets", 11, "Gelatos de Leite com Fruta", 14, "Chocolate base água", 17, "Vegano", 20, "Alcoólicos", 23, "Zero", 26, "Gelatos Proteicos", 29, 8), 3)) + (ROUND(L427,4) &lt; INDEX('Tabela de ingredientes'!$O$1:$V$30, SWITCH(B427, "Gelatos de Leite", 7, "Sorbets", 10, "Gelatos de Leite com Fruta", 13, "Chocolate base água", 16, "Vegano", 19, "Alcoólicos", 22, "Zero", 25, "Gelatos Proteicos", 28, 7), 4)) + (ROUND(L427,4) &gt; INDEX('Tabela de ingredientes'!$O$1:$V$30, SWITCH(B427, "Gelatos de Leite", 8, "Sorbets", 11, "Gelatos de Leite com Fruta", 14, "Chocolate base água", 17, "Vegano", 20, "Alcoólicos", 23, "Zero", 26, "Gelatos Proteicos", 29, 8), 4)) + (ROUND(M427,4) &lt; INDEX('Tabela de ingredientes'!$O$1:$V$30, SWITCH(B427, "Gelatos de Leite", 7, "Sorbets", 10, "Gelatos de Leite com Fruta", 13, "Chocolate base água", 16, "Vegano", 19, "Alcoólicos", 22, "Zero", 25, "Gelatos Proteicos", 28, 7), 5)) + (ROUND(M427,4) &gt; INDEX('Tabela de ingredientes'!$O$1:$V$30, SWITCH(B427, "Gelatos de Leite", 8, "Sorbets", 11, "Gelatos de Leite com Fruta", 14, "Chocolate base água", 17, "Vegano", 20, "Alcoólicos", 23, "Zero", 26, "Gelatos Proteicos", 29, 8), 5)) + (ROUND(N427,4) &lt; INDEX('Tabela de ingredientes'!$O$1:$V$30, SWITCH(B427, "Gelatos de Leite", 7, "Sorbets", 10, "Gelatos de Leite com Fruta", 13, "Chocolate base água", 16, "Vegano", 19, "Alcoólicos", 22, "Zero", 25, "Gelatos Proteicos", 28, 7), 6)) + (ROUND(N427,4) &gt; INDEX('Tabela de ingredientes'!$O$1:$V$30, SWITCH(B427, "Gelatos de Leite", 8, "Sorbets", 11, "Gelatos de Leite com Fruta", 14, "Chocolate base água", 17, "Vegano", 20, "Alcoólicos", 23, "Zero", 26, "Gelatos Proteicos", 29, 8), 6)) + (ROUND(O427,4) &lt; INDEX('Tabela de ingredientes'!$O$1:$V$30, SWITCH(B427, "Gelatos de Leite", 7, "Sorbets", 10, "Gelatos de Leite com Fruta", 13, "Chocolate base água", 16, "Vegano", 19, "Alcoólicos", 22, "Zero", 25, "Gelatos Proteicos", 28, 7), 7)) + (ROUND(O427,4) &gt; INDEX('Tabela de ingredientes'!$O$1:$V$30, SWITCH(B427, "Gelatos de Leite", 8, "Sorbets", 11, "Gelatos de Leite com Fruta", 14, "Chocolate base água", 17, "Vegano", 20, "Alcoólicos", 23, "Zero", 26, "Gelatos Proteicos", 29, 8), 7)) + (ROUND(P427,4) &lt; INDEX('Tabela de ingredientes'!$O$1:$V$30, SWITCH(B427, "Gelatos de Leite", 7, "Sorbets", 10, "Gelatos de Leite com Fruta", 13, "Chocolate base água", 16, "Vegano", 19, "Alcoólicos", 22, "Zero", 25, "Gelatos Proteicos", 28, 7), 8)) + (ROUND(P427,4) &gt; INDEX('Tabela de ingredientes'!$O$1:$V$30, SWITCH(B427, "Gelatos de Leite", 8, "Sorbets", 11, "Gelatos de Leite com Fruta", 14, "Chocolate base água", 17, "Vegano", 20, "Alcoólicos", 23, "Zero", 26, "Gelatos Proteicos", 29, 8), 8)) + IF(B427="Gelatos Proteicos", (ROUND(Q427,4)&lt;'Tabela de ingredientes'!$W$28)+(ROUND(Q427,4)&gt;'Tabela de ingredientes'!$W$29), 0) = 0, "Ok", "Revisar"))</f>
        <v/>
      </c>
    </row>
    <row r="428">
      <c r="A428" s="264"/>
      <c r="B428" s="264" t="s">
        <v>187</v>
      </c>
      <c r="C428" s="264" t="s">
        <v>187</v>
      </c>
      <c r="D428" s="264" t="s">
        <v>187</v>
      </c>
      <c r="E428" s="264" t="s">
        <v>187</v>
      </c>
      <c r="F428" s="264" t="s">
        <v>187</v>
      </c>
      <c r="G428" s="264" t="s">
        <v>187</v>
      </c>
      <c r="H428" s="264" t="s">
        <v>187</v>
      </c>
      <c r="I428" s="264" t="s">
        <v>187</v>
      </c>
      <c r="J428" s="264" t="s">
        <v>187</v>
      </c>
      <c r="K428" s="264" t="s">
        <v>187</v>
      </c>
      <c r="L428" s="264" t="s">
        <v>187</v>
      </c>
      <c r="M428" s="264" t="s">
        <v>187</v>
      </c>
      <c r="N428" s="264" t="s">
        <v>187</v>
      </c>
      <c r="O428" s="264" t="s">
        <v>187</v>
      </c>
      <c r="P428" s="264" t="s">
        <v>187</v>
      </c>
      <c r="Q428" s="264" t="s">
        <v>187</v>
      </c>
      <c r="R428" s="264" t="s">
        <v>187</v>
      </c>
      <c r="S428" s="97" t="str">
        <f t="array" ref="S428">IF(A428="","", IF( (ROUND(I428,4) &lt; INDEX('Tabela de ingredientes'!$O$1:$V$30, SWITCH(B428, "Gelatos de Leite", 7, "Sorbets", 10, "Gelatos de Leite com Fruta", 13, "Chocolate base água", 16, "Vegano", 19, "Alcoólicos", 22, "Zero", 25, "Gelatos Proteicos", 28, 7), 1)) + (ROUND(I428,4) &gt; INDEX('Tabela de ingredientes'!$O$1:$V$30, SWITCH(B428, "Gelatos de Leite", 8, "Sorbets", 11, "Gelatos de Leite com Fruta", 14, "Chocolate base água", 17, "Vegano", 20, "Alcoólicos", 23, "Zero", 26, "Gelatos Proteicos", 29, 8), 1)) + (ROUND(J428,4) &lt; INDEX('Tabela de ingredientes'!$O$1:$V$30, SWITCH(B428, "Gelatos de Leite", 7, "Sorbets", 10, "Gelatos de Leite com Fruta", 13, "Chocolate base água", 16, "Vegano", 19, "Alcoólicos", 22, "Zero", 25, "Gelatos Proteicos", 28, 7), 2)) + (ROUND(J428,4) &gt; INDEX('Tabela de ingredientes'!$O$1:$V$30, SWITCH(B428, "Gelatos de Leite", 8, "Sorbets", 11, "Gelatos de Leite com Fruta", 14, "Chocolate base água", 17, "Vegano", 20, "Alcoólicos", 23, "Zero", 26, "Gelatos Proteicos", 29, 8), 2)) + (ROUND(K428,4) &lt; INDEX('Tabela de ingredientes'!$O$1:$V$30, SWITCH(B428, "Gelatos de Leite", 7, "Sorbets", 10, "Gelatos de Leite com Fruta", 13, "Chocolate base água", 16, "Vegano", 19, "Alcoólicos", 22, "Zero", 25, "Gelatos Proteicos", 28, 7), 3)) + (ROUND(K428,4) &gt; INDEX('Tabela de ingredientes'!$O$1:$V$30, SWITCH(B428, "Gelatos de Leite", 8, "Sorbets", 11, "Gelatos de Leite com Fruta", 14, "Chocolate base água", 17, "Vegano", 20, "Alcoólicos", 23, "Zero", 26, "Gelatos Proteicos", 29, 8), 3)) + (ROUND(L428,4) &lt; INDEX('Tabela de ingredientes'!$O$1:$V$30, SWITCH(B428, "Gelatos de Leite", 7, "Sorbets", 10, "Gelatos de Leite com Fruta", 13, "Chocolate base água", 16, "Vegano", 19, "Alcoólicos", 22, "Zero", 25, "Gelatos Proteicos", 28, 7), 4)) + (ROUND(L428,4) &gt; INDEX('Tabela de ingredientes'!$O$1:$V$30, SWITCH(B428, "Gelatos de Leite", 8, "Sorbets", 11, "Gelatos de Leite com Fruta", 14, "Chocolate base água", 17, "Vegano", 20, "Alcoólicos", 23, "Zero", 26, "Gelatos Proteicos", 29, 8), 4)) + (ROUND(M428,4) &lt; INDEX('Tabela de ingredientes'!$O$1:$V$30, SWITCH(B428, "Gelatos de Leite", 7, "Sorbets", 10, "Gelatos de Leite com Fruta", 13, "Chocolate base água", 16, "Vegano", 19, "Alcoólicos", 22, "Zero", 25, "Gelatos Proteicos", 28, 7), 5)) + (ROUND(M428,4) &gt; INDEX('Tabela de ingredientes'!$O$1:$V$30, SWITCH(B428, "Gelatos de Leite", 8, "Sorbets", 11, "Gelatos de Leite com Fruta", 14, "Chocolate base água", 17, "Vegano", 20, "Alcoólicos", 23, "Zero", 26, "Gelatos Proteicos", 29, 8), 5)) + (ROUND(N428,4) &lt; INDEX('Tabela de ingredientes'!$O$1:$V$30, SWITCH(B428, "Gelatos de Leite", 7, "Sorbets", 10, "Gelatos de Leite com Fruta", 13, "Chocolate base água", 16, "Vegano", 19, "Alcoólicos", 22, "Zero", 25, "Gelatos Proteicos", 28, 7), 6)) + (ROUND(N428,4) &gt; INDEX('Tabela de ingredientes'!$O$1:$V$30, SWITCH(B428, "Gelatos de Leite", 8, "Sorbets", 11, "Gelatos de Leite com Fruta", 14, "Chocolate base água", 17, "Vegano", 20, "Alcoólicos", 23, "Zero", 26, "Gelatos Proteicos", 29, 8), 6)) + (ROUND(O428,4) &lt; INDEX('Tabela de ingredientes'!$O$1:$V$30, SWITCH(B428, "Gelatos de Leite", 7, "Sorbets", 10, "Gelatos de Leite com Fruta", 13, "Chocolate base água", 16, "Vegano", 19, "Alcoólicos", 22, "Zero", 25, "Gelatos Proteicos", 28, 7), 7)) + (ROUND(O428,4) &gt; INDEX('Tabela de ingredientes'!$O$1:$V$30, SWITCH(B428, "Gelatos de Leite", 8, "Sorbets", 11, "Gelatos de Leite com Fruta", 14, "Chocolate base água", 17, "Vegano", 20, "Alcoólicos", 23, "Zero", 26, "Gelatos Proteicos", 29, 8), 7)) + (ROUND(P428,4) &lt; INDEX('Tabela de ingredientes'!$O$1:$V$30, SWITCH(B428, "Gelatos de Leite", 7, "Sorbets", 10, "Gelatos de Leite com Fruta", 13, "Chocolate base água", 16, "Vegano", 19, "Alcoólicos", 22, "Zero", 25, "Gelatos Proteicos", 28, 7), 8)) + (ROUND(P428,4) &gt; INDEX('Tabela de ingredientes'!$O$1:$V$30, SWITCH(B428, "Gelatos de Leite", 8, "Sorbets", 11, "Gelatos de Leite com Fruta", 14, "Chocolate base água", 17, "Vegano", 20, "Alcoólicos", 23, "Zero", 26, "Gelatos Proteicos", 29, 8), 8)) + IF(B428="Gelatos Proteicos", (ROUND(Q428,4)&lt;'Tabela de ingredientes'!$W$28)+(ROUND(Q428,4)&gt;'Tabela de ingredientes'!$W$29), 0) = 0, "Ok", "Revisar"))</f>
        <v/>
      </c>
    </row>
    <row r="429">
      <c r="A429" s="264"/>
      <c r="B429" s="264" t="s">
        <v>187</v>
      </c>
      <c r="C429" s="264" t="s">
        <v>187</v>
      </c>
      <c r="D429" s="264" t="s">
        <v>187</v>
      </c>
      <c r="E429" s="264" t="s">
        <v>187</v>
      </c>
      <c r="F429" s="264" t="s">
        <v>187</v>
      </c>
      <c r="G429" s="264" t="s">
        <v>187</v>
      </c>
      <c r="H429" s="264" t="s">
        <v>187</v>
      </c>
      <c r="I429" s="264" t="s">
        <v>187</v>
      </c>
      <c r="J429" s="264" t="s">
        <v>187</v>
      </c>
      <c r="K429" s="264" t="s">
        <v>187</v>
      </c>
      <c r="L429" s="264" t="s">
        <v>187</v>
      </c>
      <c r="M429" s="264" t="s">
        <v>187</v>
      </c>
      <c r="N429" s="264" t="s">
        <v>187</v>
      </c>
      <c r="O429" s="264" t="s">
        <v>187</v>
      </c>
      <c r="P429" s="264" t="s">
        <v>187</v>
      </c>
      <c r="Q429" s="264" t="s">
        <v>187</v>
      </c>
      <c r="R429" s="264" t="s">
        <v>187</v>
      </c>
      <c r="S429" s="97" t="str">
        <f t="array" ref="S429">IF(A429="","", IF( (ROUND(I429,4) &lt; INDEX('Tabela de ingredientes'!$O$1:$V$30, SWITCH(B429, "Gelatos de Leite", 7, "Sorbets", 10, "Gelatos de Leite com Fruta", 13, "Chocolate base água", 16, "Vegano", 19, "Alcoólicos", 22, "Zero", 25, "Gelatos Proteicos", 28, 7), 1)) + (ROUND(I429,4) &gt; INDEX('Tabela de ingredientes'!$O$1:$V$30, SWITCH(B429, "Gelatos de Leite", 8, "Sorbets", 11, "Gelatos de Leite com Fruta", 14, "Chocolate base água", 17, "Vegano", 20, "Alcoólicos", 23, "Zero", 26, "Gelatos Proteicos", 29, 8), 1)) + (ROUND(J429,4) &lt; INDEX('Tabela de ingredientes'!$O$1:$V$30, SWITCH(B429, "Gelatos de Leite", 7, "Sorbets", 10, "Gelatos de Leite com Fruta", 13, "Chocolate base água", 16, "Vegano", 19, "Alcoólicos", 22, "Zero", 25, "Gelatos Proteicos", 28, 7), 2)) + (ROUND(J429,4) &gt; INDEX('Tabela de ingredientes'!$O$1:$V$30, SWITCH(B429, "Gelatos de Leite", 8, "Sorbets", 11, "Gelatos de Leite com Fruta", 14, "Chocolate base água", 17, "Vegano", 20, "Alcoólicos", 23, "Zero", 26, "Gelatos Proteicos", 29, 8), 2)) + (ROUND(K429,4) &lt; INDEX('Tabela de ingredientes'!$O$1:$V$30, SWITCH(B429, "Gelatos de Leite", 7, "Sorbets", 10, "Gelatos de Leite com Fruta", 13, "Chocolate base água", 16, "Vegano", 19, "Alcoólicos", 22, "Zero", 25, "Gelatos Proteicos", 28, 7), 3)) + (ROUND(K429,4) &gt; INDEX('Tabela de ingredientes'!$O$1:$V$30, SWITCH(B429, "Gelatos de Leite", 8, "Sorbets", 11, "Gelatos de Leite com Fruta", 14, "Chocolate base água", 17, "Vegano", 20, "Alcoólicos", 23, "Zero", 26, "Gelatos Proteicos", 29, 8), 3)) + (ROUND(L429,4) &lt; INDEX('Tabela de ingredientes'!$O$1:$V$30, SWITCH(B429, "Gelatos de Leite", 7, "Sorbets", 10, "Gelatos de Leite com Fruta", 13, "Chocolate base água", 16, "Vegano", 19, "Alcoólicos", 22, "Zero", 25, "Gelatos Proteicos", 28, 7), 4)) + (ROUND(L429,4) &gt; INDEX('Tabela de ingredientes'!$O$1:$V$30, SWITCH(B429, "Gelatos de Leite", 8, "Sorbets", 11, "Gelatos de Leite com Fruta", 14, "Chocolate base água", 17, "Vegano", 20, "Alcoólicos", 23, "Zero", 26, "Gelatos Proteicos", 29, 8), 4)) + (ROUND(M429,4) &lt; INDEX('Tabela de ingredientes'!$O$1:$V$30, SWITCH(B429, "Gelatos de Leite", 7, "Sorbets", 10, "Gelatos de Leite com Fruta", 13, "Chocolate base água", 16, "Vegano", 19, "Alcoólicos", 22, "Zero", 25, "Gelatos Proteicos", 28, 7), 5)) + (ROUND(M429,4) &gt; INDEX('Tabela de ingredientes'!$O$1:$V$30, SWITCH(B429, "Gelatos de Leite", 8, "Sorbets", 11, "Gelatos de Leite com Fruta", 14, "Chocolate base água", 17, "Vegano", 20, "Alcoólicos", 23, "Zero", 26, "Gelatos Proteicos", 29, 8), 5)) + (ROUND(N429,4) &lt; INDEX('Tabela de ingredientes'!$O$1:$V$30, SWITCH(B429, "Gelatos de Leite", 7, "Sorbets", 10, "Gelatos de Leite com Fruta", 13, "Chocolate base água", 16, "Vegano", 19, "Alcoólicos", 22, "Zero", 25, "Gelatos Proteicos", 28, 7), 6)) + (ROUND(N429,4) &gt; INDEX('Tabela de ingredientes'!$O$1:$V$30, SWITCH(B429, "Gelatos de Leite", 8, "Sorbets", 11, "Gelatos de Leite com Fruta", 14, "Chocolate base água", 17, "Vegano", 20, "Alcoólicos", 23, "Zero", 26, "Gelatos Proteicos", 29, 8), 6)) + (ROUND(O429,4) &lt; INDEX('Tabela de ingredientes'!$O$1:$V$30, SWITCH(B429, "Gelatos de Leite", 7, "Sorbets", 10, "Gelatos de Leite com Fruta", 13, "Chocolate base água", 16, "Vegano", 19, "Alcoólicos", 22, "Zero", 25, "Gelatos Proteicos", 28, 7), 7)) + (ROUND(O429,4) &gt; INDEX('Tabela de ingredientes'!$O$1:$V$30, SWITCH(B429, "Gelatos de Leite", 8, "Sorbets", 11, "Gelatos de Leite com Fruta", 14, "Chocolate base água", 17, "Vegano", 20, "Alcoólicos", 23, "Zero", 26, "Gelatos Proteicos", 29, 8), 7)) + (ROUND(P429,4) &lt; INDEX('Tabela de ingredientes'!$O$1:$V$30, SWITCH(B429, "Gelatos de Leite", 7, "Sorbets", 10, "Gelatos de Leite com Fruta", 13, "Chocolate base água", 16, "Vegano", 19, "Alcoólicos", 22, "Zero", 25, "Gelatos Proteicos", 28, 7), 8)) + (ROUND(P429,4) &gt; INDEX('Tabela de ingredientes'!$O$1:$V$30, SWITCH(B429, "Gelatos de Leite", 8, "Sorbets", 11, "Gelatos de Leite com Fruta", 14, "Chocolate base água", 17, "Vegano", 20, "Alcoólicos", 23, "Zero", 26, "Gelatos Proteicos", 29, 8), 8)) + IF(B429="Gelatos Proteicos", (ROUND(Q429,4)&lt;'Tabela de ingredientes'!$W$28)+(ROUND(Q429,4)&gt;'Tabela de ingredientes'!$W$29), 0) = 0, "Ok", "Revisar"))</f>
        <v/>
      </c>
    </row>
    <row r="430">
      <c r="A430" s="264"/>
      <c r="B430" s="264" t="s">
        <v>187</v>
      </c>
      <c r="C430" s="264" t="s">
        <v>187</v>
      </c>
      <c r="D430" s="264" t="s">
        <v>187</v>
      </c>
      <c r="E430" s="264" t="s">
        <v>187</v>
      </c>
      <c r="F430" s="264" t="s">
        <v>187</v>
      </c>
      <c r="G430" s="264" t="s">
        <v>187</v>
      </c>
      <c r="H430" s="264" t="s">
        <v>187</v>
      </c>
      <c r="I430" s="264" t="s">
        <v>187</v>
      </c>
      <c r="J430" s="264" t="s">
        <v>187</v>
      </c>
      <c r="K430" s="264" t="s">
        <v>187</v>
      </c>
      <c r="L430" s="264" t="s">
        <v>187</v>
      </c>
      <c r="M430" s="264" t="s">
        <v>187</v>
      </c>
      <c r="N430" s="264" t="s">
        <v>187</v>
      </c>
      <c r="O430" s="264" t="s">
        <v>187</v>
      </c>
      <c r="P430" s="264" t="s">
        <v>187</v>
      </c>
      <c r="Q430" s="264" t="s">
        <v>187</v>
      </c>
      <c r="R430" s="264" t="s">
        <v>187</v>
      </c>
      <c r="S430" s="97" t="str">
        <f t="array" ref="S430">IF(A430="","", IF( (ROUND(I430,4) &lt; INDEX('Tabela de ingredientes'!$O$1:$V$30, SWITCH(B430, "Gelatos de Leite", 7, "Sorbets", 10, "Gelatos de Leite com Fruta", 13, "Chocolate base água", 16, "Vegano", 19, "Alcoólicos", 22, "Zero", 25, "Gelatos Proteicos", 28, 7), 1)) + (ROUND(I430,4) &gt; INDEX('Tabela de ingredientes'!$O$1:$V$30, SWITCH(B430, "Gelatos de Leite", 8, "Sorbets", 11, "Gelatos de Leite com Fruta", 14, "Chocolate base água", 17, "Vegano", 20, "Alcoólicos", 23, "Zero", 26, "Gelatos Proteicos", 29, 8), 1)) + (ROUND(J430,4) &lt; INDEX('Tabela de ingredientes'!$O$1:$V$30, SWITCH(B430, "Gelatos de Leite", 7, "Sorbets", 10, "Gelatos de Leite com Fruta", 13, "Chocolate base água", 16, "Vegano", 19, "Alcoólicos", 22, "Zero", 25, "Gelatos Proteicos", 28, 7), 2)) + (ROUND(J430,4) &gt; INDEX('Tabela de ingredientes'!$O$1:$V$30, SWITCH(B430, "Gelatos de Leite", 8, "Sorbets", 11, "Gelatos de Leite com Fruta", 14, "Chocolate base água", 17, "Vegano", 20, "Alcoólicos", 23, "Zero", 26, "Gelatos Proteicos", 29, 8), 2)) + (ROUND(K430,4) &lt; INDEX('Tabela de ingredientes'!$O$1:$V$30, SWITCH(B430, "Gelatos de Leite", 7, "Sorbets", 10, "Gelatos de Leite com Fruta", 13, "Chocolate base água", 16, "Vegano", 19, "Alcoólicos", 22, "Zero", 25, "Gelatos Proteicos", 28, 7), 3)) + (ROUND(K430,4) &gt; INDEX('Tabela de ingredientes'!$O$1:$V$30, SWITCH(B430, "Gelatos de Leite", 8, "Sorbets", 11, "Gelatos de Leite com Fruta", 14, "Chocolate base água", 17, "Vegano", 20, "Alcoólicos", 23, "Zero", 26, "Gelatos Proteicos", 29, 8), 3)) + (ROUND(L430,4) &lt; INDEX('Tabela de ingredientes'!$O$1:$V$30, SWITCH(B430, "Gelatos de Leite", 7, "Sorbets", 10, "Gelatos de Leite com Fruta", 13, "Chocolate base água", 16, "Vegano", 19, "Alcoólicos", 22, "Zero", 25, "Gelatos Proteicos", 28, 7), 4)) + (ROUND(L430,4) &gt; INDEX('Tabela de ingredientes'!$O$1:$V$30, SWITCH(B430, "Gelatos de Leite", 8, "Sorbets", 11, "Gelatos de Leite com Fruta", 14, "Chocolate base água", 17, "Vegano", 20, "Alcoólicos", 23, "Zero", 26, "Gelatos Proteicos", 29, 8), 4)) + (ROUND(M430,4) &lt; INDEX('Tabela de ingredientes'!$O$1:$V$30, SWITCH(B430, "Gelatos de Leite", 7, "Sorbets", 10, "Gelatos de Leite com Fruta", 13, "Chocolate base água", 16, "Vegano", 19, "Alcoólicos", 22, "Zero", 25, "Gelatos Proteicos", 28, 7), 5)) + (ROUND(M430,4) &gt; INDEX('Tabela de ingredientes'!$O$1:$V$30, SWITCH(B430, "Gelatos de Leite", 8, "Sorbets", 11, "Gelatos de Leite com Fruta", 14, "Chocolate base água", 17, "Vegano", 20, "Alcoólicos", 23, "Zero", 26, "Gelatos Proteicos", 29, 8), 5)) + (ROUND(N430,4) &lt; INDEX('Tabela de ingredientes'!$O$1:$V$30, SWITCH(B430, "Gelatos de Leite", 7, "Sorbets", 10, "Gelatos de Leite com Fruta", 13, "Chocolate base água", 16, "Vegano", 19, "Alcoólicos", 22, "Zero", 25, "Gelatos Proteicos", 28, 7), 6)) + (ROUND(N430,4) &gt; INDEX('Tabela de ingredientes'!$O$1:$V$30, SWITCH(B430, "Gelatos de Leite", 8, "Sorbets", 11, "Gelatos de Leite com Fruta", 14, "Chocolate base água", 17, "Vegano", 20, "Alcoólicos", 23, "Zero", 26, "Gelatos Proteicos", 29, 8), 6)) + (ROUND(O430,4) &lt; INDEX('Tabela de ingredientes'!$O$1:$V$30, SWITCH(B430, "Gelatos de Leite", 7, "Sorbets", 10, "Gelatos de Leite com Fruta", 13, "Chocolate base água", 16, "Vegano", 19, "Alcoólicos", 22, "Zero", 25, "Gelatos Proteicos", 28, 7), 7)) + (ROUND(O430,4) &gt; INDEX('Tabela de ingredientes'!$O$1:$V$30, SWITCH(B430, "Gelatos de Leite", 8, "Sorbets", 11, "Gelatos de Leite com Fruta", 14, "Chocolate base água", 17, "Vegano", 20, "Alcoólicos", 23, "Zero", 26, "Gelatos Proteicos", 29, 8), 7)) + (ROUND(P430,4) &lt; INDEX('Tabela de ingredientes'!$O$1:$V$30, SWITCH(B430, "Gelatos de Leite", 7, "Sorbets", 10, "Gelatos de Leite com Fruta", 13, "Chocolate base água", 16, "Vegano", 19, "Alcoólicos", 22, "Zero", 25, "Gelatos Proteicos", 28, 7), 8)) + (ROUND(P430,4) &gt; INDEX('Tabela de ingredientes'!$O$1:$V$30, SWITCH(B430, "Gelatos de Leite", 8, "Sorbets", 11, "Gelatos de Leite com Fruta", 14, "Chocolate base água", 17, "Vegano", 20, "Alcoólicos", 23, "Zero", 26, "Gelatos Proteicos", 29, 8), 8)) + IF(B430="Gelatos Proteicos", (ROUND(Q430,4)&lt;'Tabela de ingredientes'!$W$28)+(ROUND(Q430,4)&gt;'Tabela de ingredientes'!$W$29), 0) = 0, "Ok", "Revisar"))</f>
        <v/>
      </c>
    </row>
    <row r="431">
      <c r="A431" s="264"/>
      <c r="B431" s="264" t="s">
        <v>187</v>
      </c>
      <c r="C431" s="264" t="s">
        <v>187</v>
      </c>
      <c r="D431" s="264" t="s">
        <v>187</v>
      </c>
      <c r="E431" s="264" t="s">
        <v>187</v>
      </c>
      <c r="F431" s="264" t="s">
        <v>187</v>
      </c>
      <c r="G431" s="264" t="s">
        <v>187</v>
      </c>
      <c r="H431" s="264" t="s">
        <v>187</v>
      </c>
      <c r="I431" s="264" t="s">
        <v>187</v>
      </c>
      <c r="J431" s="264" t="s">
        <v>187</v>
      </c>
      <c r="K431" s="264" t="s">
        <v>187</v>
      </c>
      <c r="L431" s="264" t="s">
        <v>187</v>
      </c>
      <c r="M431" s="264" t="s">
        <v>187</v>
      </c>
      <c r="N431" s="264" t="s">
        <v>187</v>
      </c>
      <c r="O431" s="264" t="s">
        <v>187</v>
      </c>
      <c r="P431" s="264" t="s">
        <v>187</v>
      </c>
      <c r="Q431" s="264" t="s">
        <v>187</v>
      </c>
      <c r="R431" s="264" t="s">
        <v>187</v>
      </c>
      <c r="S431" s="97" t="str">
        <f t="array" ref="S431">IF(A431="","", IF( (ROUND(I431,4) &lt; INDEX('Tabela de ingredientes'!$O$1:$V$30, SWITCH(B431, "Gelatos de Leite", 7, "Sorbets", 10, "Gelatos de Leite com Fruta", 13, "Chocolate base água", 16, "Vegano", 19, "Alcoólicos", 22, "Zero", 25, "Gelatos Proteicos", 28, 7), 1)) + (ROUND(I431,4) &gt; INDEX('Tabela de ingredientes'!$O$1:$V$30, SWITCH(B431, "Gelatos de Leite", 8, "Sorbets", 11, "Gelatos de Leite com Fruta", 14, "Chocolate base água", 17, "Vegano", 20, "Alcoólicos", 23, "Zero", 26, "Gelatos Proteicos", 29, 8), 1)) + (ROUND(J431,4) &lt; INDEX('Tabela de ingredientes'!$O$1:$V$30, SWITCH(B431, "Gelatos de Leite", 7, "Sorbets", 10, "Gelatos de Leite com Fruta", 13, "Chocolate base água", 16, "Vegano", 19, "Alcoólicos", 22, "Zero", 25, "Gelatos Proteicos", 28, 7), 2)) + (ROUND(J431,4) &gt; INDEX('Tabela de ingredientes'!$O$1:$V$30, SWITCH(B431, "Gelatos de Leite", 8, "Sorbets", 11, "Gelatos de Leite com Fruta", 14, "Chocolate base água", 17, "Vegano", 20, "Alcoólicos", 23, "Zero", 26, "Gelatos Proteicos", 29, 8), 2)) + (ROUND(K431,4) &lt; INDEX('Tabela de ingredientes'!$O$1:$V$30, SWITCH(B431, "Gelatos de Leite", 7, "Sorbets", 10, "Gelatos de Leite com Fruta", 13, "Chocolate base água", 16, "Vegano", 19, "Alcoólicos", 22, "Zero", 25, "Gelatos Proteicos", 28, 7), 3)) + (ROUND(K431,4) &gt; INDEX('Tabela de ingredientes'!$O$1:$V$30, SWITCH(B431, "Gelatos de Leite", 8, "Sorbets", 11, "Gelatos de Leite com Fruta", 14, "Chocolate base água", 17, "Vegano", 20, "Alcoólicos", 23, "Zero", 26, "Gelatos Proteicos", 29, 8), 3)) + (ROUND(L431,4) &lt; INDEX('Tabela de ingredientes'!$O$1:$V$30, SWITCH(B431, "Gelatos de Leite", 7, "Sorbets", 10, "Gelatos de Leite com Fruta", 13, "Chocolate base água", 16, "Vegano", 19, "Alcoólicos", 22, "Zero", 25, "Gelatos Proteicos", 28, 7), 4)) + (ROUND(L431,4) &gt; INDEX('Tabela de ingredientes'!$O$1:$V$30, SWITCH(B431, "Gelatos de Leite", 8, "Sorbets", 11, "Gelatos de Leite com Fruta", 14, "Chocolate base água", 17, "Vegano", 20, "Alcoólicos", 23, "Zero", 26, "Gelatos Proteicos", 29, 8), 4)) + (ROUND(M431,4) &lt; INDEX('Tabela de ingredientes'!$O$1:$V$30, SWITCH(B431, "Gelatos de Leite", 7, "Sorbets", 10, "Gelatos de Leite com Fruta", 13, "Chocolate base água", 16, "Vegano", 19, "Alcoólicos", 22, "Zero", 25, "Gelatos Proteicos", 28, 7), 5)) + (ROUND(M431,4) &gt; INDEX('Tabela de ingredientes'!$O$1:$V$30, SWITCH(B431, "Gelatos de Leite", 8, "Sorbets", 11, "Gelatos de Leite com Fruta", 14, "Chocolate base água", 17, "Vegano", 20, "Alcoólicos", 23, "Zero", 26, "Gelatos Proteicos", 29, 8), 5)) + (ROUND(N431,4) &lt; INDEX('Tabela de ingredientes'!$O$1:$V$30, SWITCH(B431, "Gelatos de Leite", 7, "Sorbets", 10, "Gelatos de Leite com Fruta", 13, "Chocolate base água", 16, "Vegano", 19, "Alcoólicos", 22, "Zero", 25, "Gelatos Proteicos", 28, 7), 6)) + (ROUND(N431,4) &gt; INDEX('Tabela de ingredientes'!$O$1:$V$30, SWITCH(B431, "Gelatos de Leite", 8, "Sorbets", 11, "Gelatos de Leite com Fruta", 14, "Chocolate base água", 17, "Vegano", 20, "Alcoólicos", 23, "Zero", 26, "Gelatos Proteicos", 29, 8), 6)) + (ROUND(O431,4) &lt; INDEX('Tabela de ingredientes'!$O$1:$V$30, SWITCH(B431, "Gelatos de Leite", 7, "Sorbets", 10, "Gelatos de Leite com Fruta", 13, "Chocolate base água", 16, "Vegano", 19, "Alcoólicos", 22, "Zero", 25, "Gelatos Proteicos", 28, 7), 7)) + (ROUND(O431,4) &gt; INDEX('Tabela de ingredientes'!$O$1:$V$30, SWITCH(B431, "Gelatos de Leite", 8, "Sorbets", 11, "Gelatos de Leite com Fruta", 14, "Chocolate base água", 17, "Vegano", 20, "Alcoólicos", 23, "Zero", 26, "Gelatos Proteicos", 29, 8), 7)) + (ROUND(P431,4) &lt; INDEX('Tabela de ingredientes'!$O$1:$V$30, SWITCH(B431, "Gelatos de Leite", 7, "Sorbets", 10, "Gelatos de Leite com Fruta", 13, "Chocolate base água", 16, "Vegano", 19, "Alcoólicos", 22, "Zero", 25, "Gelatos Proteicos", 28, 7), 8)) + (ROUND(P431,4) &gt; INDEX('Tabela de ingredientes'!$O$1:$V$30, SWITCH(B431, "Gelatos de Leite", 8, "Sorbets", 11, "Gelatos de Leite com Fruta", 14, "Chocolate base água", 17, "Vegano", 20, "Alcoólicos", 23, "Zero", 26, "Gelatos Proteicos", 29, 8), 8)) + IF(B431="Gelatos Proteicos", (ROUND(Q431,4)&lt;'Tabela de ingredientes'!$W$28)+(ROUND(Q431,4)&gt;'Tabela de ingredientes'!$W$29), 0) = 0, "Ok", "Revisar"))</f>
        <v/>
      </c>
    </row>
    <row r="432">
      <c r="A432" s="264"/>
      <c r="B432" s="264" t="s">
        <v>187</v>
      </c>
      <c r="C432" s="264" t="s">
        <v>187</v>
      </c>
      <c r="D432" s="264" t="s">
        <v>187</v>
      </c>
      <c r="E432" s="264" t="s">
        <v>187</v>
      </c>
      <c r="F432" s="264" t="s">
        <v>187</v>
      </c>
      <c r="G432" s="264" t="s">
        <v>187</v>
      </c>
      <c r="H432" s="264" t="s">
        <v>187</v>
      </c>
      <c r="I432" s="264" t="s">
        <v>187</v>
      </c>
      <c r="J432" s="264" t="s">
        <v>187</v>
      </c>
      <c r="K432" s="264" t="s">
        <v>187</v>
      </c>
      <c r="L432" s="264" t="s">
        <v>187</v>
      </c>
      <c r="M432" s="264" t="s">
        <v>187</v>
      </c>
      <c r="N432" s="264" t="s">
        <v>187</v>
      </c>
      <c r="O432" s="264" t="s">
        <v>187</v>
      </c>
      <c r="P432" s="264" t="s">
        <v>187</v>
      </c>
      <c r="Q432" s="264" t="s">
        <v>187</v>
      </c>
      <c r="R432" s="264" t="s">
        <v>187</v>
      </c>
      <c r="S432" s="97" t="str">
        <f t="array" ref="S432">IF(A432="","", IF( (ROUND(I432,4) &lt; INDEX('Tabela de ingredientes'!$O$1:$V$30, SWITCH(B432, "Gelatos de Leite", 7, "Sorbets", 10, "Gelatos de Leite com Fruta", 13, "Chocolate base água", 16, "Vegano", 19, "Alcoólicos", 22, "Zero", 25, "Gelatos Proteicos", 28, 7), 1)) + (ROUND(I432,4) &gt; INDEX('Tabela de ingredientes'!$O$1:$V$30, SWITCH(B432, "Gelatos de Leite", 8, "Sorbets", 11, "Gelatos de Leite com Fruta", 14, "Chocolate base água", 17, "Vegano", 20, "Alcoólicos", 23, "Zero", 26, "Gelatos Proteicos", 29, 8), 1)) + (ROUND(J432,4) &lt; INDEX('Tabela de ingredientes'!$O$1:$V$30, SWITCH(B432, "Gelatos de Leite", 7, "Sorbets", 10, "Gelatos de Leite com Fruta", 13, "Chocolate base água", 16, "Vegano", 19, "Alcoólicos", 22, "Zero", 25, "Gelatos Proteicos", 28, 7), 2)) + (ROUND(J432,4) &gt; INDEX('Tabela de ingredientes'!$O$1:$V$30, SWITCH(B432, "Gelatos de Leite", 8, "Sorbets", 11, "Gelatos de Leite com Fruta", 14, "Chocolate base água", 17, "Vegano", 20, "Alcoólicos", 23, "Zero", 26, "Gelatos Proteicos", 29, 8), 2)) + (ROUND(K432,4) &lt; INDEX('Tabela de ingredientes'!$O$1:$V$30, SWITCH(B432, "Gelatos de Leite", 7, "Sorbets", 10, "Gelatos de Leite com Fruta", 13, "Chocolate base água", 16, "Vegano", 19, "Alcoólicos", 22, "Zero", 25, "Gelatos Proteicos", 28, 7), 3)) + (ROUND(K432,4) &gt; INDEX('Tabela de ingredientes'!$O$1:$V$30, SWITCH(B432, "Gelatos de Leite", 8, "Sorbets", 11, "Gelatos de Leite com Fruta", 14, "Chocolate base água", 17, "Vegano", 20, "Alcoólicos", 23, "Zero", 26, "Gelatos Proteicos", 29, 8), 3)) + (ROUND(L432,4) &lt; INDEX('Tabela de ingredientes'!$O$1:$V$30, SWITCH(B432, "Gelatos de Leite", 7, "Sorbets", 10, "Gelatos de Leite com Fruta", 13, "Chocolate base água", 16, "Vegano", 19, "Alcoólicos", 22, "Zero", 25, "Gelatos Proteicos", 28, 7), 4)) + (ROUND(L432,4) &gt; INDEX('Tabela de ingredientes'!$O$1:$V$30, SWITCH(B432, "Gelatos de Leite", 8, "Sorbets", 11, "Gelatos de Leite com Fruta", 14, "Chocolate base água", 17, "Vegano", 20, "Alcoólicos", 23, "Zero", 26, "Gelatos Proteicos", 29, 8), 4)) + (ROUND(M432,4) &lt; INDEX('Tabela de ingredientes'!$O$1:$V$30, SWITCH(B432, "Gelatos de Leite", 7, "Sorbets", 10, "Gelatos de Leite com Fruta", 13, "Chocolate base água", 16, "Vegano", 19, "Alcoólicos", 22, "Zero", 25, "Gelatos Proteicos", 28, 7), 5)) + (ROUND(M432,4) &gt; INDEX('Tabela de ingredientes'!$O$1:$V$30, SWITCH(B432, "Gelatos de Leite", 8, "Sorbets", 11, "Gelatos de Leite com Fruta", 14, "Chocolate base água", 17, "Vegano", 20, "Alcoólicos", 23, "Zero", 26, "Gelatos Proteicos", 29, 8), 5)) + (ROUND(N432,4) &lt; INDEX('Tabela de ingredientes'!$O$1:$V$30, SWITCH(B432, "Gelatos de Leite", 7, "Sorbets", 10, "Gelatos de Leite com Fruta", 13, "Chocolate base água", 16, "Vegano", 19, "Alcoólicos", 22, "Zero", 25, "Gelatos Proteicos", 28, 7), 6)) + (ROUND(N432,4) &gt; INDEX('Tabela de ingredientes'!$O$1:$V$30, SWITCH(B432, "Gelatos de Leite", 8, "Sorbets", 11, "Gelatos de Leite com Fruta", 14, "Chocolate base água", 17, "Vegano", 20, "Alcoólicos", 23, "Zero", 26, "Gelatos Proteicos", 29, 8), 6)) + (ROUND(O432,4) &lt; INDEX('Tabela de ingredientes'!$O$1:$V$30, SWITCH(B432, "Gelatos de Leite", 7, "Sorbets", 10, "Gelatos de Leite com Fruta", 13, "Chocolate base água", 16, "Vegano", 19, "Alcoólicos", 22, "Zero", 25, "Gelatos Proteicos", 28, 7), 7)) + (ROUND(O432,4) &gt; INDEX('Tabela de ingredientes'!$O$1:$V$30, SWITCH(B432, "Gelatos de Leite", 8, "Sorbets", 11, "Gelatos de Leite com Fruta", 14, "Chocolate base água", 17, "Vegano", 20, "Alcoólicos", 23, "Zero", 26, "Gelatos Proteicos", 29, 8), 7)) + (ROUND(P432,4) &lt; INDEX('Tabela de ingredientes'!$O$1:$V$30, SWITCH(B432, "Gelatos de Leite", 7, "Sorbets", 10, "Gelatos de Leite com Fruta", 13, "Chocolate base água", 16, "Vegano", 19, "Alcoólicos", 22, "Zero", 25, "Gelatos Proteicos", 28, 7), 8)) + (ROUND(P432,4) &gt; INDEX('Tabela de ingredientes'!$O$1:$V$30, SWITCH(B432, "Gelatos de Leite", 8, "Sorbets", 11, "Gelatos de Leite com Fruta", 14, "Chocolate base água", 17, "Vegano", 20, "Alcoólicos", 23, "Zero", 26, "Gelatos Proteicos", 29, 8), 8)) + IF(B432="Gelatos Proteicos", (ROUND(Q432,4)&lt;'Tabela de ingredientes'!$W$28)+(ROUND(Q432,4)&gt;'Tabela de ingredientes'!$W$29), 0) = 0, "Ok", "Revisar"))</f>
        <v/>
      </c>
    </row>
    <row r="433">
      <c r="A433" s="264"/>
      <c r="B433" s="264" t="s">
        <v>187</v>
      </c>
      <c r="C433" s="264" t="s">
        <v>187</v>
      </c>
      <c r="D433" s="264" t="s">
        <v>187</v>
      </c>
      <c r="E433" s="264" t="s">
        <v>187</v>
      </c>
      <c r="F433" s="264" t="s">
        <v>187</v>
      </c>
      <c r="G433" s="264" t="s">
        <v>187</v>
      </c>
      <c r="H433" s="264" t="s">
        <v>187</v>
      </c>
      <c r="I433" s="264" t="s">
        <v>187</v>
      </c>
      <c r="J433" s="264" t="s">
        <v>187</v>
      </c>
      <c r="K433" s="264" t="s">
        <v>187</v>
      </c>
      <c r="L433" s="264" t="s">
        <v>187</v>
      </c>
      <c r="M433" s="264" t="s">
        <v>187</v>
      </c>
      <c r="N433" s="264" t="s">
        <v>187</v>
      </c>
      <c r="O433" s="264" t="s">
        <v>187</v>
      </c>
      <c r="P433" s="264" t="s">
        <v>187</v>
      </c>
      <c r="Q433" s="264" t="s">
        <v>187</v>
      </c>
      <c r="R433" s="264" t="s">
        <v>187</v>
      </c>
      <c r="S433" s="97" t="str">
        <f t="array" ref="S433">IF(A433="","", IF( (ROUND(I433,4) &lt; INDEX('Tabela de ingredientes'!$O$1:$V$30, SWITCH(B433, "Gelatos de Leite", 7, "Sorbets", 10, "Gelatos de Leite com Fruta", 13, "Chocolate base água", 16, "Vegano", 19, "Alcoólicos", 22, "Zero", 25, "Gelatos Proteicos", 28, 7), 1)) + (ROUND(I433,4) &gt; INDEX('Tabela de ingredientes'!$O$1:$V$30, SWITCH(B433, "Gelatos de Leite", 8, "Sorbets", 11, "Gelatos de Leite com Fruta", 14, "Chocolate base água", 17, "Vegano", 20, "Alcoólicos", 23, "Zero", 26, "Gelatos Proteicos", 29, 8), 1)) + (ROUND(J433,4) &lt; INDEX('Tabela de ingredientes'!$O$1:$V$30, SWITCH(B433, "Gelatos de Leite", 7, "Sorbets", 10, "Gelatos de Leite com Fruta", 13, "Chocolate base água", 16, "Vegano", 19, "Alcoólicos", 22, "Zero", 25, "Gelatos Proteicos", 28, 7), 2)) + (ROUND(J433,4) &gt; INDEX('Tabela de ingredientes'!$O$1:$V$30, SWITCH(B433, "Gelatos de Leite", 8, "Sorbets", 11, "Gelatos de Leite com Fruta", 14, "Chocolate base água", 17, "Vegano", 20, "Alcoólicos", 23, "Zero", 26, "Gelatos Proteicos", 29, 8), 2)) + (ROUND(K433,4) &lt; INDEX('Tabela de ingredientes'!$O$1:$V$30, SWITCH(B433, "Gelatos de Leite", 7, "Sorbets", 10, "Gelatos de Leite com Fruta", 13, "Chocolate base água", 16, "Vegano", 19, "Alcoólicos", 22, "Zero", 25, "Gelatos Proteicos", 28, 7), 3)) + (ROUND(K433,4) &gt; INDEX('Tabela de ingredientes'!$O$1:$V$30, SWITCH(B433, "Gelatos de Leite", 8, "Sorbets", 11, "Gelatos de Leite com Fruta", 14, "Chocolate base água", 17, "Vegano", 20, "Alcoólicos", 23, "Zero", 26, "Gelatos Proteicos", 29, 8), 3)) + (ROUND(L433,4) &lt; INDEX('Tabela de ingredientes'!$O$1:$V$30, SWITCH(B433, "Gelatos de Leite", 7, "Sorbets", 10, "Gelatos de Leite com Fruta", 13, "Chocolate base água", 16, "Vegano", 19, "Alcoólicos", 22, "Zero", 25, "Gelatos Proteicos", 28, 7), 4)) + (ROUND(L433,4) &gt; INDEX('Tabela de ingredientes'!$O$1:$V$30, SWITCH(B433, "Gelatos de Leite", 8, "Sorbets", 11, "Gelatos de Leite com Fruta", 14, "Chocolate base água", 17, "Vegano", 20, "Alcoólicos", 23, "Zero", 26, "Gelatos Proteicos", 29, 8), 4)) + (ROUND(M433,4) &lt; INDEX('Tabela de ingredientes'!$O$1:$V$30, SWITCH(B433, "Gelatos de Leite", 7, "Sorbets", 10, "Gelatos de Leite com Fruta", 13, "Chocolate base água", 16, "Vegano", 19, "Alcoólicos", 22, "Zero", 25, "Gelatos Proteicos", 28, 7), 5)) + (ROUND(M433,4) &gt; INDEX('Tabela de ingredientes'!$O$1:$V$30, SWITCH(B433, "Gelatos de Leite", 8, "Sorbets", 11, "Gelatos de Leite com Fruta", 14, "Chocolate base água", 17, "Vegano", 20, "Alcoólicos", 23, "Zero", 26, "Gelatos Proteicos", 29, 8), 5)) + (ROUND(N433,4) &lt; INDEX('Tabela de ingredientes'!$O$1:$V$30, SWITCH(B433, "Gelatos de Leite", 7, "Sorbets", 10, "Gelatos de Leite com Fruta", 13, "Chocolate base água", 16, "Vegano", 19, "Alcoólicos", 22, "Zero", 25, "Gelatos Proteicos", 28, 7), 6)) + (ROUND(N433,4) &gt; INDEX('Tabela de ingredientes'!$O$1:$V$30, SWITCH(B433, "Gelatos de Leite", 8, "Sorbets", 11, "Gelatos de Leite com Fruta", 14, "Chocolate base água", 17, "Vegano", 20, "Alcoólicos", 23, "Zero", 26, "Gelatos Proteicos", 29, 8), 6)) + (ROUND(O433,4) &lt; INDEX('Tabela de ingredientes'!$O$1:$V$30, SWITCH(B433, "Gelatos de Leite", 7, "Sorbets", 10, "Gelatos de Leite com Fruta", 13, "Chocolate base água", 16, "Vegano", 19, "Alcoólicos", 22, "Zero", 25, "Gelatos Proteicos", 28, 7), 7)) + (ROUND(O433,4) &gt; INDEX('Tabela de ingredientes'!$O$1:$V$30, SWITCH(B433, "Gelatos de Leite", 8, "Sorbets", 11, "Gelatos de Leite com Fruta", 14, "Chocolate base água", 17, "Vegano", 20, "Alcoólicos", 23, "Zero", 26, "Gelatos Proteicos", 29, 8), 7)) + (ROUND(P433,4) &lt; INDEX('Tabela de ingredientes'!$O$1:$V$30, SWITCH(B433, "Gelatos de Leite", 7, "Sorbets", 10, "Gelatos de Leite com Fruta", 13, "Chocolate base água", 16, "Vegano", 19, "Alcoólicos", 22, "Zero", 25, "Gelatos Proteicos", 28, 7), 8)) + (ROUND(P433,4) &gt; INDEX('Tabela de ingredientes'!$O$1:$V$30, SWITCH(B433, "Gelatos de Leite", 8, "Sorbets", 11, "Gelatos de Leite com Fruta", 14, "Chocolate base água", 17, "Vegano", 20, "Alcoólicos", 23, "Zero", 26, "Gelatos Proteicos", 29, 8), 8)) + IF(B433="Gelatos Proteicos", (ROUND(Q433,4)&lt;'Tabela de ingredientes'!$W$28)+(ROUND(Q433,4)&gt;'Tabela de ingredientes'!$W$29), 0) = 0, "Ok", "Revisar"))</f>
        <v/>
      </c>
    </row>
    <row r="434">
      <c r="A434" s="264"/>
      <c r="B434" s="264" t="s">
        <v>187</v>
      </c>
      <c r="C434" s="264" t="s">
        <v>187</v>
      </c>
      <c r="D434" s="264" t="s">
        <v>187</v>
      </c>
      <c r="E434" s="264" t="s">
        <v>187</v>
      </c>
      <c r="F434" s="264" t="s">
        <v>187</v>
      </c>
      <c r="G434" s="264" t="s">
        <v>187</v>
      </c>
      <c r="H434" s="264" t="s">
        <v>187</v>
      </c>
      <c r="I434" s="264" t="s">
        <v>187</v>
      </c>
      <c r="J434" s="264" t="s">
        <v>187</v>
      </c>
      <c r="K434" s="264" t="s">
        <v>187</v>
      </c>
      <c r="L434" s="264" t="s">
        <v>187</v>
      </c>
      <c r="M434" s="264" t="s">
        <v>187</v>
      </c>
      <c r="N434" s="264" t="s">
        <v>187</v>
      </c>
      <c r="O434" s="264" t="s">
        <v>187</v>
      </c>
      <c r="P434" s="264" t="s">
        <v>187</v>
      </c>
      <c r="Q434" s="264" t="s">
        <v>187</v>
      </c>
      <c r="R434" s="264" t="s">
        <v>187</v>
      </c>
      <c r="S434" s="97" t="str">
        <f t="array" ref="S434">IF(A434="","", IF( (ROUND(I434,4) &lt; INDEX('Tabela de ingredientes'!$O$1:$V$30, SWITCH(B434, "Gelatos de Leite", 7, "Sorbets", 10, "Gelatos de Leite com Fruta", 13, "Chocolate base água", 16, "Vegano", 19, "Alcoólicos", 22, "Zero", 25, "Gelatos Proteicos", 28, 7), 1)) + (ROUND(I434,4) &gt; INDEX('Tabela de ingredientes'!$O$1:$V$30, SWITCH(B434, "Gelatos de Leite", 8, "Sorbets", 11, "Gelatos de Leite com Fruta", 14, "Chocolate base água", 17, "Vegano", 20, "Alcoólicos", 23, "Zero", 26, "Gelatos Proteicos", 29, 8), 1)) + (ROUND(J434,4) &lt; INDEX('Tabela de ingredientes'!$O$1:$V$30, SWITCH(B434, "Gelatos de Leite", 7, "Sorbets", 10, "Gelatos de Leite com Fruta", 13, "Chocolate base água", 16, "Vegano", 19, "Alcoólicos", 22, "Zero", 25, "Gelatos Proteicos", 28, 7), 2)) + (ROUND(J434,4) &gt; INDEX('Tabela de ingredientes'!$O$1:$V$30, SWITCH(B434, "Gelatos de Leite", 8, "Sorbets", 11, "Gelatos de Leite com Fruta", 14, "Chocolate base água", 17, "Vegano", 20, "Alcoólicos", 23, "Zero", 26, "Gelatos Proteicos", 29, 8), 2)) + (ROUND(K434,4) &lt; INDEX('Tabela de ingredientes'!$O$1:$V$30, SWITCH(B434, "Gelatos de Leite", 7, "Sorbets", 10, "Gelatos de Leite com Fruta", 13, "Chocolate base água", 16, "Vegano", 19, "Alcoólicos", 22, "Zero", 25, "Gelatos Proteicos", 28, 7), 3)) + (ROUND(K434,4) &gt; INDEX('Tabela de ingredientes'!$O$1:$V$30, SWITCH(B434, "Gelatos de Leite", 8, "Sorbets", 11, "Gelatos de Leite com Fruta", 14, "Chocolate base água", 17, "Vegano", 20, "Alcoólicos", 23, "Zero", 26, "Gelatos Proteicos", 29, 8), 3)) + (ROUND(L434,4) &lt; INDEX('Tabela de ingredientes'!$O$1:$V$30, SWITCH(B434, "Gelatos de Leite", 7, "Sorbets", 10, "Gelatos de Leite com Fruta", 13, "Chocolate base água", 16, "Vegano", 19, "Alcoólicos", 22, "Zero", 25, "Gelatos Proteicos", 28, 7), 4)) + (ROUND(L434,4) &gt; INDEX('Tabela de ingredientes'!$O$1:$V$30, SWITCH(B434, "Gelatos de Leite", 8, "Sorbets", 11, "Gelatos de Leite com Fruta", 14, "Chocolate base água", 17, "Vegano", 20, "Alcoólicos", 23, "Zero", 26, "Gelatos Proteicos", 29, 8), 4)) + (ROUND(M434,4) &lt; INDEX('Tabela de ingredientes'!$O$1:$V$30, SWITCH(B434, "Gelatos de Leite", 7, "Sorbets", 10, "Gelatos de Leite com Fruta", 13, "Chocolate base água", 16, "Vegano", 19, "Alcoólicos", 22, "Zero", 25, "Gelatos Proteicos", 28, 7), 5)) + (ROUND(M434,4) &gt; INDEX('Tabela de ingredientes'!$O$1:$V$30, SWITCH(B434, "Gelatos de Leite", 8, "Sorbets", 11, "Gelatos de Leite com Fruta", 14, "Chocolate base água", 17, "Vegano", 20, "Alcoólicos", 23, "Zero", 26, "Gelatos Proteicos", 29, 8), 5)) + (ROUND(N434,4) &lt; INDEX('Tabela de ingredientes'!$O$1:$V$30, SWITCH(B434, "Gelatos de Leite", 7, "Sorbets", 10, "Gelatos de Leite com Fruta", 13, "Chocolate base água", 16, "Vegano", 19, "Alcoólicos", 22, "Zero", 25, "Gelatos Proteicos", 28, 7), 6)) + (ROUND(N434,4) &gt; INDEX('Tabela de ingredientes'!$O$1:$V$30, SWITCH(B434, "Gelatos de Leite", 8, "Sorbets", 11, "Gelatos de Leite com Fruta", 14, "Chocolate base água", 17, "Vegano", 20, "Alcoólicos", 23, "Zero", 26, "Gelatos Proteicos", 29, 8), 6)) + (ROUND(O434,4) &lt; INDEX('Tabela de ingredientes'!$O$1:$V$30, SWITCH(B434, "Gelatos de Leite", 7, "Sorbets", 10, "Gelatos de Leite com Fruta", 13, "Chocolate base água", 16, "Vegano", 19, "Alcoólicos", 22, "Zero", 25, "Gelatos Proteicos", 28, 7), 7)) + (ROUND(O434,4) &gt; INDEX('Tabela de ingredientes'!$O$1:$V$30, SWITCH(B434, "Gelatos de Leite", 8, "Sorbets", 11, "Gelatos de Leite com Fruta", 14, "Chocolate base água", 17, "Vegano", 20, "Alcoólicos", 23, "Zero", 26, "Gelatos Proteicos", 29, 8), 7)) + (ROUND(P434,4) &lt; INDEX('Tabela de ingredientes'!$O$1:$V$30, SWITCH(B434, "Gelatos de Leite", 7, "Sorbets", 10, "Gelatos de Leite com Fruta", 13, "Chocolate base água", 16, "Vegano", 19, "Alcoólicos", 22, "Zero", 25, "Gelatos Proteicos", 28, 7), 8)) + (ROUND(P434,4) &gt; INDEX('Tabela de ingredientes'!$O$1:$V$30, SWITCH(B434, "Gelatos de Leite", 8, "Sorbets", 11, "Gelatos de Leite com Fruta", 14, "Chocolate base água", 17, "Vegano", 20, "Alcoólicos", 23, "Zero", 26, "Gelatos Proteicos", 29, 8), 8)) + IF(B434="Gelatos Proteicos", (ROUND(Q434,4)&lt;'Tabela de ingredientes'!$W$28)+(ROUND(Q434,4)&gt;'Tabela de ingredientes'!$W$29), 0) = 0, "Ok", "Revisar"))</f>
        <v/>
      </c>
    </row>
    <row r="435">
      <c r="A435" s="264"/>
      <c r="B435" s="264" t="s">
        <v>187</v>
      </c>
      <c r="C435" s="264" t="s">
        <v>187</v>
      </c>
      <c r="D435" s="264" t="s">
        <v>187</v>
      </c>
      <c r="E435" s="264" t="s">
        <v>187</v>
      </c>
      <c r="F435" s="264" t="s">
        <v>187</v>
      </c>
      <c r="G435" s="264" t="s">
        <v>187</v>
      </c>
      <c r="H435" s="264" t="s">
        <v>187</v>
      </c>
      <c r="I435" s="264" t="s">
        <v>187</v>
      </c>
      <c r="J435" s="264" t="s">
        <v>187</v>
      </c>
      <c r="K435" s="264" t="s">
        <v>187</v>
      </c>
      <c r="L435" s="264" t="s">
        <v>187</v>
      </c>
      <c r="M435" s="264" t="s">
        <v>187</v>
      </c>
      <c r="N435" s="264" t="s">
        <v>187</v>
      </c>
      <c r="O435" s="264" t="s">
        <v>187</v>
      </c>
      <c r="P435" s="264" t="s">
        <v>187</v>
      </c>
      <c r="Q435" s="264" t="s">
        <v>187</v>
      </c>
      <c r="R435" s="264" t="s">
        <v>187</v>
      </c>
      <c r="S435" s="97" t="str">
        <f t="array" ref="S435">IF(A435="","", IF( (ROUND(I435,4) &lt; INDEX('Tabela de ingredientes'!$O$1:$V$30, SWITCH(B435, "Gelatos de Leite", 7, "Sorbets", 10, "Gelatos de Leite com Fruta", 13, "Chocolate base água", 16, "Vegano", 19, "Alcoólicos", 22, "Zero", 25, "Gelatos Proteicos", 28, 7), 1)) + (ROUND(I435,4) &gt; INDEX('Tabela de ingredientes'!$O$1:$V$30, SWITCH(B435, "Gelatos de Leite", 8, "Sorbets", 11, "Gelatos de Leite com Fruta", 14, "Chocolate base água", 17, "Vegano", 20, "Alcoólicos", 23, "Zero", 26, "Gelatos Proteicos", 29, 8), 1)) + (ROUND(J435,4) &lt; INDEX('Tabela de ingredientes'!$O$1:$V$30, SWITCH(B435, "Gelatos de Leite", 7, "Sorbets", 10, "Gelatos de Leite com Fruta", 13, "Chocolate base água", 16, "Vegano", 19, "Alcoólicos", 22, "Zero", 25, "Gelatos Proteicos", 28, 7), 2)) + (ROUND(J435,4) &gt; INDEX('Tabela de ingredientes'!$O$1:$V$30, SWITCH(B435, "Gelatos de Leite", 8, "Sorbets", 11, "Gelatos de Leite com Fruta", 14, "Chocolate base água", 17, "Vegano", 20, "Alcoólicos", 23, "Zero", 26, "Gelatos Proteicos", 29, 8), 2)) + (ROUND(K435,4) &lt; INDEX('Tabela de ingredientes'!$O$1:$V$30, SWITCH(B435, "Gelatos de Leite", 7, "Sorbets", 10, "Gelatos de Leite com Fruta", 13, "Chocolate base água", 16, "Vegano", 19, "Alcoólicos", 22, "Zero", 25, "Gelatos Proteicos", 28, 7), 3)) + (ROUND(K435,4) &gt; INDEX('Tabela de ingredientes'!$O$1:$V$30, SWITCH(B435, "Gelatos de Leite", 8, "Sorbets", 11, "Gelatos de Leite com Fruta", 14, "Chocolate base água", 17, "Vegano", 20, "Alcoólicos", 23, "Zero", 26, "Gelatos Proteicos", 29, 8), 3)) + (ROUND(L435,4) &lt; INDEX('Tabela de ingredientes'!$O$1:$V$30, SWITCH(B435, "Gelatos de Leite", 7, "Sorbets", 10, "Gelatos de Leite com Fruta", 13, "Chocolate base água", 16, "Vegano", 19, "Alcoólicos", 22, "Zero", 25, "Gelatos Proteicos", 28, 7), 4)) + (ROUND(L435,4) &gt; INDEX('Tabela de ingredientes'!$O$1:$V$30, SWITCH(B435, "Gelatos de Leite", 8, "Sorbets", 11, "Gelatos de Leite com Fruta", 14, "Chocolate base água", 17, "Vegano", 20, "Alcoólicos", 23, "Zero", 26, "Gelatos Proteicos", 29, 8), 4)) + (ROUND(M435,4) &lt; INDEX('Tabela de ingredientes'!$O$1:$V$30, SWITCH(B435, "Gelatos de Leite", 7, "Sorbets", 10, "Gelatos de Leite com Fruta", 13, "Chocolate base água", 16, "Vegano", 19, "Alcoólicos", 22, "Zero", 25, "Gelatos Proteicos", 28, 7), 5)) + (ROUND(M435,4) &gt; INDEX('Tabela de ingredientes'!$O$1:$V$30, SWITCH(B435, "Gelatos de Leite", 8, "Sorbets", 11, "Gelatos de Leite com Fruta", 14, "Chocolate base água", 17, "Vegano", 20, "Alcoólicos", 23, "Zero", 26, "Gelatos Proteicos", 29, 8), 5)) + (ROUND(N435,4) &lt; INDEX('Tabela de ingredientes'!$O$1:$V$30, SWITCH(B435, "Gelatos de Leite", 7, "Sorbets", 10, "Gelatos de Leite com Fruta", 13, "Chocolate base água", 16, "Vegano", 19, "Alcoólicos", 22, "Zero", 25, "Gelatos Proteicos", 28, 7), 6)) + (ROUND(N435,4) &gt; INDEX('Tabela de ingredientes'!$O$1:$V$30, SWITCH(B435, "Gelatos de Leite", 8, "Sorbets", 11, "Gelatos de Leite com Fruta", 14, "Chocolate base água", 17, "Vegano", 20, "Alcoólicos", 23, "Zero", 26, "Gelatos Proteicos", 29, 8), 6)) + (ROUND(O435,4) &lt; INDEX('Tabela de ingredientes'!$O$1:$V$30, SWITCH(B435, "Gelatos de Leite", 7, "Sorbets", 10, "Gelatos de Leite com Fruta", 13, "Chocolate base água", 16, "Vegano", 19, "Alcoólicos", 22, "Zero", 25, "Gelatos Proteicos", 28, 7), 7)) + (ROUND(O435,4) &gt; INDEX('Tabela de ingredientes'!$O$1:$V$30, SWITCH(B435, "Gelatos de Leite", 8, "Sorbets", 11, "Gelatos de Leite com Fruta", 14, "Chocolate base água", 17, "Vegano", 20, "Alcoólicos", 23, "Zero", 26, "Gelatos Proteicos", 29, 8), 7)) + (ROUND(P435,4) &lt; INDEX('Tabela de ingredientes'!$O$1:$V$30, SWITCH(B435, "Gelatos de Leite", 7, "Sorbets", 10, "Gelatos de Leite com Fruta", 13, "Chocolate base água", 16, "Vegano", 19, "Alcoólicos", 22, "Zero", 25, "Gelatos Proteicos", 28, 7), 8)) + (ROUND(P435,4) &gt; INDEX('Tabela de ingredientes'!$O$1:$V$30, SWITCH(B435, "Gelatos de Leite", 8, "Sorbets", 11, "Gelatos de Leite com Fruta", 14, "Chocolate base água", 17, "Vegano", 20, "Alcoólicos", 23, "Zero", 26, "Gelatos Proteicos", 29, 8), 8)) + IF(B435="Gelatos Proteicos", (ROUND(Q435,4)&lt;'Tabela de ingredientes'!$W$28)+(ROUND(Q435,4)&gt;'Tabela de ingredientes'!$W$29), 0) = 0, "Ok", "Revisar"))</f>
        <v/>
      </c>
    </row>
    <row r="436">
      <c r="A436" s="264"/>
      <c r="B436" s="264" t="s">
        <v>187</v>
      </c>
      <c r="C436" s="264" t="s">
        <v>187</v>
      </c>
      <c r="D436" s="264" t="s">
        <v>187</v>
      </c>
      <c r="E436" s="264" t="s">
        <v>187</v>
      </c>
      <c r="F436" s="264" t="s">
        <v>187</v>
      </c>
      <c r="G436" s="264" t="s">
        <v>187</v>
      </c>
      <c r="H436" s="264" t="s">
        <v>187</v>
      </c>
      <c r="I436" s="264" t="s">
        <v>187</v>
      </c>
      <c r="J436" s="264" t="s">
        <v>187</v>
      </c>
      <c r="K436" s="264" t="s">
        <v>187</v>
      </c>
      <c r="L436" s="264" t="s">
        <v>187</v>
      </c>
      <c r="M436" s="264" t="s">
        <v>187</v>
      </c>
      <c r="N436" s="264" t="s">
        <v>187</v>
      </c>
      <c r="O436" s="264" t="s">
        <v>187</v>
      </c>
      <c r="P436" s="264" t="s">
        <v>187</v>
      </c>
      <c r="Q436" s="264" t="s">
        <v>187</v>
      </c>
      <c r="R436" s="264" t="s">
        <v>187</v>
      </c>
      <c r="S436" s="97" t="str">
        <f t="array" ref="S436">IF(A436="","", IF( (ROUND(I436,4) &lt; INDEX('Tabela de ingredientes'!$O$1:$V$30, SWITCH(B436, "Gelatos de Leite", 7, "Sorbets", 10, "Gelatos de Leite com Fruta", 13, "Chocolate base água", 16, "Vegano", 19, "Alcoólicos", 22, "Zero", 25, "Gelatos Proteicos", 28, 7), 1)) + (ROUND(I436,4) &gt; INDEX('Tabela de ingredientes'!$O$1:$V$30, SWITCH(B436, "Gelatos de Leite", 8, "Sorbets", 11, "Gelatos de Leite com Fruta", 14, "Chocolate base água", 17, "Vegano", 20, "Alcoólicos", 23, "Zero", 26, "Gelatos Proteicos", 29, 8), 1)) + (ROUND(J436,4) &lt; INDEX('Tabela de ingredientes'!$O$1:$V$30, SWITCH(B436, "Gelatos de Leite", 7, "Sorbets", 10, "Gelatos de Leite com Fruta", 13, "Chocolate base água", 16, "Vegano", 19, "Alcoólicos", 22, "Zero", 25, "Gelatos Proteicos", 28, 7), 2)) + (ROUND(J436,4) &gt; INDEX('Tabela de ingredientes'!$O$1:$V$30, SWITCH(B436, "Gelatos de Leite", 8, "Sorbets", 11, "Gelatos de Leite com Fruta", 14, "Chocolate base água", 17, "Vegano", 20, "Alcoólicos", 23, "Zero", 26, "Gelatos Proteicos", 29, 8), 2)) + (ROUND(K436,4) &lt; INDEX('Tabela de ingredientes'!$O$1:$V$30, SWITCH(B436, "Gelatos de Leite", 7, "Sorbets", 10, "Gelatos de Leite com Fruta", 13, "Chocolate base água", 16, "Vegano", 19, "Alcoólicos", 22, "Zero", 25, "Gelatos Proteicos", 28, 7), 3)) + (ROUND(K436,4) &gt; INDEX('Tabela de ingredientes'!$O$1:$V$30, SWITCH(B436, "Gelatos de Leite", 8, "Sorbets", 11, "Gelatos de Leite com Fruta", 14, "Chocolate base água", 17, "Vegano", 20, "Alcoólicos", 23, "Zero", 26, "Gelatos Proteicos", 29, 8), 3)) + (ROUND(L436,4) &lt; INDEX('Tabela de ingredientes'!$O$1:$V$30, SWITCH(B436, "Gelatos de Leite", 7, "Sorbets", 10, "Gelatos de Leite com Fruta", 13, "Chocolate base água", 16, "Vegano", 19, "Alcoólicos", 22, "Zero", 25, "Gelatos Proteicos", 28, 7), 4)) + (ROUND(L436,4) &gt; INDEX('Tabela de ingredientes'!$O$1:$V$30, SWITCH(B436, "Gelatos de Leite", 8, "Sorbets", 11, "Gelatos de Leite com Fruta", 14, "Chocolate base água", 17, "Vegano", 20, "Alcoólicos", 23, "Zero", 26, "Gelatos Proteicos", 29, 8), 4)) + (ROUND(M436,4) &lt; INDEX('Tabela de ingredientes'!$O$1:$V$30, SWITCH(B436, "Gelatos de Leite", 7, "Sorbets", 10, "Gelatos de Leite com Fruta", 13, "Chocolate base água", 16, "Vegano", 19, "Alcoólicos", 22, "Zero", 25, "Gelatos Proteicos", 28, 7), 5)) + (ROUND(M436,4) &gt; INDEX('Tabela de ingredientes'!$O$1:$V$30, SWITCH(B436, "Gelatos de Leite", 8, "Sorbets", 11, "Gelatos de Leite com Fruta", 14, "Chocolate base água", 17, "Vegano", 20, "Alcoólicos", 23, "Zero", 26, "Gelatos Proteicos", 29, 8), 5)) + (ROUND(N436,4) &lt; INDEX('Tabela de ingredientes'!$O$1:$V$30, SWITCH(B436, "Gelatos de Leite", 7, "Sorbets", 10, "Gelatos de Leite com Fruta", 13, "Chocolate base água", 16, "Vegano", 19, "Alcoólicos", 22, "Zero", 25, "Gelatos Proteicos", 28, 7), 6)) + (ROUND(N436,4) &gt; INDEX('Tabela de ingredientes'!$O$1:$V$30, SWITCH(B436, "Gelatos de Leite", 8, "Sorbets", 11, "Gelatos de Leite com Fruta", 14, "Chocolate base água", 17, "Vegano", 20, "Alcoólicos", 23, "Zero", 26, "Gelatos Proteicos", 29, 8), 6)) + (ROUND(O436,4) &lt; INDEX('Tabela de ingredientes'!$O$1:$V$30, SWITCH(B436, "Gelatos de Leite", 7, "Sorbets", 10, "Gelatos de Leite com Fruta", 13, "Chocolate base água", 16, "Vegano", 19, "Alcoólicos", 22, "Zero", 25, "Gelatos Proteicos", 28, 7), 7)) + (ROUND(O436,4) &gt; INDEX('Tabela de ingredientes'!$O$1:$V$30, SWITCH(B436, "Gelatos de Leite", 8, "Sorbets", 11, "Gelatos de Leite com Fruta", 14, "Chocolate base água", 17, "Vegano", 20, "Alcoólicos", 23, "Zero", 26, "Gelatos Proteicos", 29, 8), 7)) + (ROUND(P436,4) &lt; INDEX('Tabela de ingredientes'!$O$1:$V$30, SWITCH(B436, "Gelatos de Leite", 7, "Sorbets", 10, "Gelatos de Leite com Fruta", 13, "Chocolate base água", 16, "Vegano", 19, "Alcoólicos", 22, "Zero", 25, "Gelatos Proteicos", 28, 7), 8)) + (ROUND(P436,4) &gt; INDEX('Tabela de ingredientes'!$O$1:$V$30, SWITCH(B436, "Gelatos de Leite", 8, "Sorbets", 11, "Gelatos de Leite com Fruta", 14, "Chocolate base água", 17, "Vegano", 20, "Alcoólicos", 23, "Zero", 26, "Gelatos Proteicos", 29, 8), 8)) + IF(B436="Gelatos Proteicos", (ROUND(Q436,4)&lt;'Tabela de ingredientes'!$W$28)+(ROUND(Q436,4)&gt;'Tabela de ingredientes'!$W$29), 0) = 0, "Ok", "Revisar"))</f>
        <v/>
      </c>
    </row>
    <row r="437">
      <c r="A437" s="264"/>
      <c r="B437" s="264" t="s">
        <v>187</v>
      </c>
      <c r="C437" s="264" t="s">
        <v>187</v>
      </c>
      <c r="D437" s="264" t="s">
        <v>187</v>
      </c>
      <c r="E437" s="264" t="s">
        <v>187</v>
      </c>
      <c r="F437" s="264" t="s">
        <v>187</v>
      </c>
      <c r="G437" s="264" t="s">
        <v>187</v>
      </c>
      <c r="H437" s="264" t="s">
        <v>187</v>
      </c>
      <c r="I437" s="264" t="s">
        <v>187</v>
      </c>
      <c r="J437" s="264" t="s">
        <v>187</v>
      </c>
      <c r="K437" s="264" t="s">
        <v>187</v>
      </c>
      <c r="L437" s="264" t="s">
        <v>187</v>
      </c>
      <c r="M437" s="264" t="s">
        <v>187</v>
      </c>
      <c r="N437" s="264" t="s">
        <v>187</v>
      </c>
      <c r="O437" s="264" t="s">
        <v>187</v>
      </c>
      <c r="P437" s="264" t="s">
        <v>187</v>
      </c>
      <c r="Q437" s="264" t="s">
        <v>187</v>
      </c>
      <c r="R437" s="264" t="s">
        <v>187</v>
      </c>
      <c r="S437" s="97" t="str">
        <f t="array" ref="S437">IF(A437="","", IF( (ROUND(I437,4) &lt; INDEX('Tabela de ingredientes'!$O$1:$V$30, SWITCH(B437, "Gelatos de Leite", 7, "Sorbets", 10, "Gelatos de Leite com Fruta", 13, "Chocolate base água", 16, "Vegano", 19, "Alcoólicos", 22, "Zero", 25, "Gelatos Proteicos", 28, 7), 1)) + (ROUND(I437,4) &gt; INDEX('Tabela de ingredientes'!$O$1:$V$30, SWITCH(B437, "Gelatos de Leite", 8, "Sorbets", 11, "Gelatos de Leite com Fruta", 14, "Chocolate base água", 17, "Vegano", 20, "Alcoólicos", 23, "Zero", 26, "Gelatos Proteicos", 29, 8), 1)) + (ROUND(J437,4) &lt; INDEX('Tabela de ingredientes'!$O$1:$V$30, SWITCH(B437, "Gelatos de Leite", 7, "Sorbets", 10, "Gelatos de Leite com Fruta", 13, "Chocolate base água", 16, "Vegano", 19, "Alcoólicos", 22, "Zero", 25, "Gelatos Proteicos", 28, 7), 2)) + (ROUND(J437,4) &gt; INDEX('Tabela de ingredientes'!$O$1:$V$30, SWITCH(B437, "Gelatos de Leite", 8, "Sorbets", 11, "Gelatos de Leite com Fruta", 14, "Chocolate base água", 17, "Vegano", 20, "Alcoólicos", 23, "Zero", 26, "Gelatos Proteicos", 29, 8), 2)) + (ROUND(K437,4) &lt; INDEX('Tabela de ingredientes'!$O$1:$V$30, SWITCH(B437, "Gelatos de Leite", 7, "Sorbets", 10, "Gelatos de Leite com Fruta", 13, "Chocolate base água", 16, "Vegano", 19, "Alcoólicos", 22, "Zero", 25, "Gelatos Proteicos", 28, 7), 3)) + (ROUND(K437,4) &gt; INDEX('Tabela de ingredientes'!$O$1:$V$30, SWITCH(B437, "Gelatos de Leite", 8, "Sorbets", 11, "Gelatos de Leite com Fruta", 14, "Chocolate base água", 17, "Vegano", 20, "Alcoólicos", 23, "Zero", 26, "Gelatos Proteicos", 29, 8), 3)) + (ROUND(L437,4) &lt; INDEX('Tabela de ingredientes'!$O$1:$V$30, SWITCH(B437, "Gelatos de Leite", 7, "Sorbets", 10, "Gelatos de Leite com Fruta", 13, "Chocolate base água", 16, "Vegano", 19, "Alcoólicos", 22, "Zero", 25, "Gelatos Proteicos", 28, 7), 4)) + (ROUND(L437,4) &gt; INDEX('Tabela de ingredientes'!$O$1:$V$30, SWITCH(B437, "Gelatos de Leite", 8, "Sorbets", 11, "Gelatos de Leite com Fruta", 14, "Chocolate base água", 17, "Vegano", 20, "Alcoólicos", 23, "Zero", 26, "Gelatos Proteicos", 29, 8), 4)) + (ROUND(M437,4) &lt; INDEX('Tabela de ingredientes'!$O$1:$V$30, SWITCH(B437, "Gelatos de Leite", 7, "Sorbets", 10, "Gelatos de Leite com Fruta", 13, "Chocolate base água", 16, "Vegano", 19, "Alcoólicos", 22, "Zero", 25, "Gelatos Proteicos", 28, 7), 5)) + (ROUND(M437,4) &gt; INDEX('Tabela de ingredientes'!$O$1:$V$30, SWITCH(B437, "Gelatos de Leite", 8, "Sorbets", 11, "Gelatos de Leite com Fruta", 14, "Chocolate base água", 17, "Vegano", 20, "Alcoólicos", 23, "Zero", 26, "Gelatos Proteicos", 29, 8), 5)) + (ROUND(N437,4) &lt; INDEX('Tabela de ingredientes'!$O$1:$V$30, SWITCH(B437, "Gelatos de Leite", 7, "Sorbets", 10, "Gelatos de Leite com Fruta", 13, "Chocolate base água", 16, "Vegano", 19, "Alcoólicos", 22, "Zero", 25, "Gelatos Proteicos", 28, 7), 6)) + (ROUND(N437,4) &gt; INDEX('Tabela de ingredientes'!$O$1:$V$30, SWITCH(B437, "Gelatos de Leite", 8, "Sorbets", 11, "Gelatos de Leite com Fruta", 14, "Chocolate base água", 17, "Vegano", 20, "Alcoólicos", 23, "Zero", 26, "Gelatos Proteicos", 29, 8), 6)) + (ROUND(O437,4) &lt; INDEX('Tabela de ingredientes'!$O$1:$V$30, SWITCH(B437, "Gelatos de Leite", 7, "Sorbets", 10, "Gelatos de Leite com Fruta", 13, "Chocolate base água", 16, "Vegano", 19, "Alcoólicos", 22, "Zero", 25, "Gelatos Proteicos", 28, 7), 7)) + (ROUND(O437,4) &gt; INDEX('Tabela de ingredientes'!$O$1:$V$30, SWITCH(B437, "Gelatos de Leite", 8, "Sorbets", 11, "Gelatos de Leite com Fruta", 14, "Chocolate base água", 17, "Vegano", 20, "Alcoólicos", 23, "Zero", 26, "Gelatos Proteicos", 29, 8), 7)) + (ROUND(P437,4) &lt; INDEX('Tabela de ingredientes'!$O$1:$V$30, SWITCH(B437, "Gelatos de Leite", 7, "Sorbets", 10, "Gelatos de Leite com Fruta", 13, "Chocolate base água", 16, "Vegano", 19, "Alcoólicos", 22, "Zero", 25, "Gelatos Proteicos", 28, 7), 8)) + (ROUND(P437,4) &gt; INDEX('Tabela de ingredientes'!$O$1:$V$30, SWITCH(B437, "Gelatos de Leite", 8, "Sorbets", 11, "Gelatos de Leite com Fruta", 14, "Chocolate base água", 17, "Vegano", 20, "Alcoólicos", 23, "Zero", 26, "Gelatos Proteicos", 29, 8), 8)) + IF(B437="Gelatos Proteicos", (ROUND(Q437,4)&lt;'Tabela de ingredientes'!$W$28)+(ROUND(Q437,4)&gt;'Tabela de ingredientes'!$W$29), 0) = 0, "Ok", "Revisar"))</f>
        <v/>
      </c>
    </row>
    <row r="438">
      <c r="A438" s="264"/>
      <c r="B438" s="264" t="s">
        <v>187</v>
      </c>
      <c r="C438" s="264" t="s">
        <v>187</v>
      </c>
      <c r="D438" s="264" t="s">
        <v>187</v>
      </c>
      <c r="E438" s="264" t="s">
        <v>187</v>
      </c>
      <c r="F438" s="264" t="s">
        <v>187</v>
      </c>
      <c r="G438" s="264" t="s">
        <v>187</v>
      </c>
      <c r="H438" s="264" t="s">
        <v>187</v>
      </c>
      <c r="I438" s="264" t="s">
        <v>187</v>
      </c>
      <c r="J438" s="264" t="s">
        <v>187</v>
      </c>
      <c r="K438" s="264" t="s">
        <v>187</v>
      </c>
      <c r="L438" s="264" t="s">
        <v>187</v>
      </c>
      <c r="M438" s="264" t="s">
        <v>187</v>
      </c>
      <c r="N438" s="264" t="s">
        <v>187</v>
      </c>
      <c r="O438" s="264" t="s">
        <v>187</v>
      </c>
      <c r="P438" s="264" t="s">
        <v>187</v>
      </c>
      <c r="Q438" s="264" t="s">
        <v>187</v>
      </c>
      <c r="R438" s="264" t="s">
        <v>187</v>
      </c>
      <c r="S438" s="97" t="str">
        <f t="array" ref="S438">IF(A438="","", IF( (ROUND(I438,4) &lt; INDEX('Tabela de ingredientes'!$O$1:$V$30, SWITCH(B438, "Gelatos de Leite", 7, "Sorbets", 10, "Gelatos de Leite com Fruta", 13, "Chocolate base água", 16, "Vegano", 19, "Alcoólicos", 22, "Zero", 25, "Gelatos Proteicos", 28, 7), 1)) + (ROUND(I438,4) &gt; INDEX('Tabela de ingredientes'!$O$1:$V$30, SWITCH(B438, "Gelatos de Leite", 8, "Sorbets", 11, "Gelatos de Leite com Fruta", 14, "Chocolate base água", 17, "Vegano", 20, "Alcoólicos", 23, "Zero", 26, "Gelatos Proteicos", 29, 8), 1)) + (ROUND(J438,4) &lt; INDEX('Tabela de ingredientes'!$O$1:$V$30, SWITCH(B438, "Gelatos de Leite", 7, "Sorbets", 10, "Gelatos de Leite com Fruta", 13, "Chocolate base água", 16, "Vegano", 19, "Alcoólicos", 22, "Zero", 25, "Gelatos Proteicos", 28, 7), 2)) + (ROUND(J438,4) &gt; INDEX('Tabela de ingredientes'!$O$1:$V$30, SWITCH(B438, "Gelatos de Leite", 8, "Sorbets", 11, "Gelatos de Leite com Fruta", 14, "Chocolate base água", 17, "Vegano", 20, "Alcoólicos", 23, "Zero", 26, "Gelatos Proteicos", 29, 8), 2)) + (ROUND(K438,4) &lt; INDEX('Tabela de ingredientes'!$O$1:$V$30, SWITCH(B438, "Gelatos de Leite", 7, "Sorbets", 10, "Gelatos de Leite com Fruta", 13, "Chocolate base água", 16, "Vegano", 19, "Alcoólicos", 22, "Zero", 25, "Gelatos Proteicos", 28, 7), 3)) + (ROUND(K438,4) &gt; INDEX('Tabela de ingredientes'!$O$1:$V$30, SWITCH(B438, "Gelatos de Leite", 8, "Sorbets", 11, "Gelatos de Leite com Fruta", 14, "Chocolate base água", 17, "Vegano", 20, "Alcoólicos", 23, "Zero", 26, "Gelatos Proteicos", 29, 8), 3)) + (ROUND(L438,4) &lt; INDEX('Tabela de ingredientes'!$O$1:$V$30, SWITCH(B438, "Gelatos de Leite", 7, "Sorbets", 10, "Gelatos de Leite com Fruta", 13, "Chocolate base água", 16, "Vegano", 19, "Alcoólicos", 22, "Zero", 25, "Gelatos Proteicos", 28, 7), 4)) + (ROUND(L438,4) &gt; INDEX('Tabela de ingredientes'!$O$1:$V$30, SWITCH(B438, "Gelatos de Leite", 8, "Sorbets", 11, "Gelatos de Leite com Fruta", 14, "Chocolate base água", 17, "Vegano", 20, "Alcoólicos", 23, "Zero", 26, "Gelatos Proteicos", 29, 8), 4)) + (ROUND(M438,4) &lt; INDEX('Tabela de ingredientes'!$O$1:$V$30, SWITCH(B438, "Gelatos de Leite", 7, "Sorbets", 10, "Gelatos de Leite com Fruta", 13, "Chocolate base água", 16, "Vegano", 19, "Alcoólicos", 22, "Zero", 25, "Gelatos Proteicos", 28, 7), 5)) + (ROUND(M438,4) &gt; INDEX('Tabela de ingredientes'!$O$1:$V$30, SWITCH(B438, "Gelatos de Leite", 8, "Sorbets", 11, "Gelatos de Leite com Fruta", 14, "Chocolate base água", 17, "Vegano", 20, "Alcoólicos", 23, "Zero", 26, "Gelatos Proteicos", 29, 8), 5)) + (ROUND(N438,4) &lt; INDEX('Tabela de ingredientes'!$O$1:$V$30, SWITCH(B438, "Gelatos de Leite", 7, "Sorbets", 10, "Gelatos de Leite com Fruta", 13, "Chocolate base água", 16, "Vegano", 19, "Alcoólicos", 22, "Zero", 25, "Gelatos Proteicos", 28, 7), 6)) + (ROUND(N438,4) &gt; INDEX('Tabela de ingredientes'!$O$1:$V$30, SWITCH(B438, "Gelatos de Leite", 8, "Sorbets", 11, "Gelatos de Leite com Fruta", 14, "Chocolate base água", 17, "Vegano", 20, "Alcoólicos", 23, "Zero", 26, "Gelatos Proteicos", 29, 8), 6)) + (ROUND(O438,4) &lt; INDEX('Tabela de ingredientes'!$O$1:$V$30, SWITCH(B438, "Gelatos de Leite", 7, "Sorbets", 10, "Gelatos de Leite com Fruta", 13, "Chocolate base água", 16, "Vegano", 19, "Alcoólicos", 22, "Zero", 25, "Gelatos Proteicos", 28, 7), 7)) + (ROUND(O438,4) &gt; INDEX('Tabela de ingredientes'!$O$1:$V$30, SWITCH(B438, "Gelatos de Leite", 8, "Sorbets", 11, "Gelatos de Leite com Fruta", 14, "Chocolate base água", 17, "Vegano", 20, "Alcoólicos", 23, "Zero", 26, "Gelatos Proteicos", 29, 8), 7)) + (ROUND(P438,4) &lt; INDEX('Tabela de ingredientes'!$O$1:$V$30, SWITCH(B438, "Gelatos de Leite", 7, "Sorbets", 10, "Gelatos de Leite com Fruta", 13, "Chocolate base água", 16, "Vegano", 19, "Alcoólicos", 22, "Zero", 25, "Gelatos Proteicos", 28, 7), 8)) + (ROUND(P438,4) &gt; INDEX('Tabela de ingredientes'!$O$1:$V$30, SWITCH(B438, "Gelatos de Leite", 8, "Sorbets", 11, "Gelatos de Leite com Fruta", 14, "Chocolate base água", 17, "Vegano", 20, "Alcoólicos", 23, "Zero", 26, "Gelatos Proteicos", 29, 8), 8)) + IF(B438="Gelatos Proteicos", (ROUND(Q438,4)&lt;'Tabela de ingredientes'!$W$28)+(ROUND(Q438,4)&gt;'Tabela de ingredientes'!$W$29), 0) = 0, "Ok", "Revisar"))</f>
        <v/>
      </c>
    </row>
    <row r="439">
      <c r="A439" s="264"/>
      <c r="B439" s="264" t="s">
        <v>187</v>
      </c>
      <c r="C439" s="264" t="s">
        <v>187</v>
      </c>
      <c r="D439" s="264" t="s">
        <v>187</v>
      </c>
      <c r="E439" s="264" t="s">
        <v>187</v>
      </c>
      <c r="F439" s="264" t="s">
        <v>187</v>
      </c>
      <c r="G439" s="264" t="s">
        <v>187</v>
      </c>
      <c r="H439" s="264" t="s">
        <v>187</v>
      </c>
      <c r="I439" s="264" t="s">
        <v>187</v>
      </c>
      <c r="J439" s="264" t="s">
        <v>187</v>
      </c>
      <c r="K439" s="264" t="s">
        <v>187</v>
      </c>
      <c r="L439" s="264" t="s">
        <v>187</v>
      </c>
      <c r="M439" s="264" t="s">
        <v>187</v>
      </c>
      <c r="N439" s="264" t="s">
        <v>187</v>
      </c>
      <c r="O439" s="264" t="s">
        <v>187</v>
      </c>
      <c r="P439" s="264" t="s">
        <v>187</v>
      </c>
      <c r="Q439" s="264" t="s">
        <v>187</v>
      </c>
      <c r="R439" s="264" t="s">
        <v>187</v>
      </c>
      <c r="S439" s="97" t="str">
        <f t="array" ref="S439">IF(A439="","", IF( (ROUND(I439,4) &lt; INDEX('Tabela de ingredientes'!$O$1:$V$30, SWITCH(B439, "Gelatos de Leite", 7, "Sorbets", 10, "Gelatos de Leite com Fruta", 13, "Chocolate base água", 16, "Vegano", 19, "Alcoólicos", 22, "Zero", 25, "Gelatos Proteicos", 28, 7), 1)) + (ROUND(I439,4) &gt; INDEX('Tabela de ingredientes'!$O$1:$V$30, SWITCH(B439, "Gelatos de Leite", 8, "Sorbets", 11, "Gelatos de Leite com Fruta", 14, "Chocolate base água", 17, "Vegano", 20, "Alcoólicos", 23, "Zero", 26, "Gelatos Proteicos", 29, 8), 1)) + (ROUND(J439,4) &lt; INDEX('Tabela de ingredientes'!$O$1:$V$30, SWITCH(B439, "Gelatos de Leite", 7, "Sorbets", 10, "Gelatos de Leite com Fruta", 13, "Chocolate base água", 16, "Vegano", 19, "Alcoólicos", 22, "Zero", 25, "Gelatos Proteicos", 28, 7), 2)) + (ROUND(J439,4) &gt; INDEX('Tabela de ingredientes'!$O$1:$V$30, SWITCH(B439, "Gelatos de Leite", 8, "Sorbets", 11, "Gelatos de Leite com Fruta", 14, "Chocolate base água", 17, "Vegano", 20, "Alcoólicos", 23, "Zero", 26, "Gelatos Proteicos", 29, 8), 2)) + (ROUND(K439,4) &lt; INDEX('Tabela de ingredientes'!$O$1:$V$30, SWITCH(B439, "Gelatos de Leite", 7, "Sorbets", 10, "Gelatos de Leite com Fruta", 13, "Chocolate base água", 16, "Vegano", 19, "Alcoólicos", 22, "Zero", 25, "Gelatos Proteicos", 28, 7), 3)) + (ROUND(K439,4) &gt; INDEX('Tabela de ingredientes'!$O$1:$V$30, SWITCH(B439, "Gelatos de Leite", 8, "Sorbets", 11, "Gelatos de Leite com Fruta", 14, "Chocolate base água", 17, "Vegano", 20, "Alcoólicos", 23, "Zero", 26, "Gelatos Proteicos", 29, 8), 3)) + (ROUND(L439,4) &lt; INDEX('Tabela de ingredientes'!$O$1:$V$30, SWITCH(B439, "Gelatos de Leite", 7, "Sorbets", 10, "Gelatos de Leite com Fruta", 13, "Chocolate base água", 16, "Vegano", 19, "Alcoólicos", 22, "Zero", 25, "Gelatos Proteicos", 28, 7), 4)) + (ROUND(L439,4) &gt; INDEX('Tabela de ingredientes'!$O$1:$V$30, SWITCH(B439, "Gelatos de Leite", 8, "Sorbets", 11, "Gelatos de Leite com Fruta", 14, "Chocolate base água", 17, "Vegano", 20, "Alcoólicos", 23, "Zero", 26, "Gelatos Proteicos", 29, 8), 4)) + (ROUND(M439,4) &lt; INDEX('Tabela de ingredientes'!$O$1:$V$30, SWITCH(B439, "Gelatos de Leite", 7, "Sorbets", 10, "Gelatos de Leite com Fruta", 13, "Chocolate base água", 16, "Vegano", 19, "Alcoólicos", 22, "Zero", 25, "Gelatos Proteicos", 28, 7), 5)) + (ROUND(M439,4) &gt; INDEX('Tabela de ingredientes'!$O$1:$V$30, SWITCH(B439, "Gelatos de Leite", 8, "Sorbets", 11, "Gelatos de Leite com Fruta", 14, "Chocolate base água", 17, "Vegano", 20, "Alcoólicos", 23, "Zero", 26, "Gelatos Proteicos", 29, 8), 5)) + (ROUND(N439,4) &lt; INDEX('Tabela de ingredientes'!$O$1:$V$30, SWITCH(B439, "Gelatos de Leite", 7, "Sorbets", 10, "Gelatos de Leite com Fruta", 13, "Chocolate base água", 16, "Vegano", 19, "Alcoólicos", 22, "Zero", 25, "Gelatos Proteicos", 28, 7), 6)) + (ROUND(N439,4) &gt; INDEX('Tabela de ingredientes'!$O$1:$V$30, SWITCH(B439, "Gelatos de Leite", 8, "Sorbets", 11, "Gelatos de Leite com Fruta", 14, "Chocolate base água", 17, "Vegano", 20, "Alcoólicos", 23, "Zero", 26, "Gelatos Proteicos", 29, 8), 6)) + (ROUND(O439,4) &lt; INDEX('Tabela de ingredientes'!$O$1:$V$30, SWITCH(B439, "Gelatos de Leite", 7, "Sorbets", 10, "Gelatos de Leite com Fruta", 13, "Chocolate base água", 16, "Vegano", 19, "Alcoólicos", 22, "Zero", 25, "Gelatos Proteicos", 28, 7), 7)) + (ROUND(O439,4) &gt; INDEX('Tabela de ingredientes'!$O$1:$V$30, SWITCH(B439, "Gelatos de Leite", 8, "Sorbets", 11, "Gelatos de Leite com Fruta", 14, "Chocolate base água", 17, "Vegano", 20, "Alcoólicos", 23, "Zero", 26, "Gelatos Proteicos", 29, 8), 7)) + (ROUND(P439,4) &lt; INDEX('Tabela de ingredientes'!$O$1:$V$30, SWITCH(B439, "Gelatos de Leite", 7, "Sorbets", 10, "Gelatos de Leite com Fruta", 13, "Chocolate base água", 16, "Vegano", 19, "Alcoólicos", 22, "Zero", 25, "Gelatos Proteicos", 28, 7), 8)) + (ROUND(P439,4) &gt; INDEX('Tabela de ingredientes'!$O$1:$V$30, SWITCH(B439, "Gelatos de Leite", 8, "Sorbets", 11, "Gelatos de Leite com Fruta", 14, "Chocolate base água", 17, "Vegano", 20, "Alcoólicos", 23, "Zero", 26, "Gelatos Proteicos", 29, 8), 8)) + IF(B439="Gelatos Proteicos", (ROUND(Q439,4)&lt;'Tabela de ingredientes'!$W$28)+(ROUND(Q439,4)&gt;'Tabela de ingredientes'!$W$29), 0) = 0, "Ok", "Revisar"))</f>
        <v/>
      </c>
    </row>
    <row r="440">
      <c r="A440" s="264"/>
      <c r="B440" s="264" t="s">
        <v>187</v>
      </c>
      <c r="C440" s="264" t="s">
        <v>187</v>
      </c>
      <c r="D440" s="264" t="s">
        <v>187</v>
      </c>
      <c r="E440" s="264" t="s">
        <v>187</v>
      </c>
      <c r="F440" s="264" t="s">
        <v>187</v>
      </c>
      <c r="G440" s="264" t="s">
        <v>187</v>
      </c>
      <c r="H440" s="264" t="s">
        <v>187</v>
      </c>
      <c r="I440" s="264" t="s">
        <v>187</v>
      </c>
      <c r="J440" s="264" t="s">
        <v>187</v>
      </c>
      <c r="K440" s="264" t="s">
        <v>187</v>
      </c>
      <c r="L440" s="264" t="s">
        <v>187</v>
      </c>
      <c r="M440" s="264" t="s">
        <v>187</v>
      </c>
      <c r="N440" s="264" t="s">
        <v>187</v>
      </c>
      <c r="O440" s="264" t="s">
        <v>187</v>
      </c>
      <c r="P440" s="264" t="s">
        <v>187</v>
      </c>
      <c r="Q440" s="264" t="s">
        <v>187</v>
      </c>
      <c r="R440" s="264" t="s">
        <v>187</v>
      </c>
      <c r="S440" s="97" t="str">
        <f t="array" ref="S440">IF(A440="","", IF( (ROUND(I440,4) &lt; INDEX('Tabela de ingredientes'!$O$1:$V$30, SWITCH(B440, "Gelatos de Leite", 7, "Sorbets", 10, "Gelatos de Leite com Fruta", 13, "Chocolate base água", 16, "Vegano", 19, "Alcoólicos", 22, "Zero", 25, "Gelatos Proteicos", 28, 7), 1)) + (ROUND(I440,4) &gt; INDEX('Tabela de ingredientes'!$O$1:$V$30, SWITCH(B440, "Gelatos de Leite", 8, "Sorbets", 11, "Gelatos de Leite com Fruta", 14, "Chocolate base água", 17, "Vegano", 20, "Alcoólicos", 23, "Zero", 26, "Gelatos Proteicos", 29, 8), 1)) + (ROUND(J440,4) &lt; INDEX('Tabela de ingredientes'!$O$1:$V$30, SWITCH(B440, "Gelatos de Leite", 7, "Sorbets", 10, "Gelatos de Leite com Fruta", 13, "Chocolate base água", 16, "Vegano", 19, "Alcoólicos", 22, "Zero", 25, "Gelatos Proteicos", 28, 7), 2)) + (ROUND(J440,4) &gt; INDEX('Tabela de ingredientes'!$O$1:$V$30, SWITCH(B440, "Gelatos de Leite", 8, "Sorbets", 11, "Gelatos de Leite com Fruta", 14, "Chocolate base água", 17, "Vegano", 20, "Alcoólicos", 23, "Zero", 26, "Gelatos Proteicos", 29, 8), 2)) + (ROUND(K440,4) &lt; INDEX('Tabela de ingredientes'!$O$1:$V$30, SWITCH(B440, "Gelatos de Leite", 7, "Sorbets", 10, "Gelatos de Leite com Fruta", 13, "Chocolate base água", 16, "Vegano", 19, "Alcoólicos", 22, "Zero", 25, "Gelatos Proteicos", 28, 7), 3)) + (ROUND(K440,4) &gt; INDEX('Tabela de ingredientes'!$O$1:$V$30, SWITCH(B440, "Gelatos de Leite", 8, "Sorbets", 11, "Gelatos de Leite com Fruta", 14, "Chocolate base água", 17, "Vegano", 20, "Alcoólicos", 23, "Zero", 26, "Gelatos Proteicos", 29, 8), 3)) + (ROUND(L440,4) &lt; INDEX('Tabela de ingredientes'!$O$1:$V$30, SWITCH(B440, "Gelatos de Leite", 7, "Sorbets", 10, "Gelatos de Leite com Fruta", 13, "Chocolate base água", 16, "Vegano", 19, "Alcoólicos", 22, "Zero", 25, "Gelatos Proteicos", 28, 7), 4)) + (ROUND(L440,4) &gt; INDEX('Tabela de ingredientes'!$O$1:$V$30, SWITCH(B440, "Gelatos de Leite", 8, "Sorbets", 11, "Gelatos de Leite com Fruta", 14, "Chocolate base água", 17, "Vegano", 20, "Alcoólicos", 23, "Zero", 26, "Gelatos Proteicos", 29, 8), 4)) + (ROUND(M440,4) &lt; INDEX('Tabela de ingredientes'!$O$1:$V$30, SWITCH(B440, "Gelatos de Leite", 7, "Sorbets", 10, "Gelatos de Leite com Fruta", 13, "Chocolate base água", 16, "Vegano", 19, "Alcoólicos", 22, "Zero", 25, "Gelatos Proteicos", 28, 7), 5)) + (ROUND(M440,4) &gt; INDEX('Tabela de ingredientes'!$O$1:$V$30, SWITCH(B440, "Gelatos de Leite", 8, "Sorbets", 11, "Gelatos de Leite com Fruta", 14, "Chocolate base água", 17, "Vegano", 20, "Alcoólicos", 23, "Zero", 26, "Gelatos Proteicos", 29, 8), 5)) + (ROUND(N440,4) &lt; INDEX('Tabela de ingredientes'!$O$1:$V$30, SWITCH(B440, "Gelatos de Leite", 7, "Sorbets", 10, "Gelatos de Leite com Fruta", 13, "Chocolate base água", 16, "Vegano", 19, "Alcoólicos", 22, "Zero", 25, "Gelatos Proteicos", 28, 7), 6)) + (ROUND(N440,4) &gt; INDEX('Tabela de ingredientes'!$O$1:$V$30, SWITCH(B440, "Gelatos de Leite", 8, "Sorbets", 11, "Gelatos de Leite com Fruta", 14, "Chocolate base água", 17, "Vegano", 20, "Alcoólicos", 23, "Zero", 26, "Gelatos Proteicos", 29, 8), 6)) + (ROUND(O440,4) &lt; INDEX('Tabela de ingredientes'!$O$1:$V$30, SWITCH(B440, "Gelatos de Leite", 7, "Sorbets", 10, "Gelatos de Leite com Fruta", 13, "Chocolate base água", 16, "Vegano", 19, "Alcoólicos", 22, "Zero", 25, "Gelatos Proteicos", 28, 7), 7)) + (ROUND(O440,4) &gt; INDEX('Tabela de ingredientes'!$O$1:$V$30, SWITCH(B440, "Gelatos de Leite", 8, "Sorbets", 11, "Gelatos de Leite com Fruta", 14, "Chocolate base água", 17, "Vegano", 20, "Alcoólicos", 23, "Zero", 26, "Gelatos Proteicos", 29, 8), 7)) + (ROUND(P440,4) &lt; INDEX('Tabela de ingredientes'!$O$1:$V$30, SWITCH(B440, "Gelatos de Leite", 7, "Sorbets", 10, "Gelatos de Leite com Fruta", 13, "Chocolate base água", 16, "Vegano", 19, "Alcoólicos", 22, "Zero", 25, "Gelatos Proteicos", 28, 7), 8)) + (ROUND(P440,4) &gt; INDEX('Tabela de ingredientes'!$O$1:$V$30, SWITCH(B440, "Gelatos de Leite", 8, "Sorbets", 11, "Gelatos de Leite com Fruta", 14, "Chocolate base água", 17, "Vegano", 20, "Alcoólicos", 23, "Zero", 26, "Gelatos Proteicos", 29, 8), 8)) + IF(B440="Gelatos Proteicos", (ROUND(Q440,4)&lt;'Tabela de ingredientes'!$W$28)+(ROUND(Q440,4)&gt;'Tabela de ingredientes'!$W$29), 0) = 0, "Ok", "Revisar"))</f>
        <v/>
      </c>
    </row>
    <row r="441">
      <c r="A441" s="264"/>
      <c r="B441" s="264" t="s">
        <v>187</v>
      </c>
      <c r="C441" s="264" t="s">
        <v>187</v>
      </c>
      <c r="D441" s="264" t="s">
        <v>187</v>
      </c>
      <c r="E441" s="264" t="s">
        <v>187</v>
      </c>
      <c r="F441" s="264" t="s">
        <v>187</v>
      </c>
      <c r="G441" s="264" t="s">
        <v>187</v>
      </c>
      <c r="H441" s="264" t="s">
        <v>187</v>
      </c>
      <c r="I441" s="264" t="s">
        <v>187</v>
      </c>
      <c r="J441" s="264" t="s">
        <v>187</v>
      </c>
      <c r="K441" s="264" t="s">
        <v>187</v>
      </c>
      <c r="L441" s="264" t="s">
        <v>187</v>
      </c>
      <c r="M441" s="264" t="s">
        <v>187</v>
      </c>
      <c r="N441" s="264" t="s">
        <v>187</v>
      </c>
      <c r="O441" s="264" t="s">
        <v>187</v>
      </c>
      <c r="P441" s="264" t="s">
        <v>187</v>
      </c>
      <c r="Q441" s="264" t="s">
        <v>187</v>
      </c>
      <c r="R441" s="264" t="s">
        <v>187</v>
      </c>
      <c r="S441" s="97" t="str">
        <f t="array" ref="S441">IF(A441="","", IF( (ROUND(I441,4) &lt; INDEX('Tabela de ingredientes'!$O$1:$V$30, SWITCH(B441, "Gelatos de Leite", 7, "Sorbets", 10, "Gelatos de Leite com Fruta", 13, "Chocolate base água", 16, "Vegano", 19, "Alcoólicos", 22, "Zero", 25, "Gelatos Proteicos", 28, 7), 1)) + (ROUND(I441,4) &gt; INDEX('Tabela de ingredientes'!$O$1:$V$30, SWITCH(B441, "Gelatos de Leite", 8, "Sorbets", 11, "Gelatos de Leite com Fruta", 14, "Chocolate base água", 17, "Vegano", 20, "Alcoólicos", 23, "Zero", 26, "Gelatos Proteicos", 29, 8), 1)) + (ROUND(J441,4) &lt; INDEX('Tabela de ingredientes'!$O$1:$V$30, SWITCH(B441, "Gelatos de Leite", 7, "Sorbets", 10, "Gelatos de Leite com Fruta", 13, "Chocolate base água", 16, "Vegano", 19, "Alcoólicos", 22, "Zero", 25, "Gelatos Proteicos", 28, 7), 2)) + (ROUND(J441,4) &gt; INDEX('Tabela de ingredientes'!$O$1:$V$30, SWITCH(B441, "Gelatos de Leite", 8, "Sorbets", 11, "Gelatos de Leite com Fruta", 14, "Chocolate base água", 17, "Vegano", 20, "Alcoólicos", 23, "Zero", 26, "Gelatos Proteicos", 29, 8), 2)) + (ROUND(K441,4) &lt; INDEX('Tabela de ingredientes'!$O$1:$V$30, SWITCH(B441, "Gelatos de Leite", 7, "Sorbets", 10, "Gelatos de Leite com Fruta", 13, "Chocolate base água", 16, "Vegano", 19, "Alcoólicos", 22, "Zero", 25, "Gelatos Proteicos", 28, 7), 3)) + (ROUND(K441,4) &gt; INDEX('Tabela de ingredientes'!$O$1:$V$30, SWITCH(B441, "Gelatos de Leite", 8, "Sorbets", 11, "Gelatos de Leite com Fruta", 14, "Chocolate base água", 17, "Vegano", 20, "Alcoólicos", 23, "Zero", 26, "Gelatos Proteicos", 29, 8), 3)) + (ROUND(L441,4) &lt; INDEX('Tabela de ingredientes'!$O$1:$V$30, SWITCH(B441, "Gelatos de Leite", 7, "Sorbets", 10, "Gelatos de Leite com Fruta", 13, "Chocolate base água", 16, "Vegano", 19, "Alcoólicos", 22, "Zero", 25, "Gelatos Proteicos", 28, 7), 4)) + (ROUND(L441,4) &gt; INDEX('Tabela de ingredientes'!$O$1:$V$30, SWITCH(B441, "Gelatos de Leite", 8, "Sorbets", 11, "Gelatos de Leite com Fruta", 14, "Chocolate base água", 17, "Vegano", 20, "Alcoólicos", 23, "Zero", 26, "Gelatos Proteicos", 29, 8), 4)) + (ROUND(M441,4) &lt; INDEX('Tabela de ingredientes'!$O$1:$V$30, SWITCH(B441, "Gelatos de Leite", 7, "Sorbets", 10, "Gelatos de Leite com Fruta", 13, "Chocolate base água", 16, "Vegano", 19, "Alcoólicos", 22, "Zero", 25, "Gelatos Proteicos", 28, 7), 5)) + (ROUND(M441,4) &gt; INDEX('Tabela de ingredientes'!$O$1:$V$30, SWITCH(B441, "Gelatos de Leite", 8, "Sorbets", 11, "Gelatos de Leite com Fruta", 14, "Chocolate base água", 17, "Vegano", 20, "Alcoólicos", 23, "Zero", 26, "Gelatos Proteicos", 29, 8), 5)) + (ROUND(N441,4) &lt; INDEX('Tabela de ingredientes'!$O$1:$V$30, SWITCH(B441, "Gelatos de Leite", 7, "Sorbets", 10, "Gelatos de Leite com Fruta", 13, "Chocolate base água", 16, "Vegano", 19, "Alcoólicos", 22, "Zero", 25, "Gelatos Proteicos", 28, 7), 6)) + (ROUND(N441,4) &gt; INDEX('Tabela de ingredientes'!$O$1:$V$30, SWITCH(B441, "Gelatos de Leite", 8, "Sorbets", 11, "Gelatos de Leite com Fruta", 14, "Chocolate base água", 17, "Vegano", 20, "Alcoólicos", 23, "Zero", 26, "Gelatos Proteicos", 29, 8), 6)) + (ROUND(O441,4) &lt; INDEX('Tabela de ingredientes'!$O$1:$V$30, SWITCH(B441, "Gelatos de Leite", 7, "Sorbets", 10, "Gelatos de Leite com Fruta", 13, "Chocolate base água", 16, "Vegano", 19, "Alcoólicos", 22, "Zero", 25, "Gelatos Proteicos", 28, 7), 7)) + (ROUND(O441,4) &gt; INDEX('Tabela de ingredientes'!$O$1:$V$30, SWITCH(B441, "Gelatos de Leite", 8, "Sorbets", 11, "Gelatos de Leite com Fruta", 14, "Chocolate base água", 17, "Vegano", 20, "Alcoólicos", 23, "Zero", 26, "Gelatos Proteicos", 29, 8), 7)) + (ROUND(P441,4) &lt; INDEX('Tabela de ingredientes'!$O$1:$V$30, SWITCH(B441, "Gelatos de Leite", 7, "Sorbets", 10, "Gelatos de Leite com Fruta", 13, "Chocolate base água", 16, "Vegano", 19, "Alcoólicos", 22, "Zero", 25, "Gelatos Proteicos", 28, 7), 8)) + (ROUND(P441,4) &gt; INDEX('Tabela de ingredientes'!$O$1:$V$30, SWITCH(B441, "Gelatos de Leite", 8, "Sorbets", 11, "Gelatos de Leite com Fruta", 14, "Chocolate base água", 17, "Vegano", 20, "Alcoólicos", 23, "Zero", 26, "Gelatos Proteicos", 29, 8), 8)) + IF(B441="Gelatos Proteicos", (ROUND(Q441,4)&lt;'Tabela de ingredientes'!$W$28)+(ROUND(Q441,4)&gt;'Tabela de ingredientes'!$W$29), 0) = 0, "Ok", "Revisar"))</f>
        <v/>
      </c>
    </row>
    <row r="442">
      <c r="A442" s="264"/>
      <c r="B442" s="264" t="s">
        <v>187</v>
      </c>
      <c r="C442" s="264" t="s">
        <v>187</v>
      </c>
      <c r="D442" s="264" t="s">
        <v>187</v>
      </c>
      <c r="E442" s="264" t="s">
        <v>187</v>
      </c>
      <c r="F442" s="264" t="s">
        <v>187</v>
      </c>
      <c r="G442" s="264" t="s">
        <v>187</v>
      </c>
      <c r="H442" s="264" t="s">
        <v>187</v>
      </c>
      <c r="I442" s="264" t="s">
        <v>187</v>
      </c>
      <c r="J442" s="264" t="s">
        <v>187</v>
      </c>
      <c r="K442" s="264" t="s">
        <v>187</v>
      </c>
      <c r="L442" s="264" t="s">
        <v>187</v>
      </c>
      <c r="M442" s="264" t="s">
        <v>187</v>
      </c>
      <c r="N442" s="264" t="s">
        <v>187</v>
      </c>
      <c r="O442" s="264" t="s">
        <v>187</v>
      </c>
      <c r="P442" s="264" t="s">
        <v>187</v>
      </c>
      <c r="Q442" s="264" t="s">
        <v>187</v>
      </c>
      <c r="R442" s="264" t="s">
        <v>187</v>
      </c>
      <c r="S442" s="97" t="str">
        <f t="array" ref="S442">IF(A442="","", IF( (ROUND(I442,4) &lt; INDEX('Tabela de ingredientes'!$O$1:$V$30, SWITCH(B442, "Gelatos de Leite", 7, "Sorbets", 10, "Gelatos de Leite com Fruta", 13, "Chocolate base água", 16, "Vegano", 19, "Alcoólicos", 22, "Zero", 25, "Gelatos Proteicos", 28, 7), 1)) + (ROUND(I442,4) &gt; INDEX('Tabela de ingredientes'!$O$1:$V$30, SWITCH(B442, "Gelatos de Leite", 8, "Sorbets", 11, "Gelatos de Leite com Fruta", 14, "Chocolate base água", 17, "Vegano", 20, "Alcoólicos", 23, "Zero", 26, "Gelatos Proteicos", 29, 8), 1)) + (ROUND(J442,4) &lt; INDEX('Tabela de ingredientes'!$O$1:$V$30, SWITCH(B442, "Gelatos de Leite", 7, "Sorbets", 10, "Gelatos de Leite com Fruta", 13, "Chocolate base água", 16, "Vegano", 19, "Alcoólicos", 22, "Zero", 25, "Gelatos Proteicos", 28, 7), 2)) + (ROUND(J442,4) &gt; INDEX('Tabela de ingredientes'!$O$1:$V$30, SWITCH(B442, "Gelatos de Leite", 8, "Sorbets", 11, "Gelatos de Leite com Fruta", 14, "Chocolate base água", 17, "Vegano", 20, "Alcoólicos", 23, "Zero", 26, "Gelatos Proteicos", 29, 8), 2)) + (ROUND(K442,4) &lt; INDEX('Tabela de ingredientes'!$O$1:$V$30, SWITCH(B442, "Gelatos de Leite", 7, "Sorbets", 10, "Gelatos de Leite com Fruta", 13, "Chocolate base água", 16, "Vegano", 19, "Alcoólicos", 22, "Zero", 25, "Gelatos Proteicos", 28, 7), 3)) + (ROUND(K442,4) &gt; INDEX('Tabela de ingredientes'!$O$1:$V$30, SWITCH(B442, "Gelatos de Leite", 8, "Sorbets", 11, "Gelatos de Leite com Fruta", 14, "Chocolate base água", 17, "Vegano", 20, "Alcoólicos", 23, "Zero", 26, "Gelatos Proteicos", 29, 8), 3)) + (ROUND(L442,4) &lt; INDEX('Tabela de ingredientes'!$O$1:$V$30, SWITCH(B442, "Gelatos de Leite", 7, "Sorbets", 10, "Gelatos de Leite com Fruta", 13, "Chocolate base água", 16, "Vegano", 19, "Alcoólicos", 22, "Zero", 25, "Gelatos Proteicos", 28, 7), 4)) + (ROUND(L442,4) &gt; INDEX('Tabela de ingredientes'!$O$1:$V$30, SWITCH(B442, "Gelatos de Leite", 8, "Sorbets", 11, "Gelatos de Leite com Fruta", 14, "Chocolate base água", 17, "Vegano", 20, "Alcoólicos", 23, "Zero", 26, "Gelatos Proteicos", 29, 8), 4)) + (ROUND(M442,4) &lt; INDEX('Tabela de ingredientes'!$O$1:$V$30, SWITCH(B442, "Gelatos de Leite", 7, "Sorbets", 10, "Gelatos de Leite com Fruta", 13, "Chocolate base água", 16, "Vegano", 19, "Alcoólicos", 22, "Zero", 25, "Gelatos Proteicos", 28, 7), 5)) + (ROUND(M442,4) &gt; INDEX('Tabela de ingredientes'!$O$1:$V$30, SWITCH(B442, "Gelatos de Leite", 8, "Sorbets", 11, "Gelatos de Leite com Fruta", 14, "Chocolate base água", 17, "Vegano", 20, "Alcoólicos", 23, "Zero", 26, "Gelatos Proteicos", 29, 8), 5)) + (ROUND(N442,4) &lt; INDEX('Tabela de ingredientes'!$O$1:$V$30, SWITCH(B442, "Gelatos de Leite", 7, "Sorbets", 10, "Gelatos de Leite com Fruta", 13, "Chocolate base água", 16, "Vegano", 19, "Alcoólicos", 22, "Zero", 25, "Gelatos Proteicos", 28, 7), 6)) + (ROUND(N442,4) &gt; INDEX('Tabela de ingredientes'!$O$1:$V$30, SWITCH(B442, "Gelatos de Leite", 8, "Sorbets", 11, "Gelatos de Leite com Fruta", 14, "Chocolate base água", 17, "Vegano", 20, "Alcoólicos", 23, "Zero", 26, "Gelatos Proteicos", 29, 8), 6)) + (ROUND(O442,4) &lt; INDEX('Tabela de ingredientes'!$O$1:$V$30, SWITCH(B442, "Gelatos de Leite", 7, "Sorbets", 10, "Gelatos de Leite com Fruta", 13, "Chocolate base água", 16, "Vegano", 19, "Alcoólicos", 22, "Zero", 25, "Gelatos Proteicos", 28, 7), 7)) + (ROUND(O442,4) &gt; INDEX('Tabela de ingredientes'!$O$1:$V$30, SWITCH(B442, "Gelatos de Leite", 8, "Sorbets", 11, "Gelatos de Leite com Fruta", 14, "Chocolate base água", 17, "Vegano", 20, "Alcoólicos", 23, "Zero", 26, "Gelatos Proteicos", 29, 8), 7)) + (ROUND(P442,4) &lt; INDEX('Tabela de ingredientes'!$O$1:$V$30, SWITCH(B442, "Gelatos de Leite", 7, "Sorbets", 10, "Gelatos de Leite com Fruta", 13, "Chocolate base água", 16, "Vegano", 19, "Alcoólicos", 22, "Zero", 25, "Gelatos Proteicos", 28, 7), 8)) + (ROUND(P442,4) &gt; INDEX('Tabela de ingredientes'!$O$1:$V$30, SWITCH(B442, "Gelatos de Leite", 8, "Sorbets", 11, "Gelatos de Leite com Fruta", 14, "Chocolate base água", 17, "Vegano", 20, "Alcoólicos", 23, "Zero", 26, "Gelatos Proteicos", 29, 8), 8)) + IF(B442="Gelatos Proteicos", (ROUND(Q442,4)&lt;'Tabela de ingredientes'!$W$28)+(ROUND(Q442,4)&gt;'Tabela de ingredientes'!$W$29), 0) = 0, "Ok", "Revisar"))</f>
        <v/>
      </c>
    </row>
    <row r="443">
      <c r="A443" s="264"/>
      <c r="B443" s="264" t="s">
        <v>187</v>
      </c>
      <c r="C443" s="264" t="s">
        <v>187</v>
      </c>
      <c r="D443" s="264" t="s">
        <v>187</v>
      </c>
      <c r="E443" s="264" t="s">
        <v>187</v>
      </c>
      <c r="F443" s="264" t="s">
        <v>187</v>
      </c>
      <c r="G443" s="264" t="s">
        <v>187</v>
      </c>
      <c r="H443" s="264" t="s">
        <v>187</v>
      </c>
      <c r="I443" s="264" t="s">
        <v>187</v>
      </c>
      <c r="J443" s="264" t="s">
        <v>187</v>
      </c>
      <c r="K443" s="264" t="s">
        <v>187</v>
      </c>
      <c r="L443" s="264" t="s">
        <v>187</v>
      </c>
      <c r="M443" s="264" t="s">
        <v>187</v>
      </c>
      <c r="N443" s="264" t="s">
        <v>187</v>
      </c>
      <c r="O443" s="264" t="s">
        <v>187</v>
      </c>
      <c r="P443" s="264" t="s">
        <v>187</v>
      </c>
      <c r="Q443" s="264" t="s">
        <v>187</v>
      </c>
      <c r="R443" s="264" t="s">
        <v>187</v>
      </c>
      <c r="S443" s="97" t="str">
        <f t="array" ref="S443">IF(A443="","", IF( (ROUND(I443,4) &lt; INDEX('Tabela de ingredientes'!$O$1:$V$30, SWITCH(B443, "Gelatos de Leite", 7, "Sorbets", 10, "Gelatos de Leite com Fruta", 13, "Chocolate base água", 16, "Vegano", 19, "Alcoólicos", 22, "Zero", 25, "Gelatos Proteicos", 28, 7), 1)) + (ROUND(I443,4) &gt; INDEX('Tabela de ingredientes'!$O$1:$V$30, SWITCH(B443, "Gelatos de Leite", 8, "Sorbets", 11, "Gelatos de Leite com Fruta", 14, "Chocolate base água", 17, "Vegano", 20, "Alcoólicos", 23, "Zero", 26, "Gelatos Proteicos", 29, 8), 1)) + (ROUND(J443,4) &lt; INDEX('Tabela de ingredientes'!$O$1:$V$30, SWITCH(B443, "Gelatos de Leite", 7, "Sorbets", 10, "Gelatos de Leite com Fruta", 13, "Chocolate base água", 16, "Vegano", 19, "Alcoólicos", 22, "Zero", 25, "Gelatos Proteicos", 28, 7), 2)) + (ROUND(J443,4) &gt; INDEX('Tabela de ingredientes'!$O$1:$V$30, SWITCH(B443, "Gelatos de Leite", 8, "Sorbets", 11, "Gelatos de Leite com Fruta", 14, "Chocolate base água", 17, "Vegano", 20, "Alcoólicos", 23, "Zero", 26, "Gelatos Proteicos", 29, 8), 2)) + (ROUND(K443,4) &lt; INDEX('Tabela de ingredientes'!$O$1:$V$30, SWITCH(B443, "Gelatos de Leite", 7, "Sorbets", 10, "Gelatos de Leite com Fruta", 13, "Chocolate base água", 16, "Vegano", 19, "Alcoólicos", 22, "Zero", 25, "Gelatos Proteicos", 28, 7), 3)) + (ROUND(K443,4) &gt; INDEX('Tabela de ingredientes'!$O$1:$V$30, SWITCH(B443, "Gelatos de Leite", 8, "Sorbets", 11, "Gelatos de Leite com Fruta", 14, "Chocolate base água", 17, "Vegano", 20, "Alcoólicos", 23, "Zero", 26, "Gelatos Proteicos", 29, 8), 3)) + (ROUND(L443,4) &lt; INDEX('Tabela de ingredientes'!$O$1:$V$30, SWITCH(B443, "Gelatos de Leite", 7, "Sorbets", 10, "Gelatos de Leite com Fruta", 13, "Chocolate base água", 16, "Vegano", 19, "Alcoólicos", 22, "Zero", 25, "Gelatos Proteicos", 28, 7), 4)) + (ROUND(L443,4) &gt; INDEX('Tabela de ingredientes'!$O$1:$V$30, SWITCH(B443, "Gelatos de Leite", 8, "Sorbets", 11, "Gelatos de Leite com Fruta", 14, "Chocolate base água", 17, "Vegano", 20, "Alcoólicos", 23, "Zero", 26, "Gelatos Proteicos", 29, 8), 4)) + (ROUND(M443,4) &lt; INDEX('Tabela de ingredientes'!$O$1:$V$30, SWITCH(B443, "Gelatos de Leite", 7, "Sorbets", 10, "Gelatos de Leite com Fruta", 13, "Chocolate base água", 16, "Vegano", 19, "Alcoólicos", 22, "Zero", 25, "Gelatos Proteicos", 28, 7), 5)) + (ROUND(M443,4) &gt; INDEX('Tabela de ingredientes'!$O$1:$V$30, SWITCH(B443, "Gelatos de Leite", 8, "Sorbets", 11, "Gelatos de Leite com Fruta", 14, "Chocolate base água", 17, "Vegano", 20, "Alcoólicos", 23, "Zero", 26, "Gelatos Proteicos", 29, 8), 5)) + (ROUND(N443,4) &lt; INDEX('Tabela de ingredientes'!$O$1:$V$30, SWITCH(B443, "Gelatos de Leite", 7, "Sorbets", 10, "Gelatos de Leite com Fruta", 13, "Chocolate base água", 16, "Vegano", 19, "Alcoólicos", 22, "Zero", 25, "Gelatos Proteicos", 28, 7), 6)) + (ROUND(N443,4) &gt; INDEX('Tabela de ingredientes'!$O$1:$V$30, SWITCH(B443, "Gelatos de Leite", 8, "Sorbets", 11, "Gelatos de Leite com Fruta", 14, "Chocolate base água", 17, "Vegano", 20, "Alcoólicos", 23, "Zero", 26, "Gelatos Proteicos", 29, 8), 6)) + (ROUND(O443,4) &lt; INDEX('Tabela de ingredientes'!$O$1:$V$30, SWITCH(B443, "Gelatos de Leite", 7, "Sorbets", 10, "Gelatos de Leite com Fruta", 13, "Chocolate base água", 16, "Vegano", 19, "Alcoólicos", 22, "Zero", 25, "Gelatos Proteicos", 28, 7), 7)) + (ROUND(O443,4) &gt; INDEX('Tabela de ingredientes'!$O$1:$V$30, SWITCH(B443, "Gelatos de Leite", 8, "Sorbets", 11, "Gelatos de Leite com Fruta", 14, "Chocolate base água", 17, "Vegano", 20, "Alcoólicos", 23, "Zero", 26, "Gelatos Proteicos", 29, 8), 7)) + (ROUND(P443,4) &lt; INDEX('Tabela de ingredientes'!$O$1:$V$30, SWITCH(B443, "Gelatos de Leite", 7, "Sorbets", 10, "Gelatos de Leite com Fruta", 13, "Chocolate base água", 16, "Vegano", 19, "Alcoólicos", 22, "Zero", 25, "Gelatos Proteicos", 28, 7), 8)) + (ROUND(P443,4) &gt; INDEX('Tabela de ingredientes'!$O$1:$V$30, SWITCH(B443, "Gelatos de Leite", 8, "Sorbets", 11, "Gelatos de Leite com Fruta", 14, "Chocolate base água", 17, "Vegano", 20, "Alcoólicos", 23, "Zero", 26, "Gelatos Proteicos", 29, 8), 8)) + IF(B443="Gelatos Proteicos", (ROUND(Q443,4)&lt;'Tabela de ingredientes'!$W$28)+(ROUND(Q443,4)&gt;'Tabela de ingredientes'!$W$29), 0) = 0, "Ok", "Revisar"))</f>
        <v/>
      </c>
    </row>
    <row r="444">
      <c r="A444" s="264"/>
      <c r="B444" s="264" t="s">
        <v>187</v>
      </c>
      <c r="C444" s="264" t="s">
        <v>187</v>
      </c>
      <c r="D444" s="264" t="s">
        <v>187</v>
      </c>
      <c r="E444" s="264" t="s">
        <v>187</v>
      </c>
      <c r="F444" s="264" t="s">
        <v>187</v>
      </c>
      <c r="G444" s="264" t="s">
        <v>187</v>
      </c>
      <c r="H444" s="264" t="s">
        <v>187</v>
      </c>
      <c r="I444" s="264" t="s">
        <v>187</v>
      </c>
      <c r="J444" s="264" t="s">
        <v>187</v>
      </c>
      <c r="K444" s="264" t="s">
        <v>187</v>
      </c>
      <c r="L444" s="264" t="s">
        <v>187</v>
      </c>
      <c r="M444" s="264" t="s">
        <v>187</v>
      </c>
      <c r="N444" s="264" t="s">
        <v>187</v>
      </c>
      <c r="O444" s="264" t="s">
        <v>187</v>
      </c>
      <c r="P444" s="264" t="s">
        <v>187</v>
      </c>
      <c r="Q444" s="264" t="s">
        <v>187</v>
      </c>
      <c r="R444" s="264" t="s">
        <v>187</v>
      </c>
      <c r="S444" s="97" t="str">
        <f t="array" ref="S444">IF(A444="","", IF( (ROUND(I444,4) &lt; INDEX('Tabela de ingredientes'!$O$1:$V$30, SWITCH(B444, "Gelatos de Leite", 7, "Sorbets", 10, "Gelatos de Leite com Fruta", 13, "Chocolate base água", 16, "Vegano", 19, "Alcoólicos", 22, "Zero", 25, "Gelatos Proteicos", 28, 7), 1)) + (ROUND(I444,4) &gt; INDEX('Tabela de ingredientes'!$O$1:$V$30, SWITCH(B444, "Gelatos de Leite", 8, "Sorbets", 11, "Gelatos de Leite com Fruta", 14, "Chocolate base água", 17, "Vegano", 20, "Alcoólicos", 23, "Zero", 26, "Gelatos Proteicos", 29, 8), 1)) + (ROUND(J444,4) &lt; INDEX('Tabela de ingredientes'!$O$1:$V$30, SWITCH(B444, "Gelatos de Leite", 7, "Sorbets", 10, "Gelatos de Leite com Fruta", 13, "Chocolate base água", 16, "Vegano", 19, "Alcoólicos", 22, "Zero", 25, "Gelatos Proteicos", 28, 7), 2)) + (ROUND(J444,4) &gt; INDEX('Tabela de ingredientes'!$O$1:$V$30, SWITCH(B444, "Gelatos de Leite", 8, "Sorbets", 11, "Gelatos de Leite com Fruta", 14, "Chocolate base água", 17, "Vegano", 20, "Alcoólicos", 23, "Zero", 26, "Gelatos Proteicos", 29, 8), 2)) + (ROUND(K444,4) &lt; INDEX('Tabela de ingredientes'!$O$1:$V$30, SWITCH(B444, "Gelatos de Leite", 7, "Sorbets", 10, "Gelatos de Leite com Fruta", 13, "Chocolate base água", 16, "Vegano", 19, "Alcoólicos", 22, "Zero", 25, "Gelatos Proteicos", 28, 7), 3)) + (ROUND(K444,4) &gt; INDEX('Tabela de ingredientes'!$O$1:$V$30, SWITCH(B444, "Gelatos de Leite", 8, "Sorbets", 11, "Gelatos de Leite com Fruta", 14, "Chocolate base água", 17, "Vegano", 20, "Alcoólicos", 23, "Zero", 26, "Gelatos Proteicos", 29, 8), 3)) + (ROUND(L444,4) &lt; INDEX('Tabela de ingredientes'!$O$1:$V$30, SWITCH(B444, "Gelatos de Leite", 7, "Sorbets", 10, "Gelatos de Leite com Fruta", 13, "Chocolate base água", 16, "Vegano", 19, "Alcoólicos", 22, "Zero", 25, "Gelatos Proteicos", 28, 7), 4)) + (ROUND(L444,4) &gt; INDEX('Tabela de ingredientes'!$O$1:$V$30, SWITCH(B444, "Gelatos de Leite", 8, "Sorbets", 11, "Gelatos de Leite com Fruta", 14, "Chocolate base água", 17, "Vegano", 20, "Alcoólicos", 23, "Zero", 26, "Gelatos Proteicos", 29, 8), 4)) + (ROUND(M444,4) &lt; INDEX('Tabela de ingredientes'!$O$1:$V$30, SWITCH(B444, "Gelatos de Leite", 7, "Sorbets", 10, "Gelatos de Leite com Fruta", 13, "Chocolate base água", 16, "Vegano", 19, "Alcoólicos", 22, "Zero", 25, "Gelatos Proteicos", 28, 7), 5)) + (ROUND(M444,4) &gt; INDEX('Tabela de ingredientes'!$O$1:$V$30, SWITCH(B444, "Gelatos de Leite", 8, "Sorbets", 11, "Gelatos de Leite com Fruta", 14, "Chocolate base água", 17, "Vegano", 20, "Alcoólicos", 23, "Zero", 26, "Gelatos Proteicos", 29, 8), 5)) + (ROUND(N444,4) &lt; INDEX('Tabela de ingredientes'!$O$1:$V$30, SWITCH(B444, "Gelatos de Leite", 7, "Sorbets", 10, "Gelatos de Leite com Fruta", 13, "Chocolate base água", 16, "Vegano", 19, "Alcoólicos", 22, "Zero", 25, "Gelatos Proteicos", 28, 7), 6)) + (ROUND(N444,4) &gt; INDEX('Tabela de ingredientes'!$O$1:$V$30, SWITCH(B444, "Gelatos de Leite", 8, "Sorbets", 11, "Gelatos de Leite com Fruta", 14, "Chocolate base água", 17, "Vegano", 20, "Alcoólicos", 23, "Zero", 26, "Gelatos Proteicos", 29, 8), 6)) + (ROUND(O444,4) &lt; INDEX('Tabela de ingredientes'!$O$1:$V$30, SWITCH(B444, "Gelatos de Leite", 7, "Sorbets", 10, "Gelatos de Leite com Fruta", 13, "Chocolate base água", 16, "Vegano", 19, "Alcoólicos", 22, "Zero", 25, "Gelatos Proteicos", 28, 7), 7)) + (ROUND(O444,4) &gt; INDEX('Tabela de ingredientes'!$O$1:$V$30, SWITCH(B444, "Gelatos de Leite", 8, "Sorbets", 11, "Gelatos de Leite com Fruta", 14, "Chocolate base água", 17, "Vegano", 20, "Alcoólicos", 23, "Zero", 26, "Gelatos Proteicos", 29, 8), 7)) + (ROUND(P444,4) &lt; INDEX('Tabela de ingredientes'!$O$1:$V$30, SWITCH(B444, "Gelatos de Leite", 7, "Sorbets", 10, "Gelatos de Leite com Fruta", 13, "Chocolate base água", 16, "Vegano", 19, "Alcoólicos", 22, "Zero", 25, "Gelatos Proteicos", 28, 7), 8)) + (ROUND(P444,4) &gt; INDEX('Tabela de ingredientes'!$O$1:$V$30, SWITCH(B444, "Gelatos de Leite", 8, "Sorbets", 11, "Gelatos de Leite com Fruta", 14, "Chocolate base água", 17, "Vegano", 20, "Alcoólicos", 23, "Zero", 26, "Gelatos Proteicos", 29, 8), 8)) + IF(B444="Gelatos Proteicos", (ROUND(Q444,4)&lt;'Tabela de ingredientes'!$W$28)+(ROUND(Q444,4)&gt;'Tabela de ingredientes'!$W$29), 0) = 0, "Ok", "Revisar"))</f>
        <v/>
      </c>
    </row>
    <row r="445">
      <c r="A445" s="264"/>
      <c r="B445" s="264" t="s">
        <v>187</v>
      </c>
      <c r="C445" s="264" t="s">
        <v>187</v>
      </c>
      <c r="D445" s="264" t="s">
        <v>187</v>
      </c>
      <c r="E445" s="264" t="s">
        <v>187</v>
      </c>
      <c r="F445" s="264" t="s">
        <v>187</v>
      </c>
      <c r="G445" s="264" t="s">
        <v>187</v>
      </c>
      <c r="H445" s="264" t="s">
        <v>187</v>
      </c>
      <c r="I445" s="264" t="s">
        <v>187</v>
      </c>
      <c r="J445" s="264" t="s">
        <v>187</v>
      </c>
      <c r="K445" s="264" t="s">
        <v>187</v>
      </c>
      <c r="L445" s="264" t="s">
        <v>187</v>
      </c>
      <c r="M445" s="264" t="s">
        <v>187</v>
      </c>
      <c r="N445" s="264" t="s">
        <v>187</v>
      </c>
      <c r="O445" s="264" t="s">
        <v>187</v>
      </c>
      <c r="P445" s="264" t="s">
        <v>187</v>
      </c>
      <c r="Q445" s="264" t="s">
        <v>187</v>
      </c>
      <c r="R445" s="264" t="s">
        <v>187</v>
      </c>
      <c r="S445" s="97" t="str">
        <f t="array" ref="S445">IF(A445="","", IF( (ROUND(I445,4) &lt; INDEX('Tabela de ingredientes'!$O$1:$V$30, SWITCH(B445, "Gelatos de Leite", 7, "Sorbets", 10, "Gelatos de Leite com Fruta", 13, "Chocolate base água", 16, "Vegano", 19, "Alcoólicos", 22, "Zero", 25, "Gelatos Proteicos", 28, 7), 1)) + (ROUND(I445,4) &gt; INDEX('Tabela de ingredientes'!$O$1:$V$30, SWITCH(B445, "Gelatos de Leite", 8, "Sorbets", 11, "Gelatos de Leite com Fruta", 14, "Chocolate base água", 17, "Vegano", 20, "Alcoólicos", 23, "Zero", 26, "Gelatos Proteicos", 29, 8), 1)) + (ROUND(J445,4) &lt; INDEX('Tabela de ingredientes'!$O$1:$V$30, SWITCH(B445, "Gelatos de Leite", 7, "Sorbets", 10, "Gelatos de Leite com Fruta", 13, "Chocolate base água", 16, "Vegano", 19, "Alcoólicos", 22, "Zero", 25, "Gelatos Proteicos", 28, 7), 2)) + (ROUND(J445,4) &gt; INDEX('Tabela de ingredientes'!$O$1:$V$30, SWITCH(B445, "Gelatos de Leite", 8, "Sorbets", 11, "Gelatos de Leite com Fruta", 14, "Chocolate base água", 17, "Vegano", 20, "Alcoólicos", 23, "Zero", 26, "Gelatos Proteicos", 29, 8), 2)) + (ROUND(K445,4) &lt; INDEX('Tabela de ingredientes'!$O$1:$V$30, SWITCH(B445, "Gelatos de Leite", 7, "Sorbets", 10, "Gelatos de Leite com Fruta", 13, "Chocolate base água", 16, "Vegano", 19, "Alcoólicos", 22, "Zero", 25, "Gelatos Proteicos", 28, 7), 3)) + (ROUND(K445,4) &gt; INDEX('Tabela de ingredientes'!$O$1:$V$30, SWITCH(B445, "Gelatos de Leite", 8, "Sorbets", 11, "Gelatos de Leite com Fruta", 14, "Chocolate base água", 17, "Vegano", 20, "Alcoólicos", 23, "Zero", 26, "Gelatos Proteicos", 29, 8), 3)) + (ROUND(L445,4) &lt; INDEX('Tabela de ingredientes'!$O$1:$V$30, SWITCH(B445, "Gelatos de Leite", 7, "Sorbets", 10, "Gelatos de Leite com Fruta", 13, "Chocolate base água", 16, "Vegano", 19, "Alcoólicos", 22, "Zero", 25, "Gelatos Proteicos", 28, 7), 4)) + (ROUND(L445,4) &gt; INDEX('Tabela de ingredientes'!$O$1:$V$30, SWITCH(B445, "Gelatos de Leite", 8, "Sorbets", 11, "Gelatos de Leite com Fruta", 14, "Chocolate base água", 17, "Vegano", 20, "Alcoólicos", 23, "Zero", 26, "Gelatos Proteicos", 29, 8), 4)) + (ROUND(M445,4) &lt; INDEX('Tabela de ingredientes'!$O$1:$V$30, SWITCH(B445, "Gelatos de Leite", 7, "Sorbets", 10, "Gelatos de Leite com Fruta", 13, "Chocolate base água", 16, "Vegano", 19, "Alcoólicos", 22, "Zero", 25, "Gelatos Proteicos", 28, 7), 5)) + (ROUND(M445,4) &gt; INDEX('Tabela de ingredientes'!$O$1:$V$30, SWITCH(B445, "Gelatos de Leite", 8, "Sorbets", 11, "Gelatos de Leite com Fruta", 14, "Chocolate base água", 17, "Vegano", 20, "Alcoólicos", 23, "Zero", 26, "Gelatos Proteicos", 29, 8), 5)) + (ROUND(N445,4) &lt; INDEX('Tabela de ingredientes'!$O$1:$V$30, SWITCH(B445, "Gelatos de Leite", 7, "Sorbets", 10, "Gelatos de Leite com Fruta", 13, "Chocolate base água", 16, "Vegano", 19, "Alcoólicos", 22, "Zero", 25, "Gelatos Proteicos", 28, 7), 6)) + (ROUND(N445,4) &gt; INDEX('Tabela de ingredientes'!$O$1:$V$30, SWITCH(B445, "Gelatos de Leite", 8, "Sorbets", 11, "Gelatos de Leite com Fruta", 14, "Chocolate base água", 17, "Vegano", 20, "Alcoólicos", 23, "Zero", 26, "Gelatos Proteicos", 29, 8), 6)) + (ROUND(O445,4) &lt; INDEX('Tabela de ingredientes'!$O$1:$V$30, SWITCH(B445, "Gelatos de Leite", 7, "Sorbets", 10, "Gelatos de Leite com Fruta", 13, "Chocolate base água", 16, "Vegano", 19, "Alcoólicos", 22, "Zero", 25, "Gelatos Proteicos", 28, 7), 7)) + (ROUND(O445,4) &gt; INDEX('Tabela de ingredientes'!$O$1:$V$30, SWITCH(B445, "Gelatos de Leite", 8, "Sorbets", 11, "Gelatos de Leite com Fruta", 14, "Chocolate base água", 17, "Vegano", 20, "Alcoólicos", 23, "Zero", 26, "Gelatos Proteicos", 29, 8), 7)) + (ROUND(P445,4) &lt; INDEX('Tabela de ingredientes'!$O$1:$V$30, SWITCH(B445, "Gelatos de Leite", 7, "Sorbets", 10, "Gelatos de Leite com Fruta", 13, "Chocolate base água", 16, "Vegano", 19, "Alcoólicos", 22, "Zero", 25, "Gelatos Proteicos", 28, 7), 8)) + (ROUND(P445,4) &gt; INDEX('Tabela de ingredientes'!$O$1:$V$30, SWITCH(B445, "Gelatos de Leite", 8, "Sorbets", 11, "Gelatos de Leite com Fruta", 14, "Chocolate base água", 17, "Vegano", 20, "Alcoólicos", 23, "Zero", 26, "Gelatos Proteicos", 29, 8), 8)) + IF(B445="Gelatos Proteicos", (ROUND(Q445,4)&lt;'Tabela de ingredientes'!$W$28)+(ROUND(Q445,4)&gt;'Tabela de ingredientes'!$W$29), 0) = 0, "Ok", "Revisar"))</f>
        <v/>
      </c>
    </row>
    <row r="446">
      <c r="A446" s="264"/>
      <c r="B446" s="264" t="s">
        <v>187</v>
      </c>
      <c r="C446" s="264" t="s">
        <v>187</v>
      </c>
      <c r="D446" s="264" t="s">
        <v>187</v>
      </c>
      <c r="E446" s="264" t="s">
        <v>187</v>
      </c>
      <c r="F446" s="264" t="s">
        <v>187</v>
      </c>
      <c r="G446" s="264" t="s">
        <v>187</v>
      </c>
      <c r="H446" s="264" t="s">
        <v>187</v>
      </c>
      <c r="I446" s="264" t="s">
        <v>187</v>
      </c>
      <c r="J446" s="264" t="s">
        <v>187</v>
      </c>
      <c r="K446" s="264" t="s">
        <v>187</v>
      </c>
      <c r="L446" s="264" t="s">
        <v>187</v>
      </c>
      <c r="M446" s="264" t="s">
        <v>187</v>
      </c>
      <c r="N446" s="264" t="s">
        <v>187</v>
      </c>
      <c r="O446" s="264" t="s">
        <v>187</v>
      </c>
      <c r="P446" s="264" t="s">
        <v>187</v>
      </c>
      <c r="Q446" s="264" t="s">
        <v>187</v>
      </c>
      <c r="R446" s="264" t="s">
        <v>187</v>
      </c>
      <c r="S446" s="97" t="str">
        <f t="array" ref="S446">IF(A446="","", IF( (ROUND(I446,4) &lt; INDEX('Tabela de ingredientes'!$O$1:$V$30, SWITCH(B446, "Gelatos de Leite", 7, "Sorbets", 10, "Gelatos de Leite com Fruta", 13, "Chocolate base água", 16, "Vegano", 19, "Alcoólicos", 22, "Zero", 25, "Gelatos Proteicos", 28, 7), 1)) + (ROUND(I446,4) &gt; INDEX('Tabela de ingredientes'!$O$1:$V$30, SWITCH(B446, "Gelatos de Leite", 8, "Sorbets", 11, "Gelatos de Leite com Fruta", 14, "Chocolate base água", 17, "Vegano", 20, "Alcoólicos", 23, "Zero", 26, "Gelatos Proteicos", 29, 8), 1)) + (ROUND(J446,4) &lt; INDEX('Tabela de ingredientes'!$O$1:$V$30, SWITCH(B446, "Gelatos de Leite", 7, "Sorbets", 10, "Gelatos de Leite com Fruta", 13, "Chocolate base água", 16, "Vegano", 19, "Alcoólicos", 22, "Zero", 25, "Gelatos Proteicos", 28, 7), 2)) + (ROUND(J446,4) &gt; INDEX('Tabela de ingredientes'!$O$1:$V$30, SWITCH(B446, "Gelatos de Leite", 8, "Sorbets", 11, "Gelatos de Leite com Fruta", 14, "Chocolate base água", 17, "Vegano", 20, "Alcoólicos", 23, "Zero", 26, "Gelatos Proteicos", 29, 8), 2)) + (ROUND(K446,4) &lt; INDEX('Tabela de ingredientes'!$O$1:$V$30, SWITCH(B446, "Gelatos de Leite", 7, "Sorbets", 10, "Gelatos de Leite com Fruta", 13, "Chocolate base água", 16, "Vegano", 19, "Alcoólicos", 22, "Zero", 25, "Gelatos Proteicos", 28, 7), 3)) + (ROUND(K446,4) &gt; INDEX('Tabela de ingredientes'!$O$1:$V$30, SWITCH(B446, "Gelatos de Leite", 8, "Sorbets", 11, "Gelatos de Leite com Fruta", 14, "Chocolate base água", 17, "Vegano", 20, "Alcoólicos", 23, "Zero", 26, "Gelatos Proteicos", 29, 8), 3)) + (ROUND(L446,4) &lt; INDEX('Tabela de ingredientes'!$O$1:$V$30, SWITCH(B446, "Gelatos de Leite", 7, "Sorbets", 10, "Gelatos de Leite com Fruta", 13, "Chocolate base água", 16, "Vegano", 19, "Alcoólicos", 22, "Zero", 25, "Gelatos Proteicos", 28, 7), 4)) + (ROUND(L446,4) &gt; INDEX('Tabela de ingredientes'!$O$1:$V$30, SWITCH(B446, "Gelatos de Leite", 8, "Sorbets", 11, "Gelatos de Leite com Fruta", 14, "Chocolate base água", 17, "Vegano", 20, "Alcoólicos", 23, "Zero", 26, "Gelatos Proteicos", 29, 8), 4)) + (ROUND(M446,4) &lt; INDEX('Tabela de ingredientes'!$O$1:$V$30, SWITCH(B446, "Gelatos de Leite", 7, "Sorbets", 10, "Gelatos de Leite com Fruta", 13, "Chocolate base água", 16, "Vegano", 19, "Alcoólicos", 22, "Zero", 25, "Gelatos Proteicos", 28, 7), 5)) + (ROUND(M446,4) &gt; INDEX('Tabela de ingredientes'!$O$1:$V$30, SWITCH(B446, "Gelatos de Leite", 8, "Sorbets", 11, "Gelatos de Leite com Fruta", 14, "Chocolate base água", 17, "Vegano", 20, "Alcoólicos", 23, "Zero", 26, "Gelatos Proteicos", 29, 8), 5)) + (ROUND(N446,4) &lt; INDEX('Tabela de ingredientes'!$O$1:$V$30, SWITCH(B446, "Gelatos de Leite", 7, "Sorbets", 10, "Gelatos de Leite com Fruta", 13, "Chocolate base água", 16, "Vegano", 19, "Alcoólicos", 22, "Zero", 25, "Gelatos Proteicos", 28, 7), 6)) + (ROUND(N446,4) &gt; INDEX('Tabela de ingredientes'!$O$1:$V$30, SWITCH(B446, "Gelatos de Leite", 8, "Sorbets", 11, "Gelatos de Leite com Fruta", 14, "Chocolate base água", 17, "Vegano", 20, "Alcoólicos", 23, "Zero", 26, "Gelatos Proteicos", 29, 8), 6)) + (ROUND(O446,4) &lt; INDEX('Tabela de ingredientes'!$O$1:$V$30, SWITCH(B446, "Gelatos de Leite", 7, "Sorbets", 10, "Gelatos de Leite com Fruta", 13, "Chocolate base água", 16, "Vegano", 19, "Alcoólicos", 22, "Zero", 25, "Gelatos Proteicos", 28, 7), 7)) + (ROUND(O446,4) &gt; INDEX('Tabela de ingredientes'!$O$1:$V$30, SWITCH(B446, "Gelatos de Leite", 8, "Sorbets", 11, "Gelatos de Leite com Fruta", 14, "Chocolate base água", 17, "Vegano", 20, "Alcoólicos", 23, "Zero", 26, "Gelatos Proteicos", 29, 8), 7)) + (ROUND(P446,4) &lt; INDEX('Tabela de ingredientes'!$O$1:$V$30, SWITCH(B446, "Gelatos de Leite", 7, "Sorbets", 10, "Gelatos de Leite com Fruta", 13, "Chocolate base água", 16, "Vegano", 19, "Alcoólicos", 22, "Zero", 25, "Gelatos Proteicos", 28, 7), 8)) + (ROUND(P446,4) &gt; INDEX('Tabela de ingredientes'!$O$1:$V$30, SWITCH(B446, "Gelatos de Leite", 8, "Sorbets", 11, "Gelatos de Leite com Fruta", 14, "Chocolate base água", 17, "Vegano", 20, "Alcoólicos", 23, "Zero", 26, "Gelatos Proteicos", 29, 8), 8)) + IF(B446="Gelatos Proteicos", (ROUND(Q446,4)&lt;'Tabela de ingredientes'!$W$28)+(ROUND(Q446,4)&gt;'Tabela de ingredientes'!$W$29), 0) = 0, "Ok", "Revisar"))</f>
        <v/>
      </c>
    </row>
    <row r="447">
      <c r="A447" s="264"/>
      <c r="B447" s="264" t="s">
        <v>187</v>
      </c>
      <c r="C447" s="264" t="s">
        <v>187</v>
      </c>
      <c r="D447" s="264" t="s">
        <v>187</v>
      </c>
      <c r="E447" s="264" t="s">
        <v>187</v>
      </c>
      <c r="F447" s="264" t="s">
        <v>187</v>
      </c>
      <c r="G447" s="264" t="s">
        <v>187</v>
      </c>
      <c r="H447" s="264" t="s">
        <v>187</v>
      </c>
      <c r="I447" s="264" t="s">
        <v>187</v>
      </c>
      <c r="J447" s="264" t="s">
        <v>187</v>
      </c>
      <c r="K447" s="264" t="s">
        <v>187</v>
      </c>
      <c r="L447" s="264" t="s">
        <v>187</v>
      </c>
      <c r="M447" s="264" t="s">
        <v>187</v>
      </c>
      <c r="N447" s="264" t="s">
        <v>187</v>
      </c>
      <c r="O447" s="264" t="s">
        <v>187</v>
      </c>
      <c r="P447" s="264" t="s">
        <v>187</v>
      </c>
      <c r="Q447" s="264" t="s">
        <v>187</v>
      </c>
      <c r="R447" s="264" t="s">
        <v>187</v>
      </c>
      <c r="S447" s="97" t="str">
        <f t="array" ref="S447">IF(A447="","", IF( (ROUND(I447,4) &lt; INDEX('Tabela de ingredientes'!$O$1:$V$30, SWITCH(B447, "Gelatos de Leite", 7, "Sorbets", 10, "Gelatos de Leite com Fruta", 13, "Chocolate base água", 16, "Vegano", 19, "Alcoólicos", 22, "Zero", 25, "Gelatos Proteicos", 28, 7), 1)) + (ROUND(I447,4) &gt; INDEX('Tabela de ingredientes'!$O$1:$V$30, SWITCH(B447, "Gelatos de Leite", 8, "Sorbets", 11, "Gelatos de Leite com Fruta", 14, "Chocolate base água", 17, "Vegano", 20, "Alcoólicos", 23, "Zero", 26, "Gelatos Proteicos", 29, 8), 1)) + (ROUND(J447,4) &lt; INDEX('Tabela de ingredientes'!$O$1:$V$30, SWITCH(B447, "Gelatos de Leite", 7, "Sorbets", 10, "Gelatos de Leite com Fruta", 13, "Chocolate base água", 16, "Vegano", 19, "Alcoólicos", 22, "Zero", 25, "Gelatos Proteicos", 28, 7), 2)) + (ROUND(J447,4) &gt; INDEX('Tabela de ingredientes'!$O$1:$V$30, SWITCH(B447, "Gelatos de Leite", 8, "Sorbets", 11, "Gelatos de Leite com Fruta", 14, "Chocolate base água", 17, "Vegano", 20, "Alcoólicos", 23, "Zero", 26, "Gelatos Proteicos", 29, 8), 2)) + (ROUND(K447,4) &lt; INDEX('Tabela de ingredientes'!$O$1:$V$30, SWITCH(B447, "Gelatos de Leite", 7, "Sorbets", 10, "Gelatos de Leite com Fruta", 13, "Chocolate base água", 16, "Vegano", 19, "Alcoólicos", 22, "Zero", 25, "Gelatos Proteicos", 28, 7), 3)) + (ROUND(K447,4) &gt; INDEX('Tabela de ingredientes'!$O$1:$V$30, SWITCH(B447, "Gelatos de Leite", 8, "Sorbets", 11, "Gelatos de Leite com Fruta", 14, "Chocolate base água", 17, "Vegano", 20, "Alcoólicos", 23, "Zero", 26, "Gelatos Proteicos", 29, 8), 3)) + (ROUND(L447,4) &lt; INDEX('Tabela de ingredientes'!$O$1:$V$30, SWITCH(B447, "Gelatos de Leite", 7, "Sorbets", 10, "Gelatos de Leite com Fruta", 13, "Chocolate base água", 16, "Vegano", 19, "Alcoólicos", 22, "Zero", 25, "Gelatos Proteicos", 28, 7), 4)) + (ROUND(L447,4) &gt; INDEX('Tabela de ingredientes'!$O$1:$V$30, SWITCH(B447, "Gelatos de Leite", 8, "Sorbets", 11, "Gelatos de Leite com Fruta", 14, "Chocolate base água", 17, "Vegano", 20, "Alcoólicos", 23, "Zero", 26, "Gelatos Proteicos", 29, 8), 4)) + (ROUND(M447,4) &lt; INDEX('Tabela de ingredientes'!$O$1:$V$30, SWITCH(B447, "Gelatos de Leite", 7, "Sorbets", 10, "Gelatos de Leite com Fruta", 13, "Chocolate base água", 16, "Vegano", 19, "Alcoólicos", 22, "Zero", 25, "Gelatos Proteicos", 28, 7), 5)) + (ROUND(M447,4) &gt; INDEX('Tabela de ingredientes'!$O$1:$V$30, SWITCH(B447, "Gelatos de Leite", 8, "Sorbets", 11, "Gelatos de Leite com Fruta", 14, "Chocolate base água", 17, "Vegano", 20, "Alcoólicos", 23, "Zero", 26, "Gelatos Proteicos", 29, 8), 5)) + (ROUND(N447,4) &lt; INDEX('Tabela de ingredientes'!$O$1:$V$30, SWITCH(B447, "Gelatos de Leite", 7, "Sorbets", 10, "Gelatos de Leite com Fruta", 13, "Chocolate base água", 16, "Vegano", 19, "Alcoólicos", 22, "Zero", 25, "Gelatos Proteicos", 28, 7), 6)) + (ROUND(N447,4) &gt; INDEX('Tabela de ingredientes'!$O$1:$V$30, SWITCH(B447, "Gelatos de Leite", 8, "Sorbets", 11, "Gelatos de Leite com Fruta", 14, "Chocolate base água", 17, "Vegano", 20, "Alcoólicos", 23, "Zero", 26, "Gelatos Proteicos", 29, 8), 6)) + (ROUND(O447,4) &lt; INDEX('Tabela de ingredientes'!$O$1:$V$30, SWITCH(B447, "Gelatos de Leite", 7, "Sorbets", 10, "Gelatos de Leite com Fruta", 13, "Chocolate base água", 16, "Vegano", 19, "Alcoólicos", 22, "Zero", 25, "Gelatos Proteicos", 28, 7), 7)) + (ROUND(O447,4) &gt; INDEX('Tabela de ingredientes'!$O$1:$V$30, SWITCH(B447, "Gelatos de Leite", 8, "Sorbets", 11, "Gelatos de Leite com Fruta", 14, "Chocolate base água", 17, "Vegano", 20, "Alcoólicos", 23, "Zero", 26, "Gelatos Proteicos", 29, 8), 7)) + (ROUND(P447,4) &lt; INDEX('Tabela de ingredientes'!$O$1:$V$30, SWITCH(B447, "Gelatos de Leite", 7, "Sorbets", 10, "Gelatos de Leite com Fruta", 13, "Chocolate base água", 16, "Vegano", 19, "Alcoólicos", 22, "Zero", 25, "Gelatos Proteicos", 28, 7), 8)) + (ROUND(P447,4) &gt; INDEX('Tabela de ingredientes'!$O$1:$V$30, SWITCH(B447, "Gelatos de Leite", 8, "Sorbets", 11, "Gelatos de Leite com Fruta", 14, "Chocolate base água", 17, "Vegano", 20, "Alcoólicos", 23, "Zero", 26, "Gelatos Proteicos", 29, 8), 8)) + IF(B447="Gelatos Proteicos", (ROUND(Q447,4)&lt;'Tabela de ingredientes'!$W$28)+(ROUND(Q447,4)&gt;'Tabela de ingredientes'!$W$29), 0) = 0, "Ok", "Revisar"))</f>
        <v/>
      </c>
    </row>
    <row r="448">
      <c r="A448" s="264"/>
      <c r="B448" s="264" t="s">
        <v>187</v>
      </c>
      <c r="C448" s="264" t="s">
        <v>187</v>
      </c>
      <c r="D448" s="264" t="s">
        <v>187</v>
      </c>
      <c r="E448" s="264" t="s">
        <v>187</v>
      </c>
      <c r="F448" s="264" t="s">
        <v>187</v>
      </c>
      <c r="G448" s="264" t="s">
        <v>187</v>
      </c>
      <c r="H448" s="264" t="s">
        <v>187</v>
      </c>
      <c r="I448" s="264" t="s">
        <v>187</v>
      </c>
      <c r="J448" s="264" t="s">
        <v>187</v>
      </c>
      <c r="K448" s="264" t="s">
        <v>187</v>
      </c>
      <c r="L448" s="264" t="s">
        <v>187</v>
      </c>
      <c r="M448" s="264" t="s">
        <v>187</v>
      </c>
      <c r="N448" s="264" t="s">
        <v>187</v>
      </c>
      <c r="O448" s="264" t="s">
        <v>187</v>
      </c>
      <c r="P448" s="264" t="s">
        <v>187</v>
      </c>
      <c r="Q448" s="264" t="s">
        <v>187</v>
      </c>
      <c r="R448" s="264" t="s">
        <v>187</v>
      </c>
      <c r="S448" s="97" t="str">
        <f t="array" ref="S448">IF(A448="","", IF( (ROUND(I448,4) &lt; INDEX('Tabela de ingredientes'!$O$1:$V$30, SWITCH(B448, "Gelatos de Leite", 7, "Sorbets", 10, "Gelatos de Leite com Fruta", 13, "Chocolate base água", 16, "Vegano", 19, "Alcoólicos", 22, "Zero", 25, "Gelatos Proteicos", 28, 7), 1)) + (ROUND(I448,4) &gt; INDEX('Tabela de ingredientes'!$O$1:$V$30, SWITCH(B448, "Gelatos de Leite", 8, "Sorbets", 11, "Gelatos de Leite com Fruta", 14, "Chocolate base água", 17, "Vegano", 20, "Alcoólicos", 23, "Zero", 26, "Gelatos Proteicos", 29, 8), 1)) + (ROUND(J448,4) &lt; INDEX('Tabela de ingredientes'!$O$1:$V$30, SWITCH(B448, "Gelatos de Leite", 7, "Sorbets", 10, "Gelatos de Leite com Fruta", 13, "Chocolate base água", 16, "Vegano", 19, "Alcoólicos", 22, "Zero", 25, "Gelatos Proteicos", 28, 7), 2)) + (ROUND(J448,4) &gt; INDEX('Tabela de ingredientes'!$O$1:$V$30, SWITCH(B448, "Gelatos de Leite", 8, "Sorbets", 11, "Gelatos de Leite com Fruta", 14, "Chocolate base água", 17, "Vegano", 20, "Alcoólicos", 23, "Zero", 26, "Gelatos Proteicos", 29, 8), 2)) + (ROUND(K448,4) &lt; INDEX('Tabela de ingredientes'!$O$1:$V$30, SWITCH(B448, "Gelatos de Leite", 7, "Sorbets", 10, "Gelatos de Leite com Fruta", 13, "Chocolate base água", 16, "Vegano", 19, "Alcoólicos", 22, "Zero", 25, "Gelatos Proteicos", 28, 7), 3)) + (ROUND(K448,4) &gt; INDEX('Tabela de ingredientes'!$O$1:$V$30, SWITCH(B448, "Gelatos de Leite", 8, "Sorbets", 11, "Gelatos de Leite com Fruta", 14, "Chocolate base água", 17, "Vegano", 20, "Alcoólicos", 23, "Zero", 26, "Gelatos Proteicos", 29, 8), 3)) + (ROUND(L448,4) &lt; INDEX('Tabela de ingredientes'!$O$1:$V$30, SWITCH(B448, "Gelatos de Leite", 7, "Sorbets", 10, "Gelatos de Leite com Fruta", 13, "Chocolate base água", 16, "Vegano", 19, "Alcoólicos", 22, "Zero", 25, "Gelatos Proteicos", 28, 7), 4)) + (ROUND(L448,4) &gt; INDEX('Tabela de ingredientes'!$O$1:$V$30, SWITCH(B448, "Gelatos de Leite", 8, "Sorbets", 11, "Gelatos de Leite com Fruta", 14, "Chocolate base água", 17, "Vegano", 20, "Alcoólicos", 23, "Zero", 26, "Gelatos Proteicos", 29, 8), 4)) + (ROUND(M448,4) &lt; INDEX('Tabela de ingredientes'!$O$1:$V$30, SWITCH(B448, "Gelatos de Leite", 7, "Sorbets", 10, "Gelatos de Leite com Fruta", 13, "Chocolate base água", 16, "Vegano", 19, "Alcoólicos", 22, "Zero", 25, "Gelatos Proteicos", 28, 7), 5)) + (ROUND(M448,4) &gt; INDEX('Tabela de ingredientes'!$O$1:$V$30, SWITCH(B448, "Gelatos de Leite", 8, "Sorbets", 11, "Gelatos de Leite com Fruta", 14, "Chocolate base água", 17, "Vegano", 20, "Alcoólicos", 23, "Zero", 26, "Gelatos Proteicos", 29, 8), 5)) + (ROUND(N448,4) &lt; INDEX('Tabela de ingredientes'!$O$1:$V$30, SWITCH(B448, "Gelatos de Leite", 7, "Sorbets", 10, "Gelatos de Leite com Fruta", 13, "Chocolate base água", 16, "Vegano", 19, "Alcoólicos", 22, "Zero", 25, "Gelatos Proteicos", 28, 7), 6)) + (ROUND(N448,4) &gt; INDEX('Tabela de ingredientes'!$O$1:$V$30, SWITCH(B448, "Gelatos de Leite", 8, "Sorbets", 11, "Gelatos de Leite com Fruta", 14, "Chocolate base água", 17, "Vegano", 20, "Alcoólicos", 23, "Zero", 26, "Gelatos Proteicos", 29, 8), 6)) + (ROUND(O448,4) &lt; INDEX('Tabela de ingredientes'!$O$1:$V$30, SWITCH(B448, "Gelatos de Leite", 7, "Sorbets", 10, "Gelatos de Leite com Fruta", 13, "Chocolate base água", 16, "Vegano", 19, "Alcoólicos", 22, "Zero", 25, "Gelatos Proteicos", 28, 7), 7)) + (ROUND(O448,4) &gt; INDEX('Tabela de ingredientes'!$O$1:$V$30, SWITCH(B448, "Gelatos de Leite", 8, "Sorbets", 11, "Gelatos de Leite com Fruta", 14, "Chocolate base água", 17, "Vegano", 20, "Alcoólicos", 23, "Zero", 26, "Gelatos Proteicos", 29, 8), 7)) + (ROUND(P448,4) &lt; INDEX('Tabela de ingredientes'!$O$1:$V$30, SWITCH(B448, "Gelatos de Leite", 7, "Sorbets", 10, "Gelatos de Leite com Fruta", 13, "Chocolate base água", 16, "Vegano", 19, "Alcoólicos", 22, "Zero", 25, "Gelatos Proteicos", 28, 7), 8)) + (ROUND(P448,4) &gt; INDEX('Tabela de ingredientes'!$O$1:$V$30, SWITCH(B448, "Gelatos de Leite", 8, "Sorbets", 11, "Gelatos de Leite com Fruta", 14, "Chocolate base água", 17, "Vegano", 20, "Alcoólicos", 23, "Zero", 26, "Gelatos Proteicos", 29, 8), 8)) + IF(B448="Gelatos Proteicos", (ROUND(Q448,4)&lt;'Tabela de ingredientes'!$W$28)+(ROUND(Q448,4)&gt;'Tabela de ingredientes'!$W$29), 0) = 0, "Ok", "Revisar"))</f>
        <v/>
      </c>
    </row>
    <row r="449">
      <c r="A449" s="264"/>
      <c r="B449" s="264" t="s">
        <v>187</v>
      </c>
      <c r="C449" s="264" t="s">
        <v>187</v>
      </c>
      <c r="D449" s="264" t="s">
        <v>187</v>
      </c>
      <c r="E449" s="264" t="s">
        <v>187</v>
      </c>
      <c r="F449" s="264" t="s">
        <v>187</v>
      </c>
      <c r="G449" s="264" t="s">
        <v>187</v>
      </c>
      <c r="H449" s="264" t="s">
        <v>187</v>
      </c>
      <c r="I449" s="264" t="s">
        <v>187</v>
      </c>
      <c r="J449" s="264" t="s">
        <v>187</v>
      </c>
      <c r="K449" s="264" t="s">
        <v>187</v>
      </c>
      <c r="L449" s="264" t="s">
        <v>187</v>
      </c>
      <c r="M449" s="264" t="s">
        <v>187</v>
      </c>
      <c r="N449" s="264" t="s">
        <v>187</v>
      </c>
      <c r="O449" s="264" t="s">
        <v>187</v>
      </c>
      <c r="P449" s="264" t="s">
        <v>187</v>
      </c>
      <c r="Q449" s="264" t="s">
        <v>187</v>
      </c>
      <c r="R449" s="264" t="s">
        <v>187</v>
      </c>
      <c r="S449" s="97" t="str">
        <f t="array" ref="S449">IF(A449="","", IF( (ROUND(I449,4) &lt; INDEX('Tabela de ingredientes'!$O$1:$V$30, SWITCH(B449, "Gelatos de Leite", 7, "Sorbets", 10, "Gelatos de Leite com Fruta", 13, "Chocolate base água", 16, "Vegano", 19, "Alcoólicos", 22, "Zero", 25, "Gelatos Proteicos", 28, 7), 1)) + (ROUND(I449,4) &gt; INDEX('Tabela de ingredientes'!$O$1:$V$30, SWITCH(B449, "Gelatos de Leite", 8, "Sorbets", 11, "Gelatos de Leite com Fruta", 14, "Chocolate base água", 17, "Vegano", 20, "Alcoólicos", 23, "Zero", 26, "Gelatos Proteicos", 29, 8), 1)) + (ROUND(J449,4) &lt; INDEX('Tabela de ingredientes'!$O$1:$V$30, SWITCH(B449, "Gelatos de Leite", 7, "Sorbets", 10, "Gelatos de Leite com Fruta", 13, "Chocolate base água", 16, "Vegano", 19, "Alcoólicos", 22, "Zero", 25, "Gelatos Proteicos", 28, 7), 2)) + (ROUND(J449,4) &gt; INDEX('Tabela de ingredientes'!$O$1:$V$30, SWITCH(B449, "Gelatos de Leite", 8, "Sorbets", 11, "Gelatos de Leite com Fruta", 14, "Chocolate base água", 17, "Vegano", 20, "Alcoólicos", 23, "Zero", 26, "Gelatos Proteicos", 29, 8), 2)) + (ROUND(K449,4) &lt; INDEX('Tabela de ingredientes'!$O$1:$V$30, SWITCH(B449, "Gelatos de Leite", 7, "Sorbets", 10, "Gelatos de Leite com Fruta", 13, "Chocolate base água", 16, "Vegano", 19, "Alcoólicos", 22, "Zero", 25, "Gelatos Proteicos", 28, 7), 3)) + (ROUND(K449,4) &gt; INDEX('Tabela de ingredientes'!$O$1:$V$30, SWITCH(B449, "Gelatos de Leite", 8, "Sorbets", 11, "Gelatos de Leite com Fruta", 14, "Chocolate base água", 17, "Vegano", 20, "Alcoólicos", 23, "Zero", 26, "Gelatos Proteicos", 29, 8), 3)) + (ROUND(L449,4) &lt; INDEX('Tabela de ingredientes'!$O$1:$V$30, SWITCH(B449, "Gelatos de Leite", 7, "Sorbets", 10, "Gelatos de Leite com Fruta", 13, "Chocolate base água", 16, "Vegano", 19, "Alcoólicos", 22, "Zero", 25, "Gelatos Proteicos", 28, 7), 4)) + (ROUND(L449,4) &gt; INDEX('Tabela de ingredientes'!$O$1:$V$30, SWITCH(B449, "Gelatos de Leite", 8, "Sorbets", 11, "Gelatos de Leite com Fruta", 14, "Chocolate base água", 17, "Vegano", 20, "Alcoólicos", 23, "Zero", 26, "Gelatos Proteicos", 29, 8), 4)) + (ROUND(M449,4) &lt; INDEX('Tabela de ingredientes'!$O$1:$V$30, SWITCH(B449, "Gelatos de Leite", 7, "Sorbets", 10, "Gelatos de Leite com Fruta", 13, "Chocolate base água", 16, "Vegano", 19, "Alcoólicos", 22, "Zero", 25, "Gelatos Proteicos", 28, 7), 5)) + (ROUND(M449,4) &gt; INDEX('Tabela de ingredientes'!$O$1:$V$30, SWITCH(B449, "Gelatos de Leite", 8, "Sorbets", 11, "Gelatos de Leite com Fruta", 14, "Chocolate base água", 17, "Vegano", 20, "Alcoólicos", 23, "Zero", 26, "Gelatos Proteicos", 29, 8), 5)) + (ROUND(N449,4) &lt; INDEX('Tabela de ingredientes'!$O$1:$V$30, SWITCH(B449, "Gelatos de Leite", 7, "Sorbets", 10, "Gelatos de Leite com Fruta", 13, "Chocolate base água", 16, "Vegano", 19, "Alcoólicos", 22, "Zero", 25, "Gelatos Proteicos", 28, 7), 6)) + (ROUND(N449,4) &gt; INDEX('Tabela de ingredientes'!$O$1:$V$30, SWITCH(B449, "Gelatos de Leite", 8, "Sorbets", 11, "Gelatos de Leite com Fruta", 14, "Chocolate base água", 17, "Vegano", 20, "Alcoólicos", 23, "Zero", 26, "Gelatos Proteicos", 29, 8), 6)) + (ROUND(O449,4) &lt; INDEX('Tabela de ingredientes'!$O$1:$V$30, SWITCH(B449, "Gelatos de Leite", 7, "Sorbets", 10, "Gelatos de Leite com Fruta", 13, "Chocolate base água", 16, "Vegano", 19, "Alcoólicos", 22, "Zero", 25, "Gelatos Proteicos", 28, 7), 7)) + (ROUND(O449,4) &gt; INDEX('Tabela de ingredientes'!$O$1:$V$30, SWITCH(B449, "Gelatos de Leite", 8, "Sorbets", 11, "Gelatos de Leite com Fruta", 14, "Chocolate base água", 17, "Vegano", 20, "Alcoólicos", 23, "Zero", 26, "Gelatos Proteicos", 29, 8), 7)) + (ROUND(P449,4) &lt; INDEX('Tabela de ingredientes'!$O$1:$V$30, SWITCH(B449, "Gelatos de Leite", 7, "Sorbets", 10, "Gelatos de Leite com Fruta", 13, "Chocolate base água", 16, "Vegano", 19, "Alcoólicos", 22, "Zero", 25, "Gelatos Proteicos", 28, 7), 8)) + (ROUND(P449,4) &gt; INDEX('Tabela de ingredientes'!$O$1:$V$30, SWITCH(B449, "Gelatos de Leite", 8, "Sorbets", 11, "Gelatos de Leite com Fruta", 14, "Chocolate base água", 17, "Vegano", 20, "Alcoólicos", 23, "Zero", 26, "Gelatos Proteicos", 29, 8), 8)) + IF(B449="Gelatos Proteicos", (ROUND(Q449,4)&lt;'Tabela de ingredientes'!$W$28)+(ROUND(Q449,4)&gt;'Tabela de ingredientes'!$W$29), 0) = 0, "Ok", "Revisar"))</f>
        <v/>
      </c>
    </row>
    <row r="450">
      <c r="A450" s="264"/>
      <c r="B450" s="264" t="s">
        <v>187</v>
      </c>
      <c r="C450" s="264" t="s">
        <v>187</v>
      </c>
      <c r="D450" s="264" t="s">
        <v>187</v>
      </c>
      <c r="E450" s="264" t="s">
        <v>187</v>
      </c>
      <c r="F450" s="264" t="s">
        <v>187</v>
      </c>
      <c r="G450" s="264" t="s">
        <v>187</v>
      </c>
      <c r="H450" s="264" t="s">
        <v>187</v>
      </c>
      <c r="I450" s="264" t="s">
        <v>187</v>
      </c>
      <c r="J450" s="264" t="s">
        <v>187</v>
      </c>
      <c r="K450" s="264" t="s">
        <v>187</v>
      </c>
      <c r="L450" s="264" t="s">
        <v>187</v>
      </c>
      <c r="M450" s="264" t="s">
        <v>187</v>
      </c>
      <c r="N450" s="264" t="s">
        <v>187</v>
      </c>
      <c r="O450" s="264" t="s">
        <v>187</v>
      </c>
      <c r="P450" s="264" t="s">
        <v>187</v>
      </c>
      <c r="Q450" s="264" t="s">
        <v>187</v>
      </c>
      <c r="R450" s="264" t="s">
        <v>187</v>
      </c>
      <c r="S450" s="97" t="str">
        <f t="array" ref="S450">IF(A450="","", IF( (ROUND(I450,4) &lt; INDEX('Tabela de ingredientes'!$O$1:$V$30, SWITCH(B450, "Gelatos de Leite", 7, "Sorbets", 10, "Gelatos de Leite com Fruta", 13, "Chocolate base água", 16, "Vegano", 19, "Alcoólicos", 22, "Zero", 25, "Gelatos Proteicos", 28, 7), 1)) + (ROUND(I450,4) &gt; INDEX('Tabela de ingredientes'!$O$1:$V$30, SWITCH(B450, "Gelatos de Leite", 8, "Sorbets", 11, "Gelatos de Leite com Fruta", 14, "Chocolate base água", 17, "Vegano", 20, "Alcoólicos", 23, "Zero", 26, "Gelatos Proteicos", 29, 8), 1)) + (ROUND(J450,4) &lt; INDEX('Tabela de ingredientes'!$O$1:$V$30, SWITCH(B450, "Gelatos de Leite", 7, "Sorbets", 10, "Gelatos de Leite com Fruta", 13, "Chocolate base água", 16, "Vegano", 19, "Alcoólicos", 22, "Zero", 25, "Gelatos Proteicos", 28, 7), 2)) + (ROUND(J450,4) &gt; INDEX('Tabela de ingredientes'!$O$1:$V$30, SWITCH(B450, "Gelatos de Leite", 8, "Sorbets", 11, "Gelatos de Leite com Fruta", 14, "Chocolate base água", 17, "Vegano", 20, "Alcoólicos", 23, "Zero", 26, "Gelatos Proteicos", 29, 8), 2)) + (ROUND(K450,4) &lt; INDEX('Tabela de ingredientes'!$O$1:$V$30, SWITCH(B450, "Gelatos de Leite", 7, "Sorbets", 10, "Gelatos de Leite com Fruta", 13, "Chocolate base água", 16, "Vegano", 19, "Alcoólicos", 22, "Zero", 25, "Gelatos Proteicos", 28, 7), 3)) + (ROUND(K450,4) &gt; INDEX('Tabela de ingredientes'!$O$1:$V$30, SWITCH(B450, "Gelatos de Leite", 8, "Sorbets", 11, "Gelatos de Leite com Fruta", 14, "Chocolate base água", 17, "Vegano", 20, "Alcoólicos", 23, "Zero", 26, "Gelatos Proteicos", 29, 8), 3)) + (ROUND(L450,4) &lt; INDEX('Tabela de ingredientes'!$O$1:$V$30, SWITCH(B450, "Gelatos de Leite", 7, "Sorbets", 10, "Gelatos de Leite com Fruta", 13, "Chocolate base água", 16, "Vegano", 19, "Alcoólicos", 22, "Zero", 25, "Gelatos Proteicos", 28, 7), 4)) + (ROUND(L450,4) &gt; INDEX('Tabela de ingredientes'!$O$1:$V$30, SWITCH(B450, "Gelatos de Leite", 8, "Sorbets", 11, "Gelatos de Leite com Fruta", 14, "Chocolate base água", 17, "Vegano", 20, "Alcoólicos", 23, "Zero", 26, "Gelatos Proteicos", 29, 8), 4)) + (ROUND(M450,4) &lt; INDEX('Tabela de ingredientes'!$O$1:$V$30, SWITCH(B450, "Gelatos de Leite", 7, "Sorbets", 10, "Gelatos de Leite com Fruta", 13, "Chocolate base água", 16, "Vegano", 19, "Alcoólicos", 22, "Zero", 25, "Gelatos Proteicos", 28, 7), 5)) + (ROUND(M450,4) &gt; INDEX('Tabela de ingredientes'!$O$1:$V$30, SWITCH(B450, "Gelatos de Leite", 8, "Sorbets", 11, "Gelatos de Leite com Fruta", 14, "Chocolate base água", 17, "Vegano", 20, "Alcoólicos", 23, "Zero", 26, "Gelatos Proteicos", 29, 8), 5)) + (ROUND(N450,4) &lt; INDEX('Tabela de ingredientes'!$O$1:$V$30, SWITCH(B450, "Gelatos de Leite", 7, "Sorbets", 10, "Gelatos de Leite com Fruta", 13, "Chocolate base água", 16, "Vegano", 19, "Alcoólicos", 22, "Zero", 25, "Gelatos Proteicos", 28, 7), 6)) + (ROUND(N450,4) &gt; INDEX('Tabela de ingredientes'!$O$1:$V$30, SWITCH(B450, "Gelatos de Leite", 8, "Sorbets", 11, "Gelatos de Leite com Fruta", 14, "Chocolate base água", 17, "Vegano", 20, "Alcoólicos", 23, "Zero", 26, "Gelatos Proteicos", 29, 8), 6)) + (ROUND(O450,4) &lt; INDEX('Tabela de ingredientes'!$O$1:$V$30, SWITCH(B450, "Gelatos de Leite", 7, "Sorbets", 10, "Gelatos de Leite com Fruta", 13, "Chocolate base água", 16, "Vegano", 19, "Alcoólicos", 22, "Zero", 25, "Gelatos Proteicos", 28, 7), 7)) + (ROUND(O450,4) &gt; INDEX('Tabela de ingredientes'!$O$1:$V$30, SWITCH(B450, "Gelatos de Leite", 8, "Sorbets", 11, "Gelatos de Leite com Fruta", 14, "Chocolate base água", 17, "Vegano", 20, "Alcoólicos", 23, "Zero", 26, "Gelatos Proteicos", 29, 8), 7)) + (ROUND(P450,4) &lt; INDEX('Tabela de ingredientes'!$O$1:$V$30, SWITCH(B450, "Gelatos de Leite", 7, "Sorbets", 10, "Gelatos de Leite com Fruta", 13, "Chocolate base água", 16, "Vegano", 19, "Alcoólicos", 22, "Zero", 25, "Gelatos Proteicos", 28, 7), 8)) + (ROUND(P450,4) &gt; INDEX('Tabela de ingredientes'!$O$1:$V$30, SWITCH(B450, "Gelatos de Leite", 8, "Sorbets", 11, "Gelatos de Leite com Fruta", 14, "Chocolate base água", 17, "Vegano", 20, "Alcoólicos", 23, "Zero", 26, "Gelatos Proteicos", 29, 8), 8)) + IF(B450="Gelatos Proteicos", (ROUND(Q450,4)&lt;'Tabela de ingredientes'!$W$28)+(ROUND(Q450,4)&gt;'Tabela de ingredientes'!$W$29), 0) = 0, "Ok", "Revisar"))</f>
        <v/>
      </c>
    </row>
    <row r="451">
      <c r="A451" s="264"/>
      <c r="B451" s="264" t="s">
        <v>187</v>
      </c>
      <c r="C451" s="264" t="s">
        <v>187</v>
      </c>
      <c r="D451" s="264" t="s">
        <v>187</v>
      </c>
      <c r="E451" s="264" t="s">
        <v>187</v>
      </c>
      <c r="F451" s="264" t="s">
        <v>187</v>
      </c>
      <c r="G451" s="264" t="s">
        <v>187</v>
      </c>
      <c r="H451" s="264" t="s">
        <v>187</v>
      </c>
      <c r="I451" s="264" t="s">
        <v>187</v>
      </c>
      <c r="J451" s="264" t="s">
        <v>187</v>
      </c>
      <c r="K451" s="264" t="s">
        <v>187</v>
      </c>
      <c r="L451" s="264" t="s">
        <v>187</v>
      </c>
      <c r="M451" s="264" t="s">
        <v>187</v>
      </c>
      <c r="N451" s="264" t="s">
        <v>187</v>
      </c>
      <c r="O451" s="264" t="s">
        <v>187</v>
      </c>
      <c r="P451" s="264" t="s">
        <v>187</v>
      </c>
      <c r="Q451" s="264" t="s">
        <v>187</v>
      </c>
      <c r="R451" s="264" t="s">
        <v>187</v>
      </c>
      <c r="S451" s="97" t="str">
        <f t="array" ref="S451">IF(A451="","", IF( (ROUND(I451,4) &lt; INDEX('Tabela de ingredientes'!$O$1:$V$30, SWITCH(B451, "Gelatos de Leite", 7, "Sorbets", 10, "Gelatos de Leite com Fruta", 13, "Chocolate base água", 16, "Vegano", 19, "Alcoólicos", 22, "Zero", 25, "Gelatos Proteicos", 28, 7), 1)) + (ROUND(I451,4) &gt; INDEX('Tabela de ingredientes'!$O$1:$V$30, SWITCH(B451, "Gelatos de Leite", 8, "Sorbets", 11, "Gelatos de Leite com Fruta", 14, "Chocolate base água", 17, "Vegano", 20, "Alcoólicos", 23, "Zero", 26, "Gelatos Proteicos", 29, 8), 1)) + (ROUND(J451,4) &lt; INDEX('Tabela de ingredientes'!$O$1:$V$30, SWITCH(B451, "Gelatos de Leite", 7, "Sorbets", 10, "Gelatos de Leite com Fruta", 13, "Chocolate base água", 16, "Vegano", 19, "Alcoólicos", 22, "Zero", 25, "Gelatos Proteicos", 28, 7), 2)) + (ROUND(J451,4) &gt; INDEX('Tabela de ingredientes'!$O$1:$V$30, SWITCH(B451, "Gelatos de Leite", 8, "Sorbets", 11, "Gelatos de Leite com Fruta", 14, "Chocolate base água", 17, "Vegano", 20, "Alcoólicos", 23, "Zero", 26, "Gelatos Proteicos", 29, 8), 2)) + (ROUND(K451,4) &lt; INDEX('Tabela de ingredientes'!$O$1:$V$30, SWITCH(B451, "Gelatos de Leite", 7, "Sorbets", 10, "Gelatos de Leite com Fruta", 13, "Chocolate base água", 16, "Vegano", 19, "Alcoólicos", 22, "Zero", 25, "Gelatos Proteicos", 28, 7), 3)) + (ROUND(K451,4) &gt; INDEX('Tabela de ingredientes'!$O$1:$V$30, SWITCH(B451, "Gelatos de Leite", 8, "Sorbets", 11, "Gelatos de Leite com Fruta", 14, "Chocolate base água", 17, "Vegano", 20, "Alcoólicos", 23, "Zero", 26, "Gelatos Proteicos", 29, 8), 3)) + (ROUND(L451,4) &lt; INDEX('Tabela de ingredientes'!$O$1:$V$30, SWITCH(B451, "Gelatos de Leite", 7, "Sorbets", 10, "Gelatos de Leite com Fruta", 13, "Chocolate base água", 16, "Vegano", 19, "Alcoólicos", 22, "Zero", 25, "Gelatos Proteicos", 28, 7), 4)) + (ROUND(L451,4) &gt; INDEX('Tabela de ingredientes'!$O$1:$V$30, SWITCH(B451, "Gelatos de Leite", 8, "Sorbets", 11, "Gelatos de Leite com Fruta", 14, "Chocolate base água", 17, "Vegano", 20, "Alcoólicos", 23, "Zero", 26, "Gelatos Proteicos", 29, 8), 4)) + (ROUND(M451,4) &lt; INDEX('Tabela de ingredientes'!$O$1:$V$30, SWITCH(B451, "Gelatos de Leite", 7, "Sorbets", 10, "Gelatos de Leite com Fruta", 13, "Chocolate base água", 16, "Vegano", 19, "Alcoólicos", 22, "Zero", 25, "Gelatos Proteicos", 28, 7), 5)) + (ROUND(M451,4) &gt; INDEX('Tabela de ingredientes'!$O$1:$V$30, SWITCH(B451, "Gelatos de Leite", 8, "Sorbets", 11, "Gelatos de Leite com Fruta", 14, "Chocolate base água", 17, "Vegano", 20, "Alcoólicos", 23, "Zero", 26, "Gelatos Proteicos", 29, 8), 5)) + (ROUND(N451,4) &lt; INDEX('Tabela de ingredientes'!$O$1:$V$30, SWITCH(B451, "Gelatos de Leite", 7, "Sorbets", 10, "Gelatos de Leite com Fruta", 13, "Chocolate base água", 16, "Vegano", 19, "Alcoólicos", 22, "Zero", 25, "Gelatos Proteicos", 28, 7), 6)) + (ROUND(N451,4) &gt; INDEX('Tabela de ingredientes'!$O$1:$V$30, SWITCH(B451, "Gelatos de Leite", 8, "Sorbets", 11, "Gelatos de Leite com Fruta", 14, "Chocolate base água", 17, "Vegano", 20, "Alcoólicos", 23, "Zero", 26, "Gelatos Proteicos", 29, 8), 6)) + (ROUND(O451,4) &lt; INDEX('Tabela de ingredientes'!$O$1:$V$30, SWITCH(B451, "Gelatos de Leite", 7, "Sorbets", 10, "Gelatos de Leite com Fruta", 13, "Chocolate base água", 16, "Vegano", 19, "Alcoólicos", 22, "Zero", 25, "Gelatos Proteicos", 28, 7), 7)) + (ROUND(O451,4) &gt; INDEX('Tabela de ingredientes'!$O$1:$V$30, SWITCH(B451, "Gelatos de Leite", 8, "Sorbets", 11, "Gelatos de Leite com Fruta", 14, "Chocolate base água", 17, "Vegano", 20, "Alcoólicos", 23, "Zero", 26, "Gelatos Proteicos", 29, 8), 7)) + (ROUND(P451,4) &lt; INDEX('Tabela de ingredientes'!$O$1:$V$30, SWITCH(B451, "Gelatos de Leite", 7, "Sorbets", 10, "Gelatos de Leite com Fruta", 13, "Chocolate base água", 16, "Vegano", 19, "Alcoólicos", 22, "Zero", 25, "Gelatos Proteicos", 28, 7), 8)) + (ROUND(P451,4) &gt; INDEX('Tabela de ingredientes'!$O$1:$V$30, SWITCH(B451, "Gelatos de Leite", 8, "Sorbets", 11, "Gelatos de Leite com Fruta", 14, "Chocolate base água", 17, "Vegano", 20, "Alcoólicos", 23, "Zero", 26, "Gelatos Proteicos", 29, 8), 8)) + IF(B451="Gelatos Proteicos", (ROUND(Q451,4)&lt;'Tabela de ingredientes'!$W$28)+(ROUND(Q451,4)&gt;'Tabela de ingredientes'!$W$29), 0) = 0, "Ok", "Revisar"))</f>
        <v/>
      </c>
    </row>
    <row r="452">
      <c r="A452" s="264"/>
      <c r="B452" s="264" t="s">
        <v>187</v>
      </c>
      <c r="C452" s="264" t="s">
        <v>187</v>
      </c>
      <c r="D452" s="264" t="s">
        <v>187</v>
      </c>
      <c r="E452" s="264" t="s">
        <v>187</v>
      </c>
      <c r="F452" s="264" t="s">
        <v>187</v>
      </c>
      <c r="G452" s="264" t="s">
        <v>187</v>
      </c>
      <c r="H452" s="264" t="s">
        <v>187</v>
      </c>
      <c r="I452" s="264" t="s">
        <v>187</v>
      </c>
      <c r="J452" s="264" t="s">
        <v>187</v>
      </c>
      <c r="K452" s="264" t="s">
        <v>187</v>
      </c>
      <c r="L452" s="264" t="s">
        <v>187</v>
      </c>
      <c r="M452" s="264" t="s">
        <v>187</v>
      </c>
      <c r="N452" s="264" t="s">
        <v>187</v>
      </c>
      <c r="O452" s="264" t="s">
        <v>187</v>
      </c>
      <c r="P452" s="264" t="s">
        <v>187</v>
      </c>
      <c r="Q452" s="264" t="s">
        <v>187</v>
      </c>
      <c r="R452" s="264" t="s">
        <v>187</v>
      </c>
      <c r="S452" s="97" t="str">
        <f t="array" ref="S452">IF(A452="","", IF( (ROUND(I452,4) &lt; INDEX('Tabela de ingredientes'!$O$1:$V$30, SWITCH(B452, "Gelatos de Leite", 7, "Sorbets", 10, "Gelatos de Leite com Fruta", 13, "Chocolate base água", 16, "Vegano", 19, "Alcoólicos", 22, "Zero", 25, "Gelatos Proteicos", 28, 7), 1)) + (ROUND(I452,4) &gt; INDEX('Tabela de ingredientes'!$O$1:$V$30, SWITCH(B452, "Gelatos de Leite", 8, "Sorbets", 11, "Gelatos de Leite com Fruta", 14, "Chocolate base água", 17, "Vegano", 20, "Alcoólicos", 23, "Zero", 26, "Gelatos Proteicos", 29, 8), 1)) + (ROUND(J452,4) &lt; INDEX('Tabela de ingredientes'!$O$1:$V$30, SWITCH(B452, "Gelatos de Leite", 7, "Sorbets", 10, "Gelatos de Leite com Fruta", 13, "Chocolate base água", 16, "Vegano", 19, "Alcoólicos", 22, "Zero", 25, "Gelatos Proteicos", 28, 7), 2)) + (ROUND(J452,4) &gt; INDEX('Tabela de ingredientes'!$O$1:$V$30, SWITCH(B452, "Gelatos de Leite", 8, "Sorbets", 11, "Gelatos de Leite com Fruta", 14, "Chocolate base água", 17, "Vegano", 20, "Alcoólicos", 23, "Zero", 26, "Gelatos Proteicos", 29, 8), 2)) + (ROUND(K452,4) &lt; INDEX('Tabela de ingredientes'!$O$1:$V$30, SWITCH(B452, "Gelatos de Leite", 7, "Sorbets", 10, "Gelatos de Leite com Fruta", 13, "Chocolate base água", 16, "Vegano", 19, "Alcoólicos", 22, "Zero", 25, "Gelatos Proteicos", 28, 7), 3)) + (ROUND(K452,4) &gt; INDEX('Tabela de ingredientes'!$O$1:$V$30, SWITCH(B452, "Gelatos de Leite", 8, "Sorbets", 11, "Gelatos de Leite com Fruta", 14, "Chocolate base água", 17, "Vegano", 20, "Alcoólicos", 23, "Zero", 26, "Gelatos Proteicos", 29, 8), 3)) + (ROUND(L452,4) &lt; INDEX('Tabela de ingredientes'!$O$1:$V$30, SWITCH(B452, "Gelatos de Leite", 7, "Sorbets", 10, "Gelatos de Leite com Fruta", 13, "Chocolate base água", 16, "Vegano", 19, "Alcoólicos", 22, "Zero", 25, "Gelatos Proteicos", 28, 7), 4)) + (ROUND(L452,4) &gt; INDEX('Tabela de ingredientes'!$O$1:$V$30, SWITCH(B452, "Gelatos de Leite", 8, "Sorbets", 11, "Gelatos de Leite com Fruta", 14, "Chocolate base água", 17, "Vegano", 20, "Alcoólicos", 23, "Zero", 26, "Gelatos Proteicos", 29, 8), 4)) + (ROUND(M452,4) &lt; INDEX('Tabela de ingredientes'!$O$1:$V$30, SWITCH(B452, "Gelatos de Leite", 7, "Sorbets", 10, "Gelatos de Leite com Fruta", 13, "Chocolate base água", 16, "Vegano", 19, "Alcoólicos", 22, "Zero", 25, "Gelatos Proteicos", 28, 7), 5)) + (ROUND(M452,4) &gt; INDEX('Tabela de ingredientes'!$O$1:$V$30, SWITCH(B452, "Gelatos de Leite", 8, "Sorbets", 11, "Gelatos de Leite com Fruta", 14, "Chocolate base água", 17, "Vegano", 20, "Alcoólicos", 23, "Zero", 26, "Gelatos Proteicos", 29, 8), 5)) + (ROUND(N452,4) &lt; INDEX('Tabela de ingredientes'!$O$1:$V$30, SWITCH(B452, "Gelatos de Leite", 7, "Sorbets", 10, "Gelatos de Leite com Fruta", 13, "Chocolate base água", 16, "Vegano", 19, "Alcoólicos", 22, "Zero", 25, "Gelatos Proteicos", 28, 7), 6)) + (ROUND(N452,4) &gt; INDEX('Tabela de ingredientes'!$O$1:$V$30, SWITCH(B452, "Gelatos de Leite", 8, "Sorbets", 11, "Gelatos de Leite com Fruta", 14, "Chocolate base água", 17, "Vegano", 20, "Alcoólicos", 23, "Zero", 26, "Gelatos Proteicos", 29, 8), 6)) + (ROUND(O452,4) &lt; INDEX('Tabela de ingredientes'!$O$1:$V$30, SWITCH(B452, "Gelatos de Leite", 7, "Sorbets", 10, "Gelatos de Leite com Fruta", 13, "Chocolate base água", 16, "Vegano", 19, "Alcoólicos", 22, "Zero", 25, "Gelatos Proteicos", 28, 7), 7)) + (ROUND(O452,4) &gt; INDEX('Tabela de ingredientes'!$O$1:$V$30, SWITCH(B452, "Gelatos de Leite", 8, "Sorbets", 11, "Gelatos de Leite com Fruta", 14, "Chocolate base água", 17, "Vegano", 20, "Alcoólicos", 23, "Zero", 26, "Gelatos Proteicos", 29, 8), 7)) + (ROUND(P452,4) &lt; INDEX('Tabela de ingredientes'!$O$1:$V$30, SWITCH(B452, "Gelatos de Leite", 7, "Sorbets", 10, "Gelatos de Leite com Fruta", 13, "Chocolate base água", 16, "Vegano", 19, "Alcoólicos", 22, "Zero", 25, "Gelatos Proteicos", 28, 7), 8)) + (ROUND(P452,4) &gt; INDEX('Tabela de ingredientes'!$O$1:$V$30, SWITCH(B452, "Gelatos de Leite", 8, "Sorbets", 11, "Gelatos de Leite com Fruta", 14, "Chocolate base água", 17, "Vegano", 20, "Alcoólicos", 23, "Zero", 26, "Gelatos Proteicos", 29, 8), 8)) + IF(B452="Gelatos Proteicos", (ROUND(Q452,4)&lt;'Tabela de ingredientes'!$W$28)+(ROUND(Q452,4)&gt;'Tabela de ingredientes'!$W$29), 0) = 0, "Ok", "Revisar"))</f>
        <v/>
      </c>
    </row>
    <row r="453">
      <c r="A453" s="264"/>
      <c r="B453" s="264" t="s">
        <v>187</v>
      </c>
      <c r="C453" s="264" t="s">
        <v>187</v>
      </c>
      <c r="D453" s="264" t="s">
        <v>187</v>
      </c>
      <c r="E453" s="264" t="s">
        <v>187</v>
      </c>
      <c r="F453" s="264" t="s">
        <v>187</v>
      </c>
      <c r="G453" s="264" t="s">
        <v>187</v>
      </c>
      <c r="H453" s="264" t="s">
        <v>187</v>
      </c>
      <c r="I453" s="264" t="s">
        <v>187</v>
      </c>
      <c r="J453" s="264" t="s">
        <v>187</v>
      </c>
      <c r="K453" s="264" t="s">
        <v>187</v>
      </c>
      <c r="L453" s="264" t="s">
        <v>187</v>
      </c>
      <c r="M453" s="264" t="s">
        <v>187</v>
      </c>
      <c r="N453" s="264" t="s">
        <v>187</v>
      </c>
      <c r="O453" s="264" t="s">
        <v>187</v>
      </c>
      <c r="P453" s="264" t="s">
        <v>187</v>
      </c>
      <c r="Q453" s="264" t="s">
        <v>187</v>
      </c>
      <c r="R453" s="264" t="s">
        <v>187</v>
      </c>
      <c r="S453" s="97" t="str">
        <f t="array" ref="S453">IF(A453="","", IF( (ROUND(I453,4) &lt; INDEX('Tabela de ingredientes'!$O$1:$V$30, SWITCH(B453, "Gelatos de Leite", 7, "Sorbets", 10, "Gelatos de Leite com Fruta", 13, "Chocolate base água", 16, "Vegano", 19, "Alcoólicos", 22, "Zero", 25, "Gelatos Proteicos", 28, 7), 1)) + (ROUND(I453,4) &gt; INDEX('Tabela de ingredientes'!$O$1:$V$30, SWITCH(B453, "Gelatos de Leite", 8, "Sorbets", 11, "Gelatos de Leite com Fruta", 14, "Chocolate base água", 17, "Vegano", 20, "Alcoólicos", 23, "Zero", 26, "Gelatos Proteicos", 29, 8), 1)) + (ROUND(J453,4) &lt; INDEX('Tabela de ingredientes'!$O$1:$V$30, SWITCH(B453, "Gelatos de Leite", 7, "Sorbets", 10, "Gelatos de Leite com Fruta", 13, "Chocolate base água", 16, "Vegano", 19, "Alcoólicos", 22, "Zero", 25, "Gelatos Proteicos", 28, 7), 2)) + (ROUND(J453,4) &gt; INDEX('Tabela de ingredientes'!$O$1:$V$30, SWITCH(B453, "Gelatos de Leite", 8, "Sorbets", 11, "Gelatos de Leite com Fruta", 14, "Chocolate base água", 17, "Vegano", 20, "Alcoólicos", 23, "Zero", 26, "Gelatos Proteicos", 29, 8), 2)) + (ROUND(K453,4) &lt; INDEX('Tabela de ingredientes'!$O$1:$V$30, SWITCH(B453, "Gelatos de Leite", 7, "Sorbets", 10, "Gelatos de Leite com Fruta", 13, "Chocolate base água", 16, "Vegano", 19, "Alcoólicos", 22, "Zero", 25, "Gelatos Proteicos", 28, 7), 3)) + (ROUND(K453,4) &gt; INDEX('Tabela de ingredientes'!$O$1:$V$30, SWITCH(B453, "Gelatos de Leite", 8, "Sorbets", 11, "Gelatos de Leite com Fruta", 14, "Chocolate base água", 17, "Vegano", 20, "Alcoólicos", 23, "Zero", 26, "Gelatos Proteicos", 29, 8), 3)) + (ROUND(L453,4) &lt; INDEX('Tabela de ingredientes'!$O$1:$V$30, SWITCH(B453, "Gelatos de Leite", 7, "Sorbets", 10, "Gelatos de Leite com Fruta", 13, "Chocolate base água", 16, "Vegano", 19, "Alcoólicos", 22, "Zero", 25, "Gelatos Proteicos", 28, 7), 4)) + (ROUND(L453,4) &gt; INDEX('Tabela de ingredientes'!$O$1:$V$30, SWITCH(B453, "Gelatos de Leite", 8, "Sorbets", 11, "Gelatos de Leite com Fruta", 14, "Chocolate base água", 17, "Vegano", 20, "Alcoólicos", 23, "Zero", 26, "Gelatos Proteicos", 29, 8), 4)) + (ROUND(M453,4) &lt; INDEX('Tabela de ingredientes'!$O$1:$V$30, SWITCH(B453, "Gelatos de Leite", 7, "Sorbets", 10, "Gelatos de Leite com Fruta", 13, "Chocolate base água", 16, "Vegano", 19, "Alcoólicos", 22, "Zero", 25, "Gelatos Proteicos", 28, 7), 5)) + (ROUND(M453,4) &gt; INDEX('Tabela de ingredientes'!$O$1:$V$30, SWITCH(B453, "Gelatos de Leite", 8, "Sorbets", 11, "Gelatos de Leite com Fruta", 14, "Chocolate base água", 17, "Vegano", 20, "Alcoólicos", 23, "Zero", 26, "Gelatos Proteicos", 29, 8), 5)) + (ROUND(N453,4) &lt; INDEX('Tabela de ingredientes'!$O$1:$V$30, SWITCH(B453, "Gelatos de Leite", 7, "Sorbets", 10, "Gelatos de Leite com Fruta", 13, "Chocolate base água", 16, "Vegano", 19, "Alcoólicos", 22, "Zero", 25, "Gelatos Proteicos", 28, 7), 6)) + (ROUND(N453,4) &gt; INDEX('Tabela de ingredientes'!$O$1:$V$30, SWITCH(B453, "Gelatos de Leite", 8, "Sorbets", 11, "Gelatos de Leite com Fruta", 14, "Chocolate base água", 17, "Vegano", 20, "Alcoólicos", 23, "Zero", 26, "Gelatos Proteicos", 29, 8), 6)) + (ROUND(O453,4) &lt; INDEX('Tabela de ingredientes'!$O$1:$V$30, SWITCH(B453, "Gelatos de Leite", 7, "Sorbets", 10, "Gelatos de Leite com Fruta", 13, "Chocolate base água", 16, "Vegano", 19, "Alcoólicos", 22, "Zero", 25, "Gelatos Proteicos", 28, 7), 7)) + (ROUND(O453,4) &gt; INDEX('Tabela de ingredientes'!$O$1:$V$30, SWITCH(B453, "Gelatos de Leite", 8, "Sorbets", 11, "Gelatos de Leite com Fruta", 14, "Chocolate base água", 17, "Vegano", 20, "Alcoólicos", 23, "Zero", 26, "Gelatos Proteicos", 29, 8), 7)) + (ROUND(P453,4) &lt; INDEX('Tabela de ingredientes'!$O$1:$V$30, SWITCH(B453, "Gelatos de Leite", 7, "Sorbets", 10, "Gelatos de Leite com Fruta", 13, "Chocolate base água", 16, "Vegano", 19, "Alcoólicos", 22, "Zero", 25, "Gelatos Proteicos", 28, 7), 8)) + (ROUND(P453,4) &gt; INDEX('Tabela de ingredientes'!$O$1:$V$30, SWITCH(B453, "Gelatos de Leite", 8, "Sorbets", 11, "Gelatos de Leite com Fruta", 14, "Chocolate base água", 17, "Vegano", 20, "Alcoólicos", 23, "Zero", 26, "Gelatos Proteicos", 29, 8), 8)) + IF(B453="Gelatos Proteicos", (ROUND(Q453,4)&lt;'Tabela de ingredientes'!$W$28)+(ROUND(Q453,4)&gt;'Tabela de ingredientes'!$W$29), 0) = 0, "Ok", "Revisar"))</f>
        <v/>
      </c>
    </row>
    <row r="454">
      <c r="A454" s="264"/>
      <c r="B454" s="264" t="s">
        <v>187</v>
      </c>
      <c r="C454" s="264" t="s">
        <v>187</v>
      </c>
      <c r="D454" s="264" t="s">
        <v>187</v>
      </c>
      <c r="E454" s="264" t="s">
        <v>187</v>
      </c>
      <c r="F454" s="264" t="s">
        <v>187</v>
      </c>
      <c r="G454" s="264" t="s">
        <v>187</v>
      </c>
      <c r="H454" s="264" t="s">
        <v>187</v>
      </c>
      <c r="I454" s="264" t="s">
        <v>187</v>
      </c>
      <c r="J454" s="264" t="s">
        <v>187</v>
      </c>
      <c r="K454" s="264" t="s">
        <v>187</v>
      </c>
      <c r="L454" s="264" t="s">
        <v>187</v>
      </c>
      <c r="M454" s="264" t="s">
        <v>187</v>
      </c>
      <c r="N454" s="264" t="s">
        <v>187</v>
      </c>
      <c r="O454" s="264" t="s">
        <v>187</v>
      </c>
      <c r="P454" s="264" t="s">
        <v>187</v>
      </c>
      <c r="Q454" s="264" t="s">
        <v>187</v>
      </c>
      <c r="R454" s="264" t="s">
        <v>187</v>
      </c>
      <c r="S454" s="97" t="str">
        <f t="array" ref="S454">IF(A454="","", IF( (ROUND(I454,4) &lt; INDEX('Tabela de ingredientes'!$O$1:$V$30, SWITCH(B454, "Gelatos de Leite", 7, "Sorbets", 10, "Gelatos de Leite com Fruta", 13, "Chocolate base água", 16, "Vegano", 19, "Alcoólicos", 22, "Zero", 25, "Gelatos Proteicos", 28, 7), 1)) + (ROUND(I454,4) &gt; INDEX('Tabela de ingredientes'!$O$1:$V$30, SWITCH(B454, "Gelatos de Leite", 8, "Sorbets", 11, "Gelatos de Leite com Fruta", 14, "Chocolate base água", 17, "Vegano", 20, "Alcoólicos", 23, "Zero", 26, "Gelatos Proteicos", 29, 8), 1)) + (ROUND(J454,4) &lt; INDEX('Tabela de ingredientes'!$O$1:$V$30, SWITCH(B454, "Gelatos de Leite", 7, "Sorbets", 10, "Gelatos de Leite com Fruta", 13, "Chocolate base água", 16, "Vegano", 19, "Alcoólicos", 22, "Zero", 25, "Gelatos Proteicos", 28, 7), 2)) + (ROUND(J454,4) &gt; INDEX('Tabela de ingredientes'!$O$1:$V$30, SWITCH(B454, "Gelatos de Leite", 8, "Sorbets", 11, "Gelatos de Leite com Fruta", 14, "Chocolate base água", 17, "Vegano", 20, "Alcoólicos", 23, "Zero", 26, "Gelatos Proteicos", 29, 8), 2)) + (ROUND(K454,4) &lt; INDEX('Tabela de ingredientes'!$O$1:$V$30, SWITCH(B454, "Gelatos de Leite", 7, "Sorbets", 10, "Gelatos de Leite com Fruta", 13, "Chocolate base água", 16, "Vegano", 19, "Alcoólicos", 22, "Zero", 25, "Gelatos Proteicos", 28, 7), 3)) + (ROUND(K454,4) &gt; INDEX('Tabela de ingredientes'!$O$1:$V$30, SWITCH(B454, "Gelatos de Leite", 8, "Sorbets", 11, "Gelatos de Leite com Fruta", 14, "Chocolate base água", 17, "Vegano", 20, "Alcoólicos", 23, "Zero", 26, "Gelatos Proteicos", 29, 8), 3)) + (ROUND(L454,4) &lt; INDEX('Tabela de ingredientes'!$O$1:$V$30, SWITCH(B454, "Gelatos de Leite", 7, "Sorbets", 10, "Gelatos de Leite com Fruta", 13, "Chocolate base água", 16, "Vegano", 19, "Alcoólicos", 22, "Zero", 25, "Gelatos Proteicos", 28, 7), 4)) + (ROUND(L454,4) &gt; INDEX('Tabela de ingredientes'!$O$1:$V$30, SWITCH(B454, "Gelatos de Leite", 8, "Sorbets", 11, "Gelatos de Leite com Fruta", 14, "Chocolate base água", 17, "Vegano", 20, "Alcoólicos", 23, "Zero", 26, "Gelatos Proteicos", 29, 8), 4)) + (ROUND(M454,4) &lt; INDEX('Tabela de ingredientes'!$O$1:$V$30, SWITCH(B454, "Gelatos de Leite", 7, "Sorbets", 10, "Gelatos de Leite com Fruta", 13, "Chocolate base água", 16, "Vegano", 19, "Alcoólicos", 22, "Zero", 25, "Gelatos Proteicos", 28, 7), 5)) + (ROUND(M454,4) &gt; INDEX('Tabela de ingredientes'!$O$1:$V$30, SWITCH(B454, "Gelatos de Leite", 8, "Sorbets", 11, "Gelatos de Leite com Fruta", 14, "Chocolate base água", 17, "Vegano", 20, "Alcoólicos", 23, "Zero", 26, "Gelatos Proteicos", 29, 8), 5)) + (ROUND(N454,4) &lt; INDEX('Tabela de ingredientes'!$O$1:$V$30, SWITCH(B454, "Gelatos de Leite", 7, "Sorbets", 10, "Gelatos de Leite com Fruta", 13, "Chocolate base água", 16, "Vegano", 19, "Alcoólicos", 22, "Zero", 25, "Gelatos Proteicos", 28, 7), 6)) + (ROUND(N454,4) &gt; INDEX('Tabela de ingredientes'!$O$1:$V$30, SWITCH(B454, "Gelatos de Leite", 8, "Sorbets", 11, "Gelatos de Leite com Fruta", 14, "Chocolate base água", 17, "Vegano", 20, "Alcoólicos", 23, "Zero", 26, "Gelatos Proteicos", 29, 8), 6)) + (ROUND(O454,4) &lt; INDEX('Tabela de ingredientes'!$O$1:$V$30, SWITCH(B454, "Gelatos de Leite", 7, "Sorbets", 10, "Gelatos de Leite com Fruta", 13, "Chocolate base água", 16, "Vegano", 19, "Alcoólicos", 22, "Zero", 25, "Gelatos Proteicos", 28, 7), 7)) + (ROUND(O454,4) &gt; INDEX('Tabela de ingredientes'!$O$1:$V$30, SWITCH(B454, "Gelatos de Leite", 8, "Sorbets", 11, "Gelatos de Leite com Fruta", 14, "Chocolate base água", 17, "Vegano", 20, "Alcoólicos", 23, "Zero", 26, "Gelatos Proteicos", 29, 8), 7)) + (ROUND(P454,4) &lt; INDEX('Tabela de ingredientes'!$O$1:$V$30, SWITCH(B454, "Gelatos de Leite", 7, "Sorbets", 10, "Gelatos de Leite com Fruta", 13, "Chocolate base água", 16, "Vegano", 19, "Alcoólicos", 22, "Zero", 25, "Gelatos Proteicos", 28, 7), 8)) + (ROUND(P454,4) &gt; INDEX('Tabela de ingredientes'!$O$1:$V$30, SWITCH(B454, "Gelatos de Leite", 8, "Sorbets", 11, "Gelatos de Leite com Fruta", 14, "Chocolate base água", 17, "Vegano", 20, "Alcoólicos", 23, "Zero", 26, "Gelatos Proteicos", 29, 8), 8)) + IF(B454="Gelatos Proteicos", (ROUND(Q454,4)&lt;'Tabela de ingredientes'!$W$28)+(ROUND(Q454,4)&gt;'Tabela de ingredientes'!$W$29), 0) = 0, "Ok", "Revisar"))</f>
        <v/>
      </c>
    </row>
    <row r="455">
      <c r="A455" s="264"/>
      <c r="B455" s="264" t="s">
        <v>187</v>
      </c>
      <c r="C455" s="264" t="s">
        <v>187</v>
      </c>
      <c r="D455" s="264" t="s">
        <v>187</v>
      </c>
      <c r="E455" s="264" t="s">
        <v>187</v>
      </c>
      <c r="F455" s="264" t="s">
        <v>187</v>
      </c>
      <c r="G455" s="264" t="s">
        <v>187</v>
      </c>
      <c r="H455" s="264" t="s">
        <v>187</v>
      </c>
      <c r="I455" s="264" t="s">
        <v>187</v>
      </c>
      <c r="J455" s="264" t="s">
        <v>187</v>
      </c>
      <c r="K455" s="264" t="s">
        <v>187</v>
      </c>
      <c r="L455" s="264" t="s">
        <v>187</v>
      </c>
      <c r="M455" s="264" t="s">
        <v>187</v>
      </c>
      <c r="N455" s="264" t="s">
        <v>187</v>
      </c>
      <c r="O455" s="264" t="s">
        <v>187</v>
      </c>
      <c r="P455" s="264" t="s">
        <v>187</v>
      </c>
      <c r="Q455" s="264" t="s">
        <v>187</v>
      </c>
      <c r="R455" s="264" t="s">
        <v>187</v>
      </c>
      <c r="S455" s="97" t="str">
        <f t="array" ref="S455">IF(A455="","", IF( (ROUND(I455,4) &lt; INDEX('Tabela de ingredientes'!$O$1:$V$30, SWITCH(B455, "Gelatos de Leite", 7, "Sorbets", 10, "Gelatos de Leite com Fruta", 13, "Chocolate base água", 16, "Vegano", 19, "Alcoólicos", 22, "Zero", 25, "Gelatos Proteicos", 28, 7), 1)) + (ROUND(I455,4) &gt; INDEX('Tabela de ingredientes'!$O$1:$V$30, SWITCH(B455, "Gelatos de Leite", 8, "Sorbets", 11, "Gelatos de Leite com Fruta", 14, "Chocolate base água", 17, "Vegano", 20, "Alcoólicos", 23, "Zero", 26, "Gelatos Proteicos", 29, 8), 1)) + (ROUND(J455,4) &lt; INDEX('Tabela de ingredientes'!$O$1:$V$30, SWITCH(B455, "Gelatos de Leite", 7, "Sorbets", 10, "Gelatos de Leite com Fruta", 13, "Chocolate base água", 16, "Vegano", 19, "Alcoólicos", 22, "Zero", 25, "Gelatos Proteicos", 28, 7), 2)) + (ROUND(J455,4) &gt; INDEX('Tabela de ingredientes'!$O$1:$V$30, SWITCH(B455, "Gelatos de Leite", 8, "Sorbets", 11, "Gelatos de Leite com Fruta", 14, "Chocolate base água", 17, "Vegano", 20, "Alcoólicos", 23, "Zero", 26, "Gelatos Proteicos", 29, 8), 2)) + (ROUND(K455,4) &lt; INDEX('Tabela de ingredientes'!$O$1:$V$30, SWITCH(B455, "Gelatos de Leite", 7, "Sorbets", 10, "Gelatos de Leite com Fruta", 13, "Chocolate base água", 16, "Vegano", 19, "Alcoólicos", 22, "Zero", 25, "Gelatos Proteicos", 28, 7), 3)) + (ROUND(K455,4) &gt; INDEX('Tabela de ingredientes'!$O$1:$V$30, SWITCH(B455, "Gelatos de Leite", 8, "Sorbets", 11, "Gelatos de Leite com Fruta", 14, "Chocolate base água", 17, "Vegano", 20, "Alcoólicos", 23, "Zero", 26, "Gelatos Proteicos", 29, 8), 3)) + (ROUND(L455,4) &lt; INDEX('Tabela de ingredientes'!$O$1:$V$30, SWITCH(B455, "Gelatos de Leite", 7, "Sorbets", 10, "Gelatos de Leite com Fruta", 13, "Chocolate base água", 16, "Vegano", 19, "Alcoólicos", 22, "Zero", 25, "Gelatos Proteicos", 28, 7), 4)) + (ROUND(L455,4) &gt; INDEX('Tabela de ingredientes'!$O$1:$V$30, SWITCH(B455, "Gelatos de Leite", 8, "Sorbets", 11, "Gelatos de Leite com Fruta", 14, "Chocolate base água", 17, "Vegano", 20, "Alcoólicos", 23, "Zero", 26, "Gelatos Proteicos", 29, 8), 4)) + (ROUND(M455,4) &lt; INDEX('Tabela de ingredientes'!$O$1:$V$30, SWITCH(B455, "Gelatos de Leite", 7, "Sorbets", 10, "Gelatos de Leite com Fruta", 13, "Chocolate base água", 16, "Vegano", 19, "Alcoólicos", 22, "Zero", 25, "Gelatos Proteicos", 28, 7), 5)) + (ROUND(M455,4) &gt; INDEX('Tabela de ingredientes'!$O$1:$V$30, SWITCH(B455, "Gelatos de Leite", 8, "Sorbets", 11, "Gelatos de Leite com Fruta", 14, "Chocolate base água", 17, "Vegano", 20, "Alcoólicos", 23, "Zero", 26, "Gelatos Proteicos", 29, 8), 5)) + (ROUND(N455,4) &lt; INDEX('Tabela de ingredientes'!$O$1:$V$30, SWITCH(B455, "Gelatos de Leite", 7, "Sorbets", 10, "Gelatos de Leite com Fruta", 13, "Chocolate base água", 16, "Vegano", 19, "Alcoólicos", 22, "Zero", 25, "Gelatos Proteicos", 28, 7), 6)) + (ROUND(N455,4) &gt; INDEX('Tabela de ingredientes'!$O$1:$V$30, SWITCH(B455, "Gelatos de Leite", 8, "Sorbets", 11, "Gelatos de Leite com Fruta", 14, "Chocolate base água", 17, "Vegano", 20, "Alcoólicos", 23, "Zero", 26, "Gelatos Proteicos", 29, 8), 6)) + (ROUND(O455,4) &lt; INDEX('Tabela de ingredientes'!$O$1:$V$30, SWITCH(B455, "Gelatos de Leite", 7, "Sorbets", 10, "Gelatos de Leite com Fruta", 13, "Chocolate base água", 16, "Vegano", 19, "Alcoólicos", 22, "Zero", 25, "Gelatos Proteicos", 28, 7), 7)) + (ROUND(O455,4) &gt; INDEX('Tabela de ingredientes'!$O$1:$V$30, SWITCH(B455, "Gelatos de Leite", 8, "Sorbets", 11, "Gelatos de Leite com Fruta", 14, "Chocolate base água", 17, "Vegano", 20, "Alcoólicos", 23, "Zero", 26, "Gelatos Proteicos", 29, 8), 7)) + (ROUND(P455,4) &lt; INDEX('Tabela de ingredientes'!$O$1:$V$30, SWITCH(B455, "Gelatos de Leite", 7, "Sorbets", 10, "Gelatos de Leite com Fruta", 13, "Chocolate base água", 16, "Vegano", 19, "Alcoólicos", 22, "Zero", 25, "Gelatos Proteicos", 28, 7), 8)) + (ROUND(P455,4) &gt; INDEX('Tabela de ingredientes'!$O$1:$V$30, SWITCH(B455, "Gelatos de Leite", 8, "Sorbets", 11, "Gelatos de Leite com Fruta", 14, "Chocolate base água", 17, "Vegano", 20, "Alcoólicos", 23, "Zero", 26, "Gelatos Proteicos", 29, 8), 8)) + IF(B455="Gelatos Proteicos", (ROUND(Q455,4)&lt;'Tabela de ingredientes'!$W$28)+(ROUND(Q455,4)&gt;'Tabela de ingredientes'!$W$29), 0) = 0, "Ok", "Revisar"))</f>
        <v/>
      </c>
    </row>
    <row r="456">
      <c r="A456" s="264"/>
      <c r="B456" s="264" t="s">
        <v>187</v>
      </c>
      <c r="C456" s="264" t="s">
        <v>187</v>
      </c>
      <c r="D456" s="264" t="s">
        <v>187</v>
      </c>
      <c r="E456" s="264" t="s">
        <v>187</v>
      </c>
      <c r="F456" s="264" t="s">
        <v>187</v>
      </c>
      <c r="G456" s="264" t="s">
        <v>187</v>
      </c>
      <c r="H456" s="264" t="s">
        <v>187</v>
      </c>
      <c r="I456" s="264" t="s">
        <v>187</v>
      </c>
      <c r="J456" s="264" t="s">
        <v>187</v>
      </c>
      <c r="K456" s="264" t="s">
        <v>187</v>
      </c>
      <c r="L456" s="264" t="s">
        <v>187</v>
      </c>
      <c r="M456" s="264" t="s">
        <v>187</v>
      </c>
      <c r="N456" s="264" t="s">
        <v>187</v>
      </c>
      <c r="O456" s="264" t="s">
        <v>187</v>
      </c>
      <c r="P456" s="264" t="s">
        <v>187</v>
      </c>
      <c r="Q456" s="264" t="s">
        <v>187</v>
      </c>
      <c r="R456" s="264" t="s">
        <v>187</v>
      </c>
      <c r="S456" s="97" t="str">
        <f t="array" ref="S456">IF(A456="","", IF( (ROUND(I456,4) &lt; INDEX('Tabela de ingredientes'!$O$1:$V$30, SWITCH(B456, "Gelatos de Leite", 7, "Sorbets", 10, "Gelatos de Leite com Fruta", 13, "Chocolate base água", 16, "Vegano", 19, "Alcoólicos", 22, "Zero", 25, "Gelatos Proteicos", 28, 7), 1)) + (ROUND(I456,4) &gt; INDEX('Tabela de ingredientes'!$O$1:$V$30, SWITCH(B456, "Gelatos de Leite", 8, "Sorbets", 11, "Gelatos de Leite com Fruta", 14, "Chocolate base água", 17, "Vegano", 20, "Alcoólicos", 23, "Zero", 26, "Gelatos Proteicos", 29, 8), 1)) + (ROUND(J456,4) &lt; INDEX('Tabela de ingredientes'!$O$1:$V$30, SWITCH(B456, "Gelatos de Leite", 7, "Sorbets", 10, "Gelatos de Leite com Fruta", 13, "Chocolate base água", 16, "Vegano", 19, "Alcoólicos", 22, "Zero", 25, "Gelatos Proteicos", 28, 7), 2)) + (ROUND(J456,4) &gt; INDEX('Tabela de ingredientes'!$O$1:$V$30, SWITCH(B456, "Gelatos de Leite", 8, "Sorbets", 11, "Gelatos de Leite com Fruta", 14, "Chocolate base água", 17, "Vegano", 20, "Alcoólicos", 23, "Zero", 26, "Gelatos Proteicos", 29, 8), 2)) + (ROUND(K456,4) &lt; INDEX('Tabela de ingredientes'!$O$1:$V$30, SWITCH(B456, "Gelatos de Leite", 7, "Sorbets", 10, "Gelatos de Leite com Fruta", 13, "Chocolate base água", 16, "Vegano", 19, "Alcoólicos", 22, "Zero", 25, "Gelatos Proteicos", 28, 7), 3)) + (ROUND(K456,4) &gt; INDEX('Tabela de ingredientes'!$O$1:$V$30, SWITCH(B456, "Gelatos de Leite", 8, "Sorbets", 11, "Gelatos de Leite com Fruta", 14, "Chocolate base água", 17, "Vegano", 20, "Alcoólicos", 23, "Zero", 26, "Gelatos Proteicos", 29, 8), 3)) + (ROUND(L456,4) &lt; INDEX('Tabela de ingredientes'!$O$1:$V$30, SWITCH(B456, "Gelatos de Leite", 7, "Sorbets", 10, "Gelatos de Leite com Fruta", 13, "Chocolate base água", 16, "Vegano", 19, "Alcoólicos", 22, "Zero", 25, "Gelatos Proteicos", 28, 7), 4)) + (ROUND(L456,4) &gt; INDEX('Tabela de ingredientes'!$O$1:$V$30, SWITCH(B456, "Gelatos de Leite", 8, "Sorbets", 11, "Gelatos de Leite com Fruta", 14, "Chocolate base água", 17, "Vegano", 20, "Alcoólicos", 23, "Zero", 26, "Gelatos Proteicos", 29, 8), 4)) + (ROUND(M456,4) &lt; INDEX('Tabela de ingredientes'!$O$1:$V$30, SWITCH(B456, "Gelatos de Leite", 7, "Sorbets", 10, "Gelatos de Leite com Fruta", 13, "Chocolate base água", 16, "Vegano", 19, "Alcoólicos", 22, "Zero", 25, "Gelatos Proteicos", 28, 7), 5)) + (ROUND(M456,4) &gt; INDEX('Tabela de ingredientes'!$O$1:$V$30, SWITCH(B456, "Gelatos de Leite", 8, "Sorbets", 11, "Gelatos de Leite com Fruta", 14, "Chocolate base água", 17, "Vegano", 20, "Alcoólicos", 23, "Zero", 26, "Gelatos Proteicos", 29, 8), 5)) + (ROUND(N456,4) &lt; INDEX('Tabela de ingredientes'!$O$1:$V$30, SWITCH(B456, "Gelatos de Leite", 7, "Sorbets", 10, "Gelatos de Leite com Fruta", 13, "Chocolate base água", 16, "Vegano", 19, "Alcoólicos", 22, "Zero", 25, "Gelatos Proteicos", 28, 7), 6)) + (ROUND(N456,4) &gt; INDEX('Tabela de ingredientes'!$O$1:$V$30, SWITCH(B456, "Gelatos de Leite", 8, "Sorbets", 11, "Gelatos de Leite com Fruta", 14, "Chocolate base água", 17, "Vegano", 20, "Alcoólicos", 23, "Zero", 26, "Gelatos Proteicos", 29, 8), 6)) + (ROUND(O456,4) &lt; INDEX('Tabela de ingredientes'!$O$1:$V$30, SWITCH(B456, "Gelatos de Leite", 7, "Sorbets", 10, "Gelatos de Leite com Fruta", 13, "Chocolate base água", 16, "Vegano", 19, "Alcoólicos", 22, "Zero", 25, "Gelatos Proteicos", 28, 7), 7)) + (ROUND(O456,4) &gt; INDEX('Tabela de ingredientes'!$O$1:$V$30, SWITCH(B456, "Gelatos de Leite", 8, "Sorbets", 11, "Gelatos de Leite com Fruta", 14, "Chocolate base água", 17, "Vegano", 20, "Alcoólicos", 23, "Zero", 26, "Gelatos Proteicos", 29, 8), 7)) + (ROUND(P456,4) &lt; INDEX('Tabela de ingredientes'!$O$1:$V$30, SWITCH(B456, "Gelatos de Leite", 7, "Sorbets", 10, "Gelatos de Leite com Fruta", 13, "Chocolate base água", 16, "Vegano", 19, "Alcoólicos", 22, "Zero", 25, "Gelatos Proteicos", 28, 7), 8)) + (ROUND(P456,4) &gt; INDEX('Tabela de ingredientes'!$O$1:$V$30, SWITCH(B456, "Gelatos de Leite", 8, "Sorbets", 11, "Gelatos de Leite com Fruta", 14, "Chocolate base água", 17, "Vegano", 20, "Alcoólicos", 23, "Zero", 26, "Gelatos Proteicos", 29, 8), 8)) + IF(B456="Gelatos Proteicos", (ROUND(Q456,4)&lt;'Tabela de ingredientes'!$W$28)+(ROUND(Q456,4)&gt;'Tabela de ingredientes'!$W$29), 0) = 0, "Ok", "Revisar"))</f>
        <v/>
      </c>
    </row>
    <row r="457">
      <c r="A457" s="264"/>
      <c r="B457" s="264" t="s">
        <v>187</v>
      </c>
      <c r="C457" s="264" t="s">
        <v>187</v>
      </c>
      <c r="D457" s="264" t="s">
        <v>187</v>
      </c>
      <c r="E457" s="264" t="s">
        <v>187</v>
      </c>
      <c r="F457" s="264" t="s">
        <v>187</v>
      </c>
      <c r="G457" s="264" t="s">
        <v>187</v>
      </c>
      <c r="H457" s="264" t="s">
        <v>187</v>
      </c>
      <c r="I457" s="264" t="s">
        <v>187</v>
      </c>
      <c r="J457" s="264" t="s">
        <v>187</v>
      </c>
      <c r="K457" s="264" t="s">
        <v>187</v>
      </c>
      <c r="L457" s="264" t="s">
        <v>187</v>
      </c>
      <c r="M457" s="264" t="s">
        <v>187</v>
      </c>
      <c r="N457" s="264" t="s">
        <v>187</v>
      </c>
      <c r="O457" s="264" t="s">
        <v>187</v>
      </c>
      <c r="P457" s="264" t="s">
        <v>187</v>
      </c>
      <c r="Q457" s="264" t="s">
        <v>187</v>
      </c>
      <c r="R457" s="264" t="s">
        <v>187</v>
      </c>
      <c r="S457" s="97" t="str">
        <f t="array" ref="S457">IF(A457="","", IF( (ROUND(I457,4) &lt; INDEX('Tabela de ingredientes'!$O$1:$V$30, SWITCH(B457, "Gelatos de Leite", 7, "Sorbets", 10, "Gelatos de Leite com Fruta", 13, "Chocolate base água", 16, "Vegano", 19, "Alcoólicos", 22, "Zero", 25, "Gelatos Proteicos", 28, 7), 1)) + (ROUND(I457,4) &gt; INDEX('Tabela de ingredientes'!$O$1:$V$30, SWITCH(B457, "Gelatos de Leite", 8, "Sorbets", 11, "Gelatos de Leite com Fruta", 14, "Chocolate base água", 17, "Vegano", 20, "Alcoólicos", 23, "Zero", 26, "Gelatos Proteicos", 29, 8), 1)) + (ROUND(J457,4) &lt; INDEX('Tabela de ingredientes'!$O$1:$V$30, SWITCH(B457, "Gelatos de Leite", 7, "Sorbets", 10, "Gelatos de Leite com Fruta", 13, "Chocolate base água", 16, "Vegano", 19, "Alcoólicos", 22, "Zero", 25, "Gelatos Proteicos", 28, 7), 2)) + (ROUND(J457,4) &gt; INDEX('Tabela de ingredientes'!$O$1:$V$30, SWITCH(B457, "Gelatos de Leite", 8, "Sorbets", 11, "Gelatos de Leite com Fruta", 14, "Chocolate base água", 17, "Vegano", 20, "Alcoólicos", 23, "Zero", 26, "Gelatos Proteicos", 29, 8), 2)) + (ROUND(K457,4) &lt; INDEX('Tabela de ingredientes'!$O$1:$V$30, SWITCH(B457, "Gelatos de Leite", 7, "Sorbets", 10, "Gelatos de Leite com Fruta", 13, "Chocolate base água", 16, "Vegano", 19, "Alcoólicos", 22, "Zero", 25, "Gelatos Proteicos", 28, 7), 3)) + (ROUND(K457,4) &gt; INDEX('Tabela de ingredientes'!$O$1:$V$30, SWITCH(B457, "Gelatos de Leite", 8, "Sorbets", 11, "Gelatos de Leite com Fruta", 14, "Chocolate base água", 17, "Vegano", 20, "Alcoólicos", 23, "Zero", 26, "Gelatos Proteicos", 29, 8), 3)) + (ROUND(L457,4) &lt; INDEX('Tabela de ingredientes'!$O$1:$V$30, SWITCH(B457, "Gelatos de Leite", 7, "Sorbets", 10, "Gelatos de Leite com Fruta", 13, "Chocolate base água", 16, "Vegano", 19, "Alcoólicos", 22, "Zero", 25, "Gelatos Proteicos", 28, 7), 4)) + (ROUND(L457,4) &gt; INDEX('Tabela de ingredientes'!$O$1:$V$30, SWITCH(B457, "Gelatos de Leite", 8, "Sorbets", 11, "Gelatos de Leite com Fruta", 14, "Chocolate base água", 17, "Vegano", 20, "Alcoólicos", 23, "Zero", 26, "Gelatos Proteicos", 29, 8), 4)) + (ROUND(M457,4) &lt; INDEX('Tabela de ingredientes'!$O$1:$V$30, SWITCH(B457, "Gelatos de Leite", 7, "Sorbets", 10, "Gelatos de Leite com Fruta", 13, "Chocolate base água", 16, "Vegano", 19, "Alcoólicos", 22, "Zero", 25, "Gelatos Proteicos", 28, 7), 5)) + (ROUND(M457,4) &gt; INDEX('Tabela de ingredientes'!$O$1:$V$30, SWITCH(B457, "Gelatos de Leite", 8, "Sorbets", 11, "Gelatos de Leite com Fruta", 14, "Chocolate base água", 17, "Vegano", 20, "Alcoólicos", 23, "Zero", 26, "Gelatos Proteicos", 29, 8), 5)) + (ROUND(N457,4) &lt; INDEX('Tabela de ingredientes'!$O$1:$V$30, SWITCH(B457, "Gelatos de Leite", 7, "Sorbets", 10, "Gelatos de Leite com Fruta", 13, "Chocolate base água", 16, "Vegano", 19, "Alcoólicos", 22, "Zero", 25, "Gelatos Proteicos", 28, 7), 6)) + (ROUND(N457,4) &gt; INDEX('Tabela de ingredientes'!$O$1:$V$30, SWITCH(B457, "Gelatos de Leite", 8, "Sorbets", 11, "Gelatos de Leite com Fruta", 14, "Chocolate base água", 17, "Vegano", 20, "Alcoólicos", 23, "Zero", 26, "Gelatos Proteicos", 29, 8), 6)) + (ROUND(O457,4) &lt; INDEX('Tabela de ingredientes'!$O$1:$V$30, SWITCH(B457, "Gelatos de Leite", 7, "Sorbets", 10, "Gelatos de Leite com Fruta", 13, "Chocolate base água", 16, "Vegano", 19, "Alcoólicos", 22, "Zero", 25, "Gelatos Proteicos", 28, 7), 7)) + (ROUND(O457,4) &gt; INDEX('Tabela de ingredientes'!$O$1:$V$30, SWITCH(B457, "Gelatos de Leite", 8, "Sorbets", 11, "Gelatos de Leite com Fruta", 14, "Chocolate base água", 17, "Vegano", 20, "Alcoólicos", 23, "Zero", 26, "Gelatos Proteicos", 29, 8), 7)) + (ROUND(P457,4) &lt; INDEX('Tabela de ingredientes'!$O$1:$V$30, SWITCH(B457, "Gelatos de Leite", 7, "Sorbets", 10, "Gelatos de Leite com Fruta", 13, "Chocolate base água", 16, "Vegano", 19, "Alcoólicos", 22, "Zero", 25, "Gelatos Proteicos", 28, 7), 8)) + (ROUND(P457,4) &gt; INDEX('Tabela de ingredientes'!$O$1:$V$30, SWITCH(B457, "Gelatos de Leite", 8, "Sorbets", 11, "Gelatos de Leite com Fruta", 14, "Chocolate base água", 17, "Vegano", 20, "Alcoólicos", 23, "Zero", 26, "Gelatos Proteicos", 29, 8), 8)) + IF(B457="Gelatos Proteicos", (ROUND(Q457,4)&lt;'Tabela de ingredientes'!$W$28)+(ROUND(Q457,4)&gt;'Tabela de ingredientes'!$W$29), 0) = 0, "Ok", "Revisar"))</f>
        <v/>
      </c>
    </row>
    <row r="458">
      <c r="A458" s="264"/>
      <c r="B458" s="264" t="s">
        <v>187</v>
      </c>
      <c r="C458" s="264" t="s">
        <v>187</v>
      </c>
      <c r="D458" s="264" t="s">
        <v>187</v>
      </c>
      <c r="E458" s="264" t="s">
        <v>187</v>
      </c>
      <c r="F458" s="264" t="s">
        <v>187</v>
      </c>
      <c r="G458" s="264" t="s">
        <v>187</v>
      </c>
      <c r="H458" s="264" t="s">
        <v>187</v>
      </c>
      <c r="I458" s="264" t="s">
        <v>187</v>
      </c>
      <c r="J458" s="264" t="s">
        <v>187</v>
      </c>
      <c r="K458" s="264" t="s">
        <v>187</v>
      </c>
      <c r="L458" s="264" t="s">
        <v>187</v>
      </c>
      <c r="M458" s="264" t="s">
        <v>187</v>
      </c>
      <c r="N458" s="264" t="s">
        <v>187</v>
      </c>
      <c r="O458" s="264" t="s">
        <v>187</v>
      </c>
      <c r="P458" s="264" t="s">
        <v>187</v>
      </c>
      <c r="Q458" s="264" t="s">
        <v>187</v>
      </c>
      <c r="R458" s="264" t="s">
        <v>187</v>
      </c>
      <c r="S458" s="97" t="str">
        <f t="array" ref="S458">IF(A458="","", IF( (ROUND(I458,4) &lt; INDEX('Tabela de ingredientes'!$O$1:$V$30, SWITCH(B458, "Gelatos de Leite", 7, "Sorbets", 10, "Gelatos de Leite com Fruta", 13, "Chocolate base água", 16, "Vegano", 19, "Alcoólicos", 22, "Zero", 25, "Gelatos Proteicos", 28, 7), 1)) + (ROUND(I458,4) &gt; INDEX('Tabela de ingredientes'!$O$1:$V$30, SWITCH(B458, "Gelatos de Leite", 8, "Sorbets", 11, "Gelatos de Leite com Fruta", 14, "Chocolate base água", 17, "Vegano", 20, "Alcoólicos", 23, "Zero", 26, "Gelatos Proteicos", 29, 8), 1)) + (ROUND(J458,4) &lt; INDEX('Tabela de ingredientes'!$O$1:$V$30, SWITCH(B458, "Gelatos de Leite", 7, "Sorbets", 10, "Gelatos de Leite com Fruta", 13, "Chocolate base água", 16, "Vegano", 19, "Alcoólicos", 22, "Zero", 25, "Gelatos Proteicos", 28, 7), 2)) + (ROUND(J458,4) &gt; INDEX('Tabela de ingredientes'!$O$1:$V$30, SWITCH(B458, "Gelatos de Leite", 8, "Sorbets", 11, "Gelatos de Leite com Fruta", 14, "Chocolate base água", 17, "Vegano", 20, "Alcoólicos", 23, "Zero", 26, "Gelatos Proteicos", 29, 8), 2)) + (ROUND(K458,4) &lt; INDEX('Tabela de ingredientes'!$O$1:$V$30, SWITCH(B458, "Gelatos de Leite", 7, "Sorbets", 10, "Gelatos de Leite com Fruta", 13, "Chocolate base água", 16, "Vegano", 19, "Alcoólicos", 22, "Zero", 25, "Gelatos Proteicos", 28, 7), 3)) + (ROUND(K458,4) &gt; INDEX('Tabela de ingredientes'!$O$1:$V$30, SWITCH(B458, "Gelatos de Leite", 8, "Sorbets", 11, "Gelatos de Leite com Fruta", 14, "Chocolate base água", 17, "Vegano", 20, "Alcoólicos", 23, "Zero", 26, "Gelatos Proteicos", 29, 8), 3)) + (ROUND(L458,4) &lt; INDEX('Tabela de ingredientes'!$O$1:$V$30, SWITCH(B458, "Gelatos de Leite", 7, "Sorbets", 10, "Gelatos de Leite com Fruta", 13, "Chocolate base água", 16, "Vegano", 19, "Alcoólicos", 22, "Zero", 25, "Gelatos Proteicos", 28, 7), 4)) + (ROUND(L458,4) &gt; INDEX('Tabela de ingredientes'!$O$1:$V$30, SWITCH(B458, "Gelatos de Leite", 8, "Sorbets", 11, "Gelatos de Leite com Fruta", 14, "Chocolate base água", 17, "Vegano", 20, "Alcoólicos", 23, "Zero", 26, "Gelatos Proteicos", 29, 8), 4)) + (ROUND(M458,4) &lt; INDEX('Tabela de ingredientes'!$O$1:$V$30, SWITCH(B458, "Gelatos de Leite", 7, "Sorbets", 10, "Gelatos de Leite com Fruta", 13, "Chocolate base água", 16, "Vegano", 19, "Alcoólicos", 22, "Zero", 25, "Gelatos Proteicos", 28, 7), 5)) + (ROUND(M458,4) &gt; INDEX('Tabela de ingredientes'!$O$1:$V$30, SWITCH(B458, "Gelatos de Leite", 8, "Sorbets", 11, "Gelatos de Leite com Fruta", 14, "Chocolate base água", 17, "Vegano", 20, "Alcoólicos", 23, "Zero", 26, "Gelatos Proteicos", 29, 8), 5)) + (ROUND(N458,4) &lt; INDEX('Tabela de ingredientes'!$O$1:$V$30, SWITCH(B458, "Gelatos de Leite", 7, "Sorbets", 10, "Gelatos de Leite com Fruta", 13, "Chocolate base água", 16, "Vegano", 19, "Alcoólicos", 22, "Zero", 25, "Gelatos Proteicos", 28, 7), 6)) + (ROUND(N458,4) &gt; INDEX('Tabela de ingredientes'!$O$1:$V$30, SWITCH(B458, "Gelatos de Leite", 8, "Sorbets", 11, "Gelatos de Leite com Fruta", 14, "Chocolate base água", 17, "Vegano", 20, "Alcoólicos", 23, "Zero", 26, "Gelatos Proteicos", 29, 8), 6)) + (ROUND(O458,4) &lt; INDEX('Tabela de ingredientes'!$O$1:$V$30, SWITCH(B458, "Gelatos de Leite", 7, "Sorbets", 10, "Gelatos de Leite com Fruta", 13, "Chocolate base água", 16, "Vegano", 19, "Alcoólicos", 22, "Zero", 25, "Gelatos Proteicos", 28, 7), 7)) + (ROUND(O458,4) &gt; INDEX('Tabela de ingredientes'!$O$1:$V$30, SWITCH(B458, "Gelatos de Leite", 8, "Sorbets", 11, "Gelatos de Leite com Fruta", 14, "Chocolate base água", 17, "Vegano", 20, "Alcoólicos", 23, "Zero", 26, "Gelatos Proteicos", 29, 8), 7)) + (ROUND(P458,4) &lt; INDEX('Tabela de ingredientes'!$O$1:$V$30, SWITCH(B458, "Gelatos de Leite", 7, "Sorbets", 10, "Gelatos de Leite com Fruta", 13, "Chocolate base água", 16, "Vegano", 19, "Alcoólicos", 22, "Zero", 25, "Gelatos Proteicos", 28, 7), 8)) + (ROUND(P458,4) &gt; INDEX('Tabela de ingredientes'!$O$1:$V$30, SWITCH(B458, "Gelatos de Leite", 8, "Sorbets", 11, "Gelatos de Leite com Fruta", 14, "Chocolate base água", 17, "Vegano", 20, "Alcoólicos", 23, "Zero", 26, "Gelatos Proteicos", 29, 8), 8)) + IF(B458="Gelatos Proteicos", (ROUND(Q458,4)&lt;'Tabela de ingredientes'!$W$28)+(ROUND(Q458,4)&gt;'Tabela de ingredientes'!$W$29), 0) = 0, "Ok", "Revisar"))</f>
        <v/>
      </c>
    </row>
    <row r="459">
      <c r="A459" s="264"/>
      <c r="B459" s="264" t="s">
        <v>187</v>
      </c>
      <c r="C459" s="264" t="s">
        <v>187</v>
      </c>
      <c r="D459" s="264" t="s">
        <v>187</v>
      </c>
      <c r="E459" s="264" t="s">
        <v>187</v>
      </c>
      <c r="F459" s="264" t="s">
        <v>187</v>
      </c>
      <c r="G459" s="264" t="s">
        <v>187</v>
      </c>
      <c r="H459" s="264" t="s">
        <v>187</v>
      </c>
      <c r="I459" s="264" t="s">
        <v>187</v>
      </c>
      <c r="J459" s="264" t="s">
        <v>187</v>
      </c>
      <c r="K459" s="264" t="s">
        <v>187</v>
      </c>
      <c r="L459" s="264" t="s">
        <v>187</v>
      </c>
      <c r="M459" s="264" t="s">
        <v>187</v>
      </c>
      <c r="N459" s="264" t="s">
        <v>187</v>
      </c>
      <c r="O459" s="264" t="s">
        <v>187</v>
      </c>
      <c r="P459" s="264" t="s">
        <v>187</v>
      </c>
      <c r="Q459" s="264" t="s">
        <v>187</v>
      </c>
      <c r="R459" s="264" t="s">
        <v>187</v>
      </c>
      <c r="S459" s="97" t="str">
        <f t="array" ref="S459">IF(A459="","", IF( (ROUND(I459,4) &lt; INDEX('Tabela de ingredientes'!$O$1:$V$30, SWITCH(B459, "Gelatos de Leite", 7, "Sorbets", 10, "Gelatos de Leite com Fruta", 13, "Chocolate base água", 16, "Vegano", 19, "Alcoólicos", 22, "Zero", 25, "Gelatos Proteicos", 28, 7), 1)) + (ROUND(I459,4) &gt; INDEX('Tabela de ingredientes'!$O$1:$V$30, SWITCH(B459, "Gelatos de Leite", 8, "Sorbets", 11, "Gelatos de Leite com Fruta", 14, "Chocolate base água", 17, "Vegano", 20, "Alcoólicos", 23, "Zero", 26, "Gelatos Proteicos", 29, 8), 1)) + (ROUND(J459,4) &lt; INDEX('Tabela de ingredientes'!$O$1:$V$30, SWITCH(B459, "Gelatos de Leite", 7, "Sorbets", 10, "Gelatos de Leite com Fruta", 13, "Chocolate base água", 16, "Vegano", 19, "Alcoólicos", 22, "Zero", 25, "Gelatos Proteicos", 28, 7), 2)) + (ROUND(J459,4) &gt; INDEX('Tabela de ingredientes'!$O$1:$V$30, SWITCH(B459, "Gelatos de Leite", 8, "Sorbets", 11, "Gelatos de Leite com Fruta", 14, "Chocolate base água", 17, "Vegano", 20, "Alcoólicos", 23, "Zero", 26, "Gelatos Proteicos", 29, 8), 2)) + (ROUND(K459,4) &lt; INDEX('Tabela de ingredientes'!$O$1:$V$30, SWITCH(B459, "Gelatos de Leite", 7, "Sorbets", 10, "Gelatos de Leite com Fruta", 13, "Chocolate base água", 16, "Vegano", 19, "Alcoólicos", 22, "Zero", 25, "Gelatos Proteicos", 28, 7), 3)) + (ROUND(K459,4) &gt; INDEX('Tabela de ingredientes'!$O$1:$V$30, SWITCH(B459, "Gelatos de Leite", 8, "Sorbets", 11, "Gelatos de Leite com Fruta", 14, "Chocolate base água", 17, "Vegano", 20, "Alcoólicos", 23, "Zero", 26, "Gelatos Proteicos", 29, 8), 3)) + (ROUND(L459,4) &lt; INDEX('Tabela de ingredientes'!$O$1:$V$30, SWITCH(B459, "Gelatos de Leite", 7, "Sorbets", 10, "Gelatos de Leite com Fruta", 13, "Chocolate base água", 16, "Vegano", 19, "Alcoólicos", 22, "Zero", 25, "Gelatos Proteicos", 28, 7), 4)) + (ROUND(L459,4) &gt; INDEX('Tabela de ingredientes'!$O$1:$V$30, SWITCH(B459, "Gelatos de Leite", 8, "Sorbets", 11, "Gelatos de Leite com Fruta", 14, "Chocolate base água", 17, "Vegano", 20, "Alcoólicos", 23, "Zero", 26, "Gelatos Proteicos", 29, 8), 4)) + (ROUND(M459,4) &lt; INDEX('Tabela de ingredientes'!$O$1:$V$30, SWITCH(B459, "Gelatos de Leite", 7, "Sorbets", 10, "Gelatos de Leite com Fruta", 13, "Chocolate base água", 16, "Vegano", 19, "Alcoólicos", 22, "Zero", 25, "Gelatos Proteicos", 28, 7), 5)) + (ROUND(M459,4) &gt; INDEX('Tabela de ingredientes'!$O$1:$V$30, SWITCH(B459, "Gelatos de Leite", 8, "Sorbets", 11, "Gelatos de Leite com Fruta", 14, "Chocolate base água", 17, "Vegano", 20, "Alcoólicos", 23, "Zero", 26, "Gelatos Proteicos", 29, 8), 5)) + (ROUND(N459,4) &lt; INDEX('Tabela de ingredientes'!$O$1:$V$30, SWITCH(B459, "Gelatos de Leite", 7, "Sorbets", 10, "Gelatos de Leite com Fruta", 13, "Chocolate base água", 16, "Vegano", 19, "Alcoólicos", 22, "Zero", 25, "Gelatos Proteicos", 28, 7), 6)) + (ROUND(N459,4) &gt; INDEX('Tabela de ingredientes'!$O$1:$V$30, SWITCH(B459, "Gelatos de Leite", 8, "Sorbets", 11, "Gelatos de Leite com Fruta", 14, "Chocolate base água", 17, "Vegano", 20, "Alcoólicos", 23, "Zero", 26, "Gelatos Proteicos", 29, 8), 6)) + (ROUND(O459,4) &lt; INDEX('Tabela de ingredientes'!$O$1:$V$30, SWITCH(B459, "Gelatos de Leite", 7, "Sorbets", 10, "Gelatos de Leite com Fruta", 13, "Chocolate base água", 16, "Vegano", 19, "Alcoólicos", 22, "Zero", 25, "Gelatos Proteicos", 28, 7), 7)) + (ROUND(O459,4) &gt; INDEX('Tabela de ingredientes'!$O$1:$V$30, SWITCH(B459, "Gelatos de Leite", 8, "Sorbets", 11, "Gelatos de Leite com Fruta", 14, "Chocolate base água", 17, "Vegano", 20, "Alcoólicos", 23, "Zero", 26, "Gelatos Proteicos", 29, 8), 7)) + (ROUND(P459,4) &lt; INDEX('Tabela de ingredientes'!$O$1:$V$30, SWITCH(B459, "Gelatos de Leite", 7, "Sorbets", 10, "Gelatos de Leite com Fruta", 13, "Chocolate base água", 16, "Vegano", 19, "Alcoólicos", 22, "Zero", 25, "Gelatos Proteicos", 28, 7), 8)) + (ROUND(P459,4) &gt; INDEX('Tabela de ingredientes'!$O$1:$V$30, SWITCH(B459, "Gelatos de Leite", 8, "Sorbets", 11, "Gelatos de Leite com Fruta", 14, "Chocolate base água", 17, "Vegano", 20, "Alcoólicos", 23, "Zero", 26, "Gelatos Proteicos", 29, 8), 8)) + IF(B459="Gelatos Proteicos", (ROUND(Q459,4)&lt;'Tabela de ingredientes'!$W$28)+(ROUND(Q459,4)&gt;'Tabela de ingredientes'!$W$29), 0) = 0, "Ok", "Revisar"))</f>
        <v/>
      </c>
    </row>
    <row r="460">
      <c r="A460" s="264"/>
      <c r="B460" s="264" t="s">
        <v>187</v>
      </c>
      <c r="C460" s="264" t="s">
        <v>187</v>
      </c>
      <c r="D460" s="264" t="s">
        <v>187</v>
      </c>
      <c r="E460" s="264" t="s">
        <v>187</v>
      </c>
      <c r="F460" s="264" t="s">
        <v>187</v>
      </c>
      <c r="G460" s="264" t="s">
        <v>187</v>
      </c>
      <c r="H460" s="264" t="s">
        <v>187</v>
      </c>
      <c r="I460" s="264" t="s">
        <v>187</v>
      </c>
      <c r="J460" s="264" t="s">
        <v>187</v>
      </c>
      <c r="K460" s="264" t="s">
        <v>187</v>
      </c>
      <c r="L460" s="264" t="s">
        <v>187</v>
      </c>
      <c r="M460" s="264" t="s">
        <v>187</v>
      </c>
      <c r="N460" s="264" t="s">
        <v>187</v>
      </c>
      <c r="O460" s="264" t="s">
        <v>187</v>
      </c>
      <c r="P460" s="264" t="s">
        <v>187</v>
      </c>
      <c r="Q460" s="264" t="s">
        <v>187</v>
      </c>
      <c r="R460" s="264" t="s">
        <v>187</v>
      </c>
      <c r="S460" s="97" t="str">
        <f t="array" ref="S460">IF(A460="","", IF( (ROUND(I460,4) &lt; INDEX('Tabela de ingredientes'!$O$1:$V$30, SWITCH(B460, "Gelatos de Leite", 7, "Sorbets", 10, "Gelatos de Leite com Fruta", 13, "Chocolate base água", 16, "Vegano", 19, "Alcoólicos", 22, "Zero", 25, "Gelatos Proteicos", 28, 7), 1)) + (ROUND(I460,4) &gt; INDEX('Tabela de ingredientes'!$O$1:$V$30, SWITCH(B460, "Gelatos de Leite", 8, "Sorbets", 11, "Gelatos de Leite com Fruta", 14, "Chocolate base água", 17, "Vegano", 20, "Alcoólicos", 23, "Zero", 26, "Gelatos Proteicos", 29, 8), 1)) + (ROUND(J460,4) &lt; INDEX('Tabela de ingredientes'!$O$1:$V$30, SWITCH(B460, "Gelatos de Leite", 7, "Sorbets", 10, "Gelatos de Leite com Fruta", 13, "Chocolate base água", 16, "Vegano", 19, "Alcoólicos", 22, "Zero", 25, "Gelatos Proteicos", 28, 7), 2)) + (ROUND(J460,4) &gt; INDEX('Tabela de ingredientes'!$O$1:$V$30, SWITCH(B460, "Gelatos de Leite", 8, "Sorbets", 11, "Gelatos de Leite com Fruta", 14, "Chocolate base água", 17, "Vegano", 20, "Alcoólicos", 23, "Zero", 26, "Gelatos Proteicos", 29, 8), 2)) + (ROUND(K460,4) &lt; INDEX('Tabela de ingredientes'!$O$1:$V$30, SWITCH(B460, "Gelatos de Leite", 7, "Sorbets", 10, "Gelatos de Leite com Fruta", 13, "Chocolate base água", 16, "Vegano", 19, "Alcoólicos", 22, "Zero", 25, "Gelatos Proteicos", 28, 7), 3)) + (ROUND(K460,4) &gt; INDEX('Tabela de ingredientes'!$O$1:$V$30, SWITCH(B460, "Gelatos de Leite", 8, "Sorbets", 11, "Gelatos de Leite com Fruta", 14, "Chocolate base água", 17, "Vegano", 20, "Alcoólicos", 23, "Zero", 26, "Gelatos Proteicos", 29, 8), 3)) + (ROUND(L460,4) &lt; INDEX('Tabela de ingredientes'!$O$1:$V$30, SWITCH(B460, "Gelatos de Leite", 7, "Sorbets", 10, "Gelatos de Leite com Fruta", 13, "Chocolate base água", 16, "Vegano", 19, "Alcoólicos", 22, "Zero", 25, "Gelatos Proteicos", 28, 7), 4)) + (ROUND(L460,4) &gt; INDEX('Tabela de ingredientes'!$O$1:$V$30, SWITCH(B460, "Gelatos de Leite", 8, "Sorbets", 11, "Gelatos de Leite com Fruta", 14, "Chocolate base água", 17, "Vegano", 20, "Alcoólicos", 23, "Zero", 26, "Gelatos Proteicos", 29, 8), 4)) + (ROUND(M460,4) &lt; INDEX('Tabela de ingredientes'!$O$1:$V$30, SWITCH(B460, "Gelatos de Leite", 7, "Sorbets", 10, "Gelatos de Leite com Fruta", 13, "Chocolate base água", 16, "Vegano", 19, "Alcoólicos", 22, "Zero", 25, "Gelatos Proteicos", 28, 7), 5)) + (ROUND(M460,4) &gt; INDEX('Tabela de ingredientes'!$O$1:$V$30, SWITCH(B460, "Gelatos de Leite", 8, "Sorbets", 11, "Gelatos de Leite com Fruta", 14, "Chocolate base água", 17, "Vegano", 20, "Alcoólicos", 23, "Zero", 26, "Gelatos Proteicos", 29, 8), 5)) + (ROUND(N460,4) &lt; INDEX('Tabela de ingredientes'!$O$1:$V$30, SWITCH(B460, "Gelatos de Leite", 7, "Sorbets", 10, "Gelatos de Leite com Fruta", 13, "Chocolate base água", 16, "Vegano", 19, "Alcoólicos", 22, "Zero", 25, "Gelatos Proteicos", 28, 7), 6)) + (ROUND(N460,4) &gt; INDEX('Tabela de ingredientes'!$O$1:$V$30, SWITCH(B460, "Gelatos de Leite", 8, "Sorbets", 11, "Gelatos de Leite com Fruta", 14, "Chocolate base água", 17, "Vegano", 20, "Alcoólicos", 23, "Zero", 26, "Gelatos Proteicos", 29, 8), 6)) + (ROUND(O460,4) &lt; INDEX('Tabela de ingredientes'!$O$1:$V$30, SWITCH(B460, "Gelatos de Leite", 7, "Sorbets", 10, "Gelatos de Leite com Fruta", 13, "Chocolate base água", 16, "Vegano", 19, "Alcoólicos", 22, "Zero", 25, "Gelatos Proteicos", 28, 7), 7)) + (ROUND(O460,4) &gt; INDEX('Tabela de ingredientes'!$O$1:$V$30, SWITCH(B460, "Gelatos de Leite", 8, "Sorbets", 11, "Gelatos de Leite com Fruta", 14, "Chocolate base água", 17, "Vegano", 20, "Alcoólicos", 23, "Zero", 26, "Gelatos Proteicos", 29, 8), 7)) + (ROUND(P460,4) &lt; INDEX('Tabela de ingredientes'!$O$1:$V$30, SWITCH(B460, "Gelatos de Leite", 7, "Sorbets", 10, "Gelatos de Leite com Fruta", 13, "Chocolate base água", 16, "Vegano", 19, "Alcoólicos", 22, "Zero", 25, "Gelatos Proteicos", 28, 7), 8)) + (ROUND(P460,4) &gt; INDEX('Tabela de ingredientes'!$O$1:$V$30, SWITCH(B460, "Gelatos de Leite", 8, "Sorbets", 11, "Gelatos de Leite com Fruta", 14, "Chocolate base água", 17, "Vegano", 20, "Alcoólicos", 23, "Zero", 26, "Gelatos Proteicos", 29, 8), 8)) + IF(B460="Gelatos Proteicos", (ROUND(Q460,4)&lt;'Tabela de ingredientes'!$W$28)+(ROUND(Q460,4)&gt;'Tabela de ingredientes'!$W$29), 0) = 0, "Ok", "Revisar"))</f>
        <v/>
      </c>
    </row>
    <row r="461">
      <c r="A461" s="264"/>
      <c r="B461" s="264" t="s">
        <v>187</v>
      </c>
      <c r="C461" s="264" t="s">
        <v>187</v>
      </c>
      <c r="D461" s="264" t="s">
        <v>187</v>
      </c>
      <c r="E461" s="264" t="s">
        <v>187</v>
      </c>
      <c r="F461" s="264" t="s">
        <v>187</v>
      </c>
      <c r="G461" s="264" t="s">
        <v>187</v>
      </c>
      <c r="H461" s="264" t="s">
        <v>187</v>
      </c>
      <c r="I461" s="264" t="s">
        <v>187</v>
      </c>
      <c r="J461" s="264" t="s">
        <v>187</v>
      </c>
      <c r="K461" s="264" t="s">
        <v>187</v>
      </c>
      <c r="L461" s="264" t="s">
        <v>187</v>
      </c>
      <c r="M461" s="264" t="s">
        <v>187</v>
      </c>
      <c r="N461" s="264" t="s">
        <v>187</v>
      </c>
      <c r="O461" s="264" t="s">
        <v>187</v>
      </c>
      <c r="P461" s="264" t="s">
        <v>187</v>
      </c>
      <c r="Q461" s="264" t="s">
        <v>187</v>
      </c>
      <c r="R461" s="264" t="s">
        <v>187</v>
      </c>
      <c r="S461" s="97" t="str">
        <f t="array" ref="S461">IF(A461="","", IF( (ROUND(I461,4) &lt; INDEX('Tabela de ingredientes'!$O$1:$V$30, SWITCH(B461, "Gelatos de Leite", 7, "Sorbets", 10, "Gelatos de Leite com Fruta", 13, "Chocolate base água", 16, "Vegano", 19, "Alcoólicos", 22, "Zero", 25, "Gelatos Proteicos", 28, 7), 1)) + (ROUND(I461,4) &gt; INDEX('Tabela de ingredientes'!$O$1:$V$30, SWITCH(B461, "Gelatos de Leite", 8, "Sorbets", 11, "Gelatos de Leite com Fruta", 14, "Chocolate base água", 17, "Vegano", 20, "Alcoólicos", 23, "Zero", 26, "Gelatos Proteicos", 29, 8), 1)) + (ROUND(J461,4) &lt; INDEX('Tabela de ingredientes'!$O$1:$V$30, SWITCH(B461, "Gelatos de Leite", 7, "Sorbets", 10, "Gelatos de Leite com Fruta", 13, "Chocolate base água", 16, "Vegano", 19, "Alcoólicos", 22, "Zero", 25, "Gelatos Proteicos", 28, 7), 2)) + (ROUND(J461,4) &gt; INDEX('Tabela de ingredientes'!$O$1:$V$30, SWITCH(B461, "Gelatos de Leite", 8, "Sorbets", 11, "Gelatos de Leite com Fruta", 14, "Chocolate base água", 17, "Vegano", 20, "Alcoólicos", 23, "Zero", 26, "Gelatos Proteicos", 29, 8), 2)) + (ROUND(K461,4) &lt; INDEX('Tabela de ingredientes'!$O$1:$V$30, SWITCH(B461, "Gelatos de Leite", 7, "Sorbets", 10, "Gelatos de Leite com Fruta", 13, "Chocolate base água", 16, "Vegano", 19, "Alcoólicos", 22, "Zero", 25, "Gelatos Proteicos", 28, 7), 3)) + (ROUND(K461,4) &gt; INDEX('Tabela de ingredientes'!$O$1:$V$30, SWITCH(B461, "Gelatos de Leite", 8, "Sorbets", 11, "Gelatos de Leite com Fruta", 14, "Chocolate base água", 17, "Vegano", 20, "Alcoólicos", 23, "Zero", 26, "Gelatos Proteicos", 29, 8), 3)) + (ROUND(L461,4) &lt; INDEX('Tabela de ingredientes'!$O$1:$V$30, SWITCH(B461, "Gelatos de Leite", 7, "Sorbets", 10, "Gelatos de Leite com Fruta", 13, "Chocolate base água", 16, "Vegano", 19, "Alcoólicos", 22, "Zero", 25, "Gelatos Proteicos", 28, 7), 4)) + (ROUND(L461,4) &gt; INDEX('Tabela de ingredientes'!$O$1:$V$30, SWITCH(B461, "Gelatos de Leite", 8, "Sorbets", 11, "Gelatos de Leite com Fruta", 14, "Chocolate base água", 17, "Vegano", 20, "Alcoólicos", 23, "Zero", 26, "Gelatos Proteicos", 29, 8), 4)) + (ROUND(M461,4) &lt; INDEX('Tabela de ingredientes'!$O$1:$V$30, SWITCH(B461, "Gelatos de Leite", 7, "Sorbets", 10, "Gelatos de Leite com Fruta", 13, "Chocolate base água", 16, "Vegano", 19, "Alcoólicos", 22, "Zero", 25, "Gelatos Proteicos", 28, 7), 5)) + (ROUND(M461,4) &gt; INDEX('Tabela de ingredientes'!$O$1:$V$30, SWITCH(B461, "Gelatos de Leite", 8, "Sorbets", 11, "Gelatos de Leite com Fruta", 14, "Chocolate base água", 17, "Vegano", 20, "Alcoólicos", 23, "Zero", 26, "Gelatos Proteicos", 29, 8), 5)) + (ROUND(N461,4) &lt; INDEX('Tabela de ingredientes'!$O$1:$V$30, SWITCH(B461, "Gelatos de Leite", 7, "Sorbets", 10, "Gelatos de Leite com Fruta", 13, "Chocolate base água", 16, "Vegano", 19, "Alcoólicos", 22, "Zero", 25, "Gelatos Proteicos", 28, 7), 6)) + (ROUND(N461,4) &gt; INDEX('Tabela de ingredientes'!$O$1:$V$30, SWITCH(B461, "Gelatos de Leite", 8, "Sorbets", 11, "Gelatos de Leite com Fruta", 14, "Chocolate base água", 17, "Vegano", 20, "Alcoólicos", 23, "Zero", 26, "Gelatos Proteicos", 29, 8), 6)) + (ROUND(O461,4) &lt; INDEX('Tabela de ingredientes'!$O$1:$V$30, SWITCH(B461, "Gelatos de Leite", 7, "Sorbets", 10, "Gelatos de Leite com Fruta", 13, "Chocolate base água", 16, "Vegano", 19, "Alcoólicos", 22, "Zero", 25, "Gelatos Proteicos", 28, 7), 7)) + (ROUND(O461,4) &gt; INDEX('Tabela de ingredientes'!$O$1:$V$30, SWITCH(B461, "Gelatos de Leite", 8, "Sorbets", 11, "Gelatos de Leite com Fruta", 14, "Chocolate base água", 17, "Vegano", 20, "Alcoólicos", 23, "Zero", 26, "Gelatos Proteicos", 29, 8), 7)) + (ROUND(P461,4) &lt; INDEX('Tabela de ingredientes'!$O$1:$V$30, SWITCH(B461, "Gelatos de Leite", 7, "Sorbets", 10, "Gelatos de Leite com Fruta", 13, "Chocolate base água", 16, "Vegano", 19, "Alcoólicos", 22, "Zero", 25, "Gelatos Proteicos", 28, 7), 8)) + (ROUND(P461,4) &gt; INDEX('Tabela de ingredientes'!$O$1:$V$30, SWITCH(B461, "Gelatos de Leite", 8, "Sorbets", 11, "Gelatos de Leite com Fruta", 14, "Chocolate base água", 17, "Vegano", 20, "Alcoólicos", 23, "Zero", 26, "Gelatos Proteicos", 29, 8), 8)) + IF(B461="Gelatos Proteicos", (ROUND(Q461,4)&lt;'Tabela de ingredientes'!$W$28)+(ROUND(Q461,4)&gt;'Tabela de ingredientes'!$W$29), 0) = 0, "Ok", "Revisar"))</f>
        <v/>
      </c>
    </row>
    <row r="462">
      <c r="A462" s="264"/>
      <c r="B462" s="264" t="s">
        <v>187</v>
      </c>
      <c r="C462" s="264" t="s">
        <v>187</v>
      </c>
      <c r="D462" s="264" t="s">
        <v>187</v>
      </c>
      <c r="E462" s="264" t="s">
        <v>187</v>
      </c>
      <c r="F462" s="264" t="s">
        <v>187</v>
      </c>
      <c r="G462" s="264" t="s">
        <v>187</v>
      </c>
      <c r="H462" s="264" t="s">
        <v>187</v>
      </c>
      <c r="I462" s="264" t="s">
        <v>187</v>
      </c>
      <c r="J462" s="264" t="s">
        <v>187</v>
      </c>
      <c r="K462" s="264" t="s">
        <v>187</v>
      </c>
      <c r="L462" s="264" t="s">
        <v>187</v>
      </c>
      <c r="M462" s="264" t="s">
        <v>187</v>
      </c>
      <c r="N462" s="264" t="s">
        <v>187</v>
      </c>
      <c r="O462" s="264" t="s">
        <v>187</v>
      </c>
      <c r="P462" s="264" t="s">
        <v>187</v>
      </c>
      <c r="Q462" s="264" t="s">
        <v>187</v>
      </c>
      <c r="R462" s="264" t="s">
        <v>187</v>
      </c>
      <c r="S462" s="97" t="str">
        <f t="array" ref="S462">IF(A462="","", IF( (ROUND(I462,4) &lt; INDEX('Tabela de ingredientes'!$O$1:$V$30, SWITCH(B462, "Gelatos de Leite", 7, "Sorbets", 10, "Gelatos de Leite com Fruta", 13, "Chocolate base água", 16, "Vegano", 19, "Alcoólicos", 22, "Zero", 25, "Gelatos Proteicos", 28, 7), 1)) + (ROUND(I462,4) &gt; INDEX('Tabela de ingredientes'!$O$1:$V$30, SWITCH(B462, "Gelatos de Leite", 8, "Sorbets", 11, "Gelatos de Leite com Fruta", 14, "Chocolate base água", 17, "Vegano", 20, "Alcoólicos", 23, "Zero", 26, "Gelatos Proteicos", 29, 8), 1)) + (ROUND(J462,4) &lt; INDEX('Tabela de ingredientes'!$O$1:$V$30, SWITCH(B462, "Gelatos de Leite", 7, "Sorbets", 10, "Gelatos de Leite com Fruta", 13, "Chocolate base água", 16, "Vegano", 19, "Alcoólicos", 22, "Zero", 25, "Gelatos Proteicos", 28, 7), 2)) + (ROUND(J462,4) &gt; INDEX('Tabela de ingredientes'!$O$1:$V$30, SWITCH(B462, "Gelatos de Leite", 8, "Sorbets", 11, "Gelatos de Leite com Fruta", 14, "Chocolate base água", 17, "Vegano", 20, "Alcoólicos", 23, "Zero", 26, "Gelatos Proteicos", 29, 8), 2)) + (ROUND(K462,4) &lt; INDEX('Tabela de ingredientes'!$O$1:$V$30, SWITCH(B462, "Gelatos de Leite", 7, "Sorbets", 10, "Gelatos de Leite com Fruta", 13, "Chocolate base água", 16, "Vegano", 19, "Alcoólicos", 22, "Zero", 25, "Gelatos Proteicos", 28, 7), 3)) + (ROUND(K462,4) &gt; INDEX('Tabela de ingredientes'!$O$1:$V$30, SWITCH(B462, "Gelatos de Leite", 8, "Sorbets", 11, "Gelatos de Leite com Fruta", 14, "Chocolate base água", 17, "Vegano", 20, "Alcoólicos", 23, "Zero", 26, "Gelatos Proteicos", 29, 8), 3)) + (ROUND(L462,4) &lt; INDEX('Tabela de ingredientes'!$O$1:$V$30, SWITCH(B462, "Gelatos de Leite", 7, "Sorbets", 10, "Gelatos de Leite com Fruta", 13, "Chocolate base água", 16, "Vegano", 19, "Alcoólicos", 22, "Zero", 25, "Gelatos Proteicos", 28, 7), 4)) + (ROUND(L462,4) &gt; INDEX('Tabela de ingredientes'!$O$1:$V$30, SWITCH(B462, "Gelatos de Leite", 8, "Sorbets", 11, "Gelatos de Leite com Fruta", 14, "Chocolate base água", 17, "Vegano", 20, "Alcoólicos", 23, "Zero", 26, "Gelatos Proteicos", 29, 8), 4)) + (ROUND(M462,4) &lt; INDEX('Tabela de ingredientes'!$O$1:$V$30, SWITCH(B462, "Gelatos de Leite", 7, "Sorbets", 10, "Gelatos de Leite com Fruta", 13, "Chocolate base água", 16, "Vegano", 19, "Alcoólicos", 22, "Zero", 25, "Gelatos Proteicos", 28, 7), 5)) + (ROUND(M462,4) &gt; INDEX('Tabela de ingredientes'!$O$1:$V$30, SWITCH(B462, "Gelatos de Leite", 8, "Sorbets", 11, "Gelatos de Leite com Fruta", 14, "Chocolate base água", 17, "Vegano", 20, "Alcoólicos", 23, "Zero", 26, "Gelatos Proteicos", 29, 8), 5)) + (ROUND(N462,4) &lt; INDEX('Tabela de ingredientes'!$O$1:$V$30, SWITCH(B462, "Gelatos de Leite", 7, "Sorbets", 10, "Gelatos de Leite com Fruta", 13, "Chocolate base água", 16, "Vegano", 19, "Alcoólicos", 22, "Zero", 25, "Gelatos Proteicos", 28, 7), 6)) + (ROUND(N462,4) &gt; INDEX('Tabela de ingredientes'!$O$1:$V$30, SWITCH(B462, "Gelatos de Leite", 8, "Sorbets", 11, "Gelatos de Leite com Fruta", 14, "Chocolate base água", 17, "Vegano", 20, "Alcoólicos", 23, "Zero", 26, "Gelatos Proteicos", 29, 8), 6)) + (ROUND(O462,4) &lt; INDEX('Tabela de ingredientes'!$O$1:$V$30, SWITCH(B462, "Gelatos de Leite", 7, "Sorbets", 10, "Gelatos de Leite com Fruta", 13, "Chocolate base água", 16, "Vegano", 19, "Alcoólicos", 22, "Zero", 25, "Gelatos Proteicos", 28, 7), 7)) + (ROUND(O462,4) &gt; INDEX('Tabela de ingredientes'!$O$1:$V$30, SWITCH(B462, "Gelatos de Leite", 8, "Sorbets", 11, "Gelatos de Leite com Fruta", 14, "Chocolate base água", 17, "Vegano", 20, "Alcoólicos", 23, "Zero", 26, "Gelatos Proteicos", 29, 8), 7)) + (ROUND(P462,4) &lt; INDEX('Tabela de ingredientes'!$O$1:$V$30, SWITCH(B462, "Gelatos de Leite", 7, "Sorbets", 10, "Gelatos de Leite com Fruta", 13, "Chocolate base água", 16, "Vegano", 19, "Alcoólicos", 22, "Zero", 25, "Gelatos Proteicos", 28, 7), 8)) + (ROUND(P462,4) &gt; INDEX('Tabela de ingredientes'!$O$1:$V$30, SWITCH(B462, "Gelatos de Leite", 8, "Sorbets", 11, "Gelatos de Leite com Fruta", 14, "Chocolate base água", 17, "Vegano", 20, "Alcoólicos", 23, "Zero", 26, "Gelatos Proteicos", 29, 8), 8)) + IF(B462="Gelatos Proteicos", (ROUND(Q462,4)&lt;'Tabela de ingredientes'!$W$28)+(ROUND(Q462,4)&gt;'Tabela de ingredientes'!$W$29), 0) = 0, "Ok", "Revisar"))</f>
        <v/>
      </c>
    </row>
    <row r="463">
      <c r="A463" s="264"/>
      <c r="B463" s="264" t="s">
        <v>187</v>
      </c>
      <c r="C463" s="264" t="s">
        <v>187</v>
      </c>
      <c r="D463" s="264" t="s">
        <v>187</v>
      </c>
      <c r="E463" s="264" t="s">
        <v>187</v>
      </c>
      <c r="F463" s="264" t="s">
        <v>187</v>
      </c>
      <c r="G463" s="264" t="s">
        <v>187</v>
      </c>
      <c r="H463" s="264" t="s">
        <v>187</v>
      </c>
      <c r="I463" s="264" t="s">
        <v>187</v>
      </c>
      <c r="J463" s="264" t="s">
        <v>187</v>
      </c>
      <c r="K463" s="264" t="s">
        <v>187</v>
      </c>
      <c r="L463" s="264" t="s">
        <v>187</v>
      </c>
      <c r="M463" s="264" t="s">
        <v>187</v>
      </c>
      <c r="N463" s="264" t="s">
        <v>187</v>
      </c>
      <c r="O463" s="264" t="s">
        <v>187</v>
      </c>
      <c r="P463" s="264" t="s">
        <v>187</v>
      </c>
      <c r="Q463" s="264" t="s">
        <v>187</v>
      </c>
      <c r="R463" s="264" t="s">
        <v>187</v>
      </c>
      <c r="S463" s="97" t="str">
        <f t="array" ref="S463">IF(A463="","", IF( (ROUND(I463,4) &lt; INDEX('Tabela de ingredientes'!$O$1:$V$30, SWITCH(B463, "Gelatos de Leite", 7, "Sorbets", 10, "Gelatos de Leite com Fruta", 13, "Chocolate base água", 16, "Vegano", 19, "Alcoólicos", 22, "Zero", 25, "Gelatos Proteicos", 28, 7), 1)) + (ROUND(I463,4) &gt; INDEX('Tabela de ingredientes'!$O$1:$V$30, SWITCH(B463, "Gelatos de Leite", 8, "Sorbets", 11, "Gelatos de Leite com Fruta", 14, "Chocolate base água", 17, "Vegano", 20, "Alcoólicos", 23, "Zero", 26, "Gelatos Proteicos", 29, 8), 1)) + (ROUND(J463,4) &lt; INDEX('Tabela de ingredientes'!$O$1:$V$30, SWITCH(B463, "Gelatos de Leite", 7, "Sorbets", 10, "Gelatos de Leite com Fruta", 13, "Chocolate base água", 16, "Vegano", 19, "Alcoólicos", 22, "Zero", 25, "Gelatos Proteicos", 28, 7), 2)) + (ROUND(J463,4) &gt; INDEX('Tabela de ingredientes'!$O$1:$V$30, SWITCH(B463, "Gelatos de Leite", 8, "Sorbets", 11, "Gelatos de Leite com Fruta", 14, "Chocolate base água", 17, "Vegano", 20, "Alcoólicos", 23, "Zero", 26, "Gelatos Proteicos", 29, 8), 2)) + (ROUND(K463,4) &lt; INDEX('Tabela de ingredientes'!$O$1:$V$30, SWITCH(B463, "Gelatos de Leite", 7, "Sorbets", 10, "Gelatos de Leite com Fruta", 13, "Chocolate base água", 16, "Vegano", 19, "Alcoólicos", 22, "Zero", 25, "Gelatos Proteicos", 28, 7), 3)) + (ROUND(K463,4) &gt; INDEX('Tabela de ingredientes'!$O$1:$V$30, SWITCH(B463, "Gelatos de Leite", 8, "Sorbets", 11, "Gelatos de Leite com Fruta", 14, "Chocolate base água", 17, "Vegano", 20, "Alcoólicos", 23, "Zero", 26, "Gelatos Proteicos", 29, 8), 3)) + (ROUND(L463,4) &lt; INDEX('Tabela de ingredientes'!$O$1:$V$30, SWITCH(B463, "Gelatos de Leite", 7, "Sorbets", 10, "Gelatos de Leite com Fruta", 13, "Chocolate base água", 16, "Vegano", 19, "Alcoólicos", 22, "Zero", 25, "Gelatos Proteicos", 28, 7), 4)) + (ROUND(L463,4) &gt; INDEX('Tabela de ingredientes'!$O$1:$V$30, SWITCH(B463, "Gelatos de Leite", 8, "Sorbets", 11, "Gelatos de Leite com Fruta", 14, "Chocolate base água", 17, "Vegano", 20, "Alcoólicos", 23, "Zero", 26, "Gelatos Proteicos", 29, 8), 4)) + (ROUND(M463,4) &lt; INDEX('Tabela de ingredientes'!$O$1:$V$30, SWITCH(B463, "Gelatos de Leite", 7, "Sorbets", 10, "Gelatos de Leite com Fruta", 13, "Chocolate base água", 16, "Vegano", 19, "Alcoólicos", 22, "Zero", 25, "Gelatos Proteicos", 28, 7), 5)) + (ROUND(M463,4) &gt; INDEX('Tabela de ingredientes'!$O$1:$V$30, SWITCH(B463, "Gelatos de Leite", 8, "Sorbets", 11, "Gelatos de Leite com Fruta", 14, "Chocolate base água", 17, "Vegano", 20, "Alcoólicos", 23, "Zero", 26, "Gelatos Proteicos", 29, 8), 5)) + (ROUND(N463,4) &lt; INDEX('Tabela de ingredientes'!$O$1:$V$30, SWITCH(B463, "Gelatos de Leite", 7, "Sorbets", 10, "Gelatos de Leite com Fruta", 13, "Chocolate base água", 16, "Vegano", 19, "Alcoólicos", 22, "Zero", 25, "Gelatos Proteicos", 28, 7), 6)) + (ROUND(N463,4) &gt; INDEX('Tabela de ingredientes'!$O$1:$V$30, SWITCH(B463, "Gelatos de Leite", 8, "Sorbets", 11, "Gelatos de Leite com Fruta", 14, "Chocolate base água", 17, "Vegano", 20, "Alcoólicos", 23, "Zero", 26, "Gelatos Proteicos", 29, 8), 6)) + (ROUND(O463,4) &lt; INDEX('Tabela de ingredientes'!$O$1:$V$30, SWITCH(B463, "Gelatos de Leite", 7, "Sorbets", 10, "Gelatos de Leite com Fruta", 13, "Chocolate base água", 16, "Vegano", 19, "Alcoólicos", 22, "Zero", 25, "Gelatos Proteicos", 28, 7), 7)) + (ROUND(O463,4) &gt; INDEX('Tabela de ingredientes'!$O$1:$V$30, SWITCH(B463, "Gelatos de Leite", 8, "Sorbets", 11, "Gelatos de Leite com Fruta", 14, "Chocolate base água", 17, "Vegano", 20, "Alcoólicos", 23, "Zero", 26, "Gelatos Proteicos", 29, 8), 7)) + (ROUND(P463,4) &lt; INDEX('Tabela de ingredientes'!$O$1:$V$30, SWITCH(B463, "Gelatos de Leite", 7, "Sorbets", 10, "Gelatos de Leite com Fruta", 13, "Chocolate base água", 16, "Vegano", 19, "Alcoólicos", 22, "Zero", 25, "Gelatos Proteicos", 28, 7), 8)) + (ROUND(P463,4) &gt; INDEX('Tabela de ingredientes'!$O$1:$V$30, SWITCH(B463, "Gelatos de Leite", 8, "Sorbets", 11, "Gelatos de Leite com Fruta", 14, "Chocolate base água", 17, "Vegano", 20, "Alcoólicos", 23, "Zero", 26, "Gelatos Proteicos", 29, 8), 8)) + IF(B463="Gelatos Proteicos", (ROUND(Q463,4)&lt;'Tabela de ingredientes'!$W$28)+(ROUND(Q463,4)&gt;'Tabela de ingredientes'!$W$29), 0) = 0, "Ok", "Revisar"))</f>
        <v/>
      </c>
    </row>
    <row r="464">
      <c r="A464" s="264"/>
      <c r="B464" s="264" t="s">
        <v>187</v>
      </c>
      <c r="C464" s="264" t="s">
        <v>187</v>
      </c>
      <c r="D464" s="264" t="s">
        <v>187</v>
      </c>
      <c r="E464" s="264" t="s">
        <v>187</v>
      </c>
      <c r="F464" s="264" t="s">
        <v>187</v>
      </c>
      <c r="G464" s="264" t="s">
        <v>187</v>
      </c>
      <c r="H464" s="264" t="s">
        <v>187</v>
      </c>
      <c r="I464" s="264" t="s">
        <v>187</v>
      </c>
      <c r="J464" s="264" t="s">
        <v>187</v>
      </c>
      <c r="K464" s="264" t="s">
        <v>187</v>
      </c>
      <c r="L464" s="264" t="s">
        <v>187</v>
      </c>
      <c r="M464" s="264" t="s">
        <v>187</v>
      </c>
      <c r="N464" s="264" t="s">
        <v>187</v>
      </c>
      <c r="O464" s="264" t="s">
        <v>187</v>
      </c>
      <c r="P464" s="264" t="s">
        <v>187</v>
      </c>
      <c r="Q464" s="264" t="s">
        <v>187</v>
      </c>
      <c r="R464" s="264" t="s">
        <v>187</v>
      </c>
      <c r="S464" s="97" t="str">
        <f t="array" ref="S464">IF(A464="","", IF( (ROUND(I464,4) &lt; INDEX('Tabela de ingredientes'!$O$1:$V$30, SWITCH(B464, "Gelatos de Leite", 7, "Sorbets", 10, "Gelatos de Leite com Fruta", 13, "Chocolate base água", 16, "Vegano", 19, "Alcoólicos", 22, "Zero", 25, "Gelatos Proteicos", 28, 7), 1)) + (ROUND(I464,4) &gt; INDEX('Tabela de ingredientes'!$O$1:$V$30, SWITCH(B464, "Gelatos de Leite", 8, "Sorbets", 11, "Gelatos de Leite com Fruta", 14, "Chocolate base água", 17, "Vegano", 20, "Alcoólicos", 23, "Zero", 26, "Gelatos Proteicos", 29, 8), 1)) + (ROUND(J464,4) &lt; INDEX('Tabela de ingredientes'!$O$1:$V$30, SWITCH(B464, "Gelatos de Leite", 7, "Sorbets", 10, "Gelatos de Leite com Fruta", 13, "Chocolate base água", 16, "Vegano", 19, "Alcoólicos", 22, "Zero", 25, "Gelatos Proteicos", 28, 7), 2)) + (ROUND(J464,4) &gt; INDEX('Tabela de ingredientes'!$O$1:$V$30, SWITCH(B464, "Gelatos de Leite", 8, "Sorbets", 11, "Gelatos de Leite com Fruta", 14, "Chocolate base água", 17, "Vegano", 20, "Alcoólicos", 23, "Zero", 26, "Gelatos Proteicos", 29, 8), 2)) + (ROUND(K464,4) &lt; INDEX('Tabela de ingredientes'!$O$1:$V$30, SWITCH(B464, "Gelatos de Leite", 7, "Sorbets", 10, "Gelatos de Leite com Fruta", 13, "Chocolate base água", 16, "Vegano", 19, "Alcoólicos", 22, "Zero", 25, "Gelatos Proteicos", 28, 7), 3)) + (ROUND(K464,4) &gt; INDEX('Tabela de ingredientes'!$O$1:$V$30, SWITCH(B464, "Gelatos de Leite", 8, "Sorbets", 11, "Gelatos de Leite com Fruta", 14, "Chocolate base água", 17, "Vegano", 20, "Alcoólicos", 23, "Zero", 26, "Gelatos Proteicos", 29, 8), 3)) + (ROUND(L464,4) &lt; INDEX('Tabela de ingredientes'!$O$1:$V$30, SWITCH(B464, "Gelatos de Leite", 7, "Sorbets", 10, "Gelatos de Leite com Fruta", 13, "Chocolate base água", 16, "Vegano", 19, "Alcoólicos", 22, "Zero", 25, "Gelatos Proteicos", 28, 7), 4)) + (ROUND(L464,4) &gt; INDEX('Tabela de ingredientes'!$O$1:$V$30, SWITCH(B464, "Gelatos de Leite", 8, "Sorbets", 11, "Gelatos de Leite com Fruta", 14, "Chocolate base água", 17, "Vegano", 20, "Alcoólicos", 23, "Zero", 26, "Gelatos Proteicos", 29, 8), 4)) + (ROUND(M464,4) &lt; INDEX('Tabela de ingredientes'!$O$1:$V$30, SWITCH(B464, "Gelatos de Leite", 7, "Sorbets", 10, "Gelatos de Leite com Fruta", 13, "Chocolate base água", 16, "Vegano", 19, "Alcoólicos", 22, "Zero", 25, "Gelatos Proteicos", 28, 7), 5)) + (ROUND(M464,4) &gt; INDEX('Tabela de ingredientes'!$O$1:$V$30, SWITCH(B464, "Gelatos de Leite", 8, "Sorbets", 11, "Gelatos de Leite com Fruta", 14, "Chocolate base água", 17, "Vegano", 20, "Alcoólicos", 23, "Zero", 26, "Gelatos Proteicos", 29, 8), 5)) + (ROUND(N464,4) &lt; INDEX('Tabela de ingredientes'!$O$1:$V$30, SWITCH(B464, "Gelatos de Leite", 7, "Sorbets", 10, "Gelatos de Leite com Fruta", 13, "Chocolate base água", 16, "Vegano", 19, "Alcoólicos", 22, "Zero", 25, "Gelatos Proteicos", 28, 7), 6)) + (ROUND(N464,4) &gt; INDEX('Tabela de ingredientes'!$O$1:$V$30, SWITCH(B464, "Gelatos de Leite", 8, "Sorbets", 11, "Gelatos de Leite com Fruta", 14, "Chocolate base água", 17, "Vegano", 20, "Alcoólicos", 23, "Zero", 26, "Gelatos Proteicos", 29, 8), 6)) + (ROUND(O464,4) &lt; INDEX('Tabela de ingredientes'!$O$1:$V$30, SWITCH(B464, "Gelatos de Leite", 7, "Sorbets", 10, "Gelatos de Leite com Fruta", 13, "Chocolate base água", 16, "Vegano", 19, "Alcoólicos", 22, "Zero", 25, "Gelatos Proteicos", 28, 7), 7)) + (ROUND(O464,4) &gt; INDEX('Tabela de ingredientes'!$O$1:$V$30, SWITCH(B464, "Gelatos de Leite", 8, "Sorbets", 11, "Gelatos de Leite com Fruta", 14, "Chocolate base água", 17, "Vegano", 20, "Alcoólicos", 23, "Zero", 26, "Gelatos Proteicos", 29, 8), 7)) + (ROUND(P464,4) &lt; INDEX('Tabela de ingredientes'!$O$1:$V$30, SWITCH(B464, "Gelatos de Leite", 7, "Sorbets", 10, "Gelatos de Leite com Fruta", 13, "Chocolate base água", 16, "Vegano", 19, "Alcoólicos", 22, "Zero", 25, "Gelatos Proteicos", 28, 7), 8)) + (ROUND(P464,4) &gt; INDEX('Tabela de ingredientes'!$O$1:$V$30, SWITCH(B464, "Gelatos de Leite", 8, "Sorbets", 11, "Gelatos de Leite com Fruta", 14, "Chocolate base água", 17, "Vegano", 20, "Alcoólicos", 23, "Zero", 26, "Gelatos Proteicos", 29, 8), 8)) + IF(B464="Gelatos Proteicos", (ROUND(Q464,4)&lt;'Tabela de ingredientes'!$W$28)+(ROUND(Q464,4)&gt;'Tabela de ingredientes'!$W$29), 0) = 0, "Ok", "Revisar"))</f>
        <v/>
      </c>
    </row>
    <row r="465">
      <c r="A465" s="264"/>
      <c r="B465" s="264" t="s">
        <v>187</v>
      </c>
      <c r="C465" s="264" t="s">
        <v>187</v>
      </c>
      <c r="D465" s="264" t="s">
        <v>187</v>
      </c>
      <c r="E465" s="264" t="s">
        <v>187</v>
      </c>
      <c r="F465" s="264" t="s">
        <v>187</v>
      </c>
      <c r="G465" s="264" t="s">
        <v>187</v>
      </c>
      <c r="H465" s="264" t="s">
        <v>187</v>
      </c>
      <c r="I465" s="264" t="s">
        <v>187</v>
      </c>
      <c r="J465" s="264" t="s">
        <v>187</v>
      </c>
      <c r="K465" s="264" t="s">
        <v>187</v>
      </c>
      <c r="L465" s="264" t="s">
        <v>187</v>
      </c>
      <c r="M465" s="264" t="s">
        <v>187</v>
      </c>
      <c r="N465" s="264" t="s">
        <v>187</v>
      </c>
      <c r="O465" s="264" t="s">
        <v>187</v>
      </c>
      <c r="P465" s="264" t="s">
        <v>187</v>
      </c>
      <c r="Q465" s="264" t="s">
        <v>187</v>
      </c>
      <c r="R465" s="264" t="s">
        <v>187</v>
      </c>
      <c r="S465" s="97" t="str">
        <f t="array" ref="S465">IF(A465="","", IF( (ROUND(I465,4) &lt; INDEX('Tabela de ingredientes'!$O$1:$V$30, SWITCH(B465, "Gelatos de Leite", 7, "Sorbets", 10, "Gelatos de Leite com Fruta", 13, "Chocolate base água", 16, "Vegano", 19, "Alcoólicos", 22, "Zero", 25, "Gelatos Proteicos", 28, 7), 1)) + (ROUND(I465,4) &gt; INDEX('Tabela de ingredientes'!$O$1:$V$30, SWITCH(B465, "Gelatos de Leite", 8, "Sorbets", 11, "Gelatos de Leite com Fruta", 14, "Chocolate base água", 17, "Vegano", 20, "Alcoólicos", 23, "Zero", 26, "Gelatos Proteicos", 29, 8), 1)) + (ROUND(J465,4) &lt; INDEX('Tabela de ingredientes'!$O$1:$V$30, SWITCH(B465, "Gelatos de Leite", 7, "Sorbets", 10, "Gelatos de Leite com Fruta", 13, "Chocolate base água", 16, "Vegano", 19, "Alcoólicos", 22, "Zero", 25, "Gelatos Proteicos", 28, 7), 2)) + (ROUND(J465,4) &gt; INDEX('Tabela de ingredientes'!$O$1:$V$30, SWITCH(B465, "Gelatos de Leite", 8, "Sorbets", 11, "Gelatos de Leite com Fruta", 14, "Chocolate base água", 17, "Vegano", 20, "Alcoólicos", 23, "Zero", 26, "Gelatos Proteicos", 29, 8), 2)) + (ROUND(K465,4) &lt; INDEX('Tabela de ingredientes'!$O$1:$V$30, SWITCH(B465, "Gelatos de Leite", 7, "Sorbets", 10, "Gelatos de Leite com Fruta", 13, "Chocolate base água", 16, "Vegano", 19, "Alcoólicos", 22, "Zero", 25, "Gelatos Proteicos", 28, 7), 3)) + (ROUND(K465,4) &gt; INDEX('Tabela de ingredientes'!$O$1:$V$30, SWITCH(B465, "Gelatos de Leite", 8, "Sorbets", 11, "Gelatos de Leite com Fruta", 14, "Chocolate base água", 17, "Vegano", 20, "Alcoólicos", 23, "Zero", 26, "Gelatos Proteicos", 29, 8), 3)) + (ROUND(L465,4) &lt; INDEX('Tabela de ingredientes'!$O$1:$V$30, SWITCH(B465, "Gelatos de Leite", 7, "Sorbets", 10, "Gelatos de Leite com Fruta", 13, "Chocolate base água", 16, "Vegano", 19, "Alcoólicos", 22, "Zero", 25, "Gelatos Proteicos", 28, 7), 4)) + (ROUND(L465,4) &gt; INDEX('Tabela de ingredientes'!$O$1:$V$30, SWITCH(B465, "Gelatos de Leite", 8, "Sorbets", 11, "Gelatos de Leite com Fruta", 14, "Chocolate base água", 17, "Vegano", 20, "Alcoólicos", 23, "Zero", 26, "Gelatos Proteicos", 29, 8), 4)) + (ROUND(M465,4) &lt; INDEX('Tabela de ingredientes'!$O$1:$V$30, SWITCH(B465, "Gelatos de Leite", 7, "Sorbets", 10, "Gelatos de Leite com Fruta", 13, "Chocolate base água", 16, "Vegano", 19, "Alcoólicos", 22, "Zero", 25, "Gelatos Proteicos", 28, 7), 5)) + (ROUND(M465,4) &gt; INDEX('Tabela de ingredientes'!$O$1:$V$30, SWITCH(B465, "Gelatos de Leite", 8, "Sorbets", 11, "Gelatos de Leite com Fruta", 14, "Chocolate base água", 17, "Vegano", 20, "Alcoólicos", 23, "Zero", 26, "Gelatos Proteicos", 29, 8), 5)) + (ROUND(N465,4) &lt; INDEX('Tabela de ingredientes'!$O$1:$V$30, SWITCH(B465, "Gelatos de Leite", 7, "Sorbets", 10, "Gelatos de Leite com Fruta", 13, "Chocolate base água", 16, "Vegano", 19, "Alcoólicos", 22, "Zero", 25, "Gelatos Proteicos", 28, 7), 6)) + (ROUND(N465,4) &gt; INDEX('Tabela de ingredientes'!$O$1:$V$30, SWITCH(B465, "Gelatos de Leite", 8, "Sorbets", 11, "Gelatos de Leite com Fruta", 14, "Chocolate base água", 17, "Vegano", 20, "Alcoólicos", 23, "Zero", 26, "Gelatos Proteicos", 29, 8), 6)) + (ROUND(O465,4) &lt; INDEX('Tabela de ingredientes'!$O$1:$V$30, SWITCH(B465, "Gelatos de Leite", 7, "Sorbets", 10, "Gelatos de Leite com Fruta", 13, "Chocolate base água", 16, "Vegano", 19, "Alcoólicos", 22, "Zero", 25, "Gelatos Proteicos", 28, 7), 7)) + (ROUND(O465,4) &gt; INDEX('Tabela de ingredientes'!$O$1:$V$30, SWITCH(B465, "Gelatos de Leite", 8, "Sorbets", 11, "Gelatos de Leite com Fruta", 14, "Chocolate base água", 17, "Vegano", 20, "Alcoólicos", 23, "Zero", 26, "Gelatos Proteicos", 29, 8), 7)) + (ROUND(P465,4) &lt; INDEX('Tabela de ingredientes'!$O$1:$V$30, SWITCH(B465, "Gelatos de Leite", 7, "Sorbets", 10, "Gelatos de Leite com Fruta", 13, "Chocolate base água", 16, "Vegano", 19, "Alcoólicos", 22, "Zero", 25, "Gelatos Proteicos", 28, 7), 8)) + (ROUND(P465,4) &gt; INDEX('Tabela de ingredientes'!$O$1:$V$30, SWITCH(B465, "Gelatos de Leite", 8, "Sorbets", 11, "Gelatos de Leite com Fruta", 14, "Chocolate base água", 17, "Vegano", 20, "Alcoólicos", 23, "Zero", 26, "Gelatos Proteicos", 29, 8), 8)) + IF(B465="Gelatos Proteicos", (ROUND(Q465,4)&lt;'Tabela de ingredientes'!$W$28)+(ROUND(Q465,4)&gt;'Tabela de ingredientes'!$W$29), 0) = 0, "Ok", "Revisar"))</f>
        <v/>
      </c>
    </row>
    <row r="466">
      <c r="A466" s="264"/>
      <c r="B466" s="264" t="s">
        <v>187</v>
      </c>
      <c r="C466" s="264" t="s">
        <v>187</v>
      </c>
      <c r="D466" s="264" t="s">
        <v>187</v>
      </c>
      <c r="E466" s="264" t="s">
        <v>187</v>
      </c>
      <c r="F466" s="264" t="s">
        <v>187</v>
      </c>
      <c r="G466" s="264" t="s">
        <v>187</v>
      </c>
      <c r="H466" s="264" t="s">
        <v>187</v>
      </c>
      <c r="I466" s="264" t="s">
        <v>187</v>
      </c>
      <c r="J466" s="264" t="s">
        <v>187</v>
      </c>
      <c r="K466" s="264" t="s">
        <v>187</v>
      </c>
      <c r="L466" s="264" t="s">
        <v>187</v>
      </c>
      <c r="M466" s="264" t="s">
        <v>187</v>
      </c>
      <c r="N466" s="264" t="s">
        <v>187</v>
      </c>
      <c r="O466" s="264" t="s">
        <v>187</v>
      </c>
      <c r="P466" s="264" t="s">
        <v>187</v>
      </c>
      <c r="Q466" s="264" t="s">
        <v>187</v>
      </c>
      <c r="R466" s="264" t="s">
        <v>187</v>
      </c>
      <c r="S466" s="97" t="str">
        <f t="array" ref="S466">IF(A466="","", IF( (ROUND(I466,4) &lt; INDEX('Tabela de ingredientes'!$O$1:$V$30, SWITCH(B466, "Gelatos de Leite", 7, "Sorbets", 10, "Gelatos de Leite com Fruta", 13, "Chocolate base água", 16, "Vegano", 19, "Alcoólicos", 22, "Zero", 25, "Gelatos Proteicos", 28, 7), 1)) + (ROUND(I466,4) &gt; INDEX('Tabela de ingredientes'!$O$1:$V$30, SWITCH(B466, "Gelatos de Leite", 8, "Sorbets", 11, "Gelatos de Leite com Fruta", 14, "Chocolate base água", 17, "Vegano", 20, "Alcoólicos", 23, "Zero", 26, "Gelatos Proteicos", 29, 8), 1)) + (ROUND(J466,4) &lt; INDEX('Tabela de ingredientes'!$O$1:$V$30, SWITCH(B466, "Gelatos de Leite", 7, "Sorbets", 10, "Gelatos de Leite com Fruta", 13, "Chocolate base água", 16, "Vegano", 19, "Alcoólicos", 22, "Zero", 25, "Gelatos Proteicos", 28, 7), 2)) + (ROUND(J466,4) &gt; INDEX('Tabela de ingredientes'!$O$1:$V$30, SWITCH(B466, "Gelatos de Leite", 8, "Sorbets", 11, "Gelatos de Leite com Fruta", 14, "Chocolate base água", 17, "Vegano", 20, "Alcoólicos", 23, "Zero", 26, "Gelatos Proteicos", 29, 8), 2)) + (ROUND(K466,4) &lt; INDEX('Tabela de ingredientes'!$O$1:$V$30, SWITCH(B466, "Gelatos de Leite", 7, "Sorbets", 10, "Gelatos de Leite com Fruta", 13, "Chocolate base água", 16, "Vegano", 19, "Alcoólicos", 22, "Zero", 25, "Gelatos Proteicos", 28, 7), 3)) + (ROUND(K466,4) &gt; INDEX('Tabela de ingredientes'!$O$1:$V$30, SWITCH(B466, "Gelatos de Leite", 8, "Sorbets", 11, "Gelatos de Leite com Fruta", 14, "Chocolate base água", 17, "Vegano", 20, "Alcoólicos", 23, "Zero", 26, "Gelatos Proteicos", 29, 8), 3)) + (ROUND(L466,4) &lt; INDEX('Tabela de ingredientes'!$O$1:$V$30, SWITCH(B466, "Gelatos de Leite", 7, "Sorbets", 10, "Gelatos de Leite com Fruta", 13, "Chocolate base água", 16, "Vegano", 19, "Alcoólicos", 22, "Zero", 25, "Gelatos Proteicos", 28, 7), 4)) + (ROUND(L466,4) &gt; INDEX('Tabela de ingredientes'!$O$1:$V$30, SWITCH(B466, "Gelatos de Leite", 8, "Sorbets", 11, "Gelatos de Leite com Fruta", 14, "Chocolate base água", 17, "Vegano", 20, "Alcoólicos", 23, "Zero", 26, "Gelatos Proteicos", 29, 8), 4)) + (ROUND(M466,4) &lt; INDEX('Tabela de ingredientes'!$O$1:$V$30, SWITCH(B466, "Gelatos de Leite", 7, "Sorbets", 10, "Gelatos de Leite com Fruta", 13, "Chocolate base água", 16, "Vegano", 19, "Alcoólicos", 22, "Zero", 25, "Gelatos Proteicos", 28, 7), 5)) + (ROUND(M466,4) &gt; INDEX('Tabela de ingredientes'!$O$1:$V$30, SWITCH(B466, "Gelatos de Leite", 8, "Sorbets", 11, "Gelatos de Leite com Fruta", 14, "Chocolate base água", 17, "Vegano", 20, "Alcoólicos", 23, "Zero", 26, "Gelatos Proteicos", 29, 8), 5)) + (ROUND(N466,4) &lt; INDEX('Tabela de ingredientes'!$O$1:$V$30, SWITCH(B466, "Gelatos de Leite", 7, "Sorbets", 10, "Gelatos de Leite com Fruta", 13, "Chocolate base água", 16, "Vegano", 19, "Alcoólicos", 22, "Zero", 25, "Gelatos Proteicos", 28, 7), 6)) + (ROUND(N466,4) &gt; INDEX('Tabela de ingredientes'!$O$1:$V$30, SWITCH(B466, "Gelatos de Leite", 8, "Sorbets", 11, "Gelatos de Leite com Fruta", 14, "Chocolate base água", 17, "Vegano", 20, "Alcoólicos", 23, "Zero", 26, "Gelatos Proteicos", 29, 8), 6)) + (ROUND(O466,4) &lt; INDEX('Tabela de ingredientes'!$O$1:$V$30, SWITCH(B466, "Gelatos de Leite", 7, "Sorbets", 10, "Gelatos de Leite com Fruta", 13, "Chocolate base água", 16, "Vegano", 19, "Alcoólicos", 22, "Zero", 25, "Gelatos Proteicos", 28, 7), 7)) + (ROUND(O466,4) &gt; INDEX('Tabela de ingredientes'!$O$1:$V$30, SWITCH(B466, "Gelatos de Leite", 8, "Sorbets", 11, "Gelatos de Leite com Fruta", 14, "Chocolate base água", 17, "Vegano", 20, "Alcoólicos", 23, "Zero", 26, "Gelatos Proteicos", 29, 8), 7)) + (ROUND(P466,4) &lt; INDEX('Tabela de ingredientes'!$O$1:$V$30, SWITCH(B466, "Gelatos de Leite", 7, "Sorbets", 10, "Gelatos de Leite com Fruta", 13, "Chocolate base água", 16, "Vegano", 19, "Alcoólicos", 22, "Zero", 25, "Gelatos Proteicos", 28, 7), 8)) + (ROUND(P466,4) &gt; INDEX('Tabela de ingredientes'!$O$1:$V$30, SWITCH(B466, "Gelatos de Leite", 8, "Sorbets", 11, "Gelatos de Leite com Fruta", 14, "Chocolate base água", 17, "Vegano", 20, "Alcoólicos", 23, "Zero", 26, "Gelatos Proteicos", 29, 8), 8)) + IF(B466="Gelatos Proteicos", (ROUND(Q466,4)&lt;'Tabela de ingredientes'!$W$28)+(ROUND(Q466,4)&gt;'Tabela de ingredientes'!$W$29), 0) = 0, "Ok", "Revisar"))</f>
        <v/>
      </c>
    </row>
    <row r="467">
      <c r="A467" s="264"/>
      <c r="B467" s="264" t="s">
        <v>187</v>
      </c>
      <c r="C467" s="264" t="s">
        <v>187</v>
      </c>
      <c r="D467" s="264" t="s">
        <v>187</v>
      </c>
      <c r="E467" s="264" t="s">
        <v>187</v>
      </c>
      <c r="F467" s="264" t="s">
        <v>187</v>
      </c>
      <c r="G467" s="264" t="s">
        <v>187</v>
      </c>
      <c r="H467" s="264" t="s">
        <v>187</v>
      </c>
      <c r="I467" s="264" t="s">
        <v>187</v>
      </c>
      <c r="J467" s="264" t="s">
        <v>187</v>
      </c>
      <c r="K467" s="264" t="s">
        <v>187</v>
      </c>
      <c r="L467" s="264" t="s">
        <v>187</v>
      </c>
      <c r="M467" s="264" t="s">
        <v>187</v>
      </c>
      <c r="N467" s="264" t="s">
        <v>187</v>
      </c>
      <c r="O467" s="264" t="s">
        <v>187</v>
      </c>
      <c r="P467" s="264" t="s">
        <v>187</v>
      </c>
      <c r="Q467" s="264" t="s">
        <v>187</v>
      </c>
      <c r="R467" s="264" t="s">
        <v>187</v>
      </c>
      <c r="S467" s="97" t="str">
        <f t="array" ref="S467">IF(A467="","", IF( (ROUND(I467,4) &lt; INDEX('Tabela de ingredientes'!$O$1:$V$30, SWITCH(B467, "Gelatos de Leite", 7, "Sorbets", 10, "Gelatos de Leite com Fruta", 13, "Chocolate base água", 16, "Vegano", 19, "Alcoólicos", 22, "Zero", 25, "Gelatos Proteicos", 28, 7), 1)) + (ROUND(I467,4) &gt; INDEX('Tabela de ingredientes'!$O$1:$V$30, SWITCH(B467, "Gelatos de Leite", 8, "Sorbets", 11, "Gelatos de Leite com Fruta", 14, "Chocolate base água", 17, "Vegano", 20, "Alcoólicos", 23, "Zero", 26, "Gelatos Proteicos", 29, 8), 1)) + (ROUND(J467,4) &lt; INDEX('Tabela de ingredientes'!$O$1:$V$30, SWITCH(B467, "Gelatos de Leite", 7, "Sorbets", 10, "Gelatos de Leite com Fruta", 13, "Chocolate base água", 16, "Vegano", 19, "Alcoólicos", 22, "Zero", 25, "Gelatos Proteicos", 28, 7), 2)) + (ROUND(J467,4) &gt; INDEX('Tabela de ingredientes'!$O$1:$V$30, SWITCH(B467, "Gelatos de Leite", 8, "Sorbets", 11, "Gelatos de Leite com Fruta", 14, "Chocolate base água", 17, "Vegano", 20, "Alcoólicos", 23, "Zero", 26, "Gelatos Proteicos", 29, 8), 2)) + (ROUND(K467,4) &lt; INDEX('Tabela de ingredientes'!$O$1:$V$30, SWITCH(B467, "Gelatos de Leite", 7, "Sorbets", 10, "Gelatos de Leite com Fruta", 13, "Chocolate base água", 16, "Vegano", 19, "Alcoólicos", 22, "Zero", 25, "Gelatos Proteicos", 28, 7), 3)) + (ROUND(K467,4) &gt; INDEX('Tabela de ingredientes'!$O$1:$V$30, SWITCH(B467, "Gelatos de Leite", 8, "Sorbets", 11, "Gelatos de Leite com Fruta", 14, "Chocolate base água", 17, "Vegano", 20, "Alcoólicos", 23, "Zero", 26, "Gelatos Proteicos", 29, 8), 3)) + (ROUND(L467,4) &lt; INDEX('Tabela de ingredientes'!$O$1:$V$30, SWITCH(B467, "Gelatos de Leite", 7, "Sorbets", 10, "Gelatos de Leite com Fruta", 13, "Chocolate base água", 16, "Vegano", 19, "Alcoólicos", 22, "Zero", 25, "Gelatos Proteicos", 28, 7), 4)) + (ROUND(L467,4) &gt; INDEX('Tabela de ingredientes'!$O$1:$V$30, SWITCH(B467, "Gelatos de Leite", 8, "Sorbets", 11, "Gelatos de Leite com Fruta", 14, "Chocolate base água", 17, "Vegano", 20, "Alcoólicos", 23, "Zero", 26, "Gelatos Proteicos", 29, 8), 4)) + (ROUND(M467,4) &lt; INDEX('Tabela de ingredientes'!$O$1:$V$30, SWITCH(B467, "Gelatos de Leite", 7, "Sorbets", 10, "Gelatos de Leite com Fruta", 13, "Chocolate base água", 16, "Vegano", 19, "Alcoólicos", 22, "Zero", 25, "Gelatos Proteicos", 28, 7), 5)) + (ROUND(M467,4) &gt; INDEX('Tabela de ingredientes'!$O$1:$V$30, SWITCH(B467, "Gelatos de Leite", 8, "Sorbets", 11, "Gelatos de Leite com Fruta", 14, "Chocolate base água", 17, "Vegano", 20, "Alcoólicos", 23, "Zero", 26, "Gelatos Proteicos", 29, 8), 5)) + (ROUND(N467,4) &lt; INDEX('Tabela de ingredientes'!$O$1:$V$30, SWITCH(B467, "Gelatos de Leite", 7, "Sorbets", 10, "Gelatos de Leite com Fruta", 13, "Chocolate base água", 16, "Vegano", 19, "Alcoólicos", 22, "Zero", 25, "Gelatos Proteicos", 28, 7), 6)) + (ROUND(N467,4) &gt; INDEX('Tabela de ingredientes'!$O$1:$V$30, SWITCH(B467, "Gelatos de Leite", 8, "Sorbets", 11, "Gelatos de Leite com Fruta", 14, "Chocolate base água", 17, "Vegano", 20, "Alcoólicos", 23, "Zero", 26, "Gelatos Proteicos", 29, 8), 6)) + (ROUND(O467,4) &lt; INDEX('Tabela de ingredientes'!$O$1:$V$30, SWITCH(B467, "Gelatos de Leite", 7, "Sorbets", 10, "Gelatos de Leite com Fruta", 13, "Chocolate base água", 16, "Vegano", 19, "Alcoólicos", 22, "Zero", 25, "Gelatos Proteicos", 28, 7), 7)) + (ROUND(O467,4) &gt; INDEX('Tabela de ingredientes'!$O$1:$V$30, SWITCH(B467, "Gelatos de Leite", 8, "Sorbets", 11, "Gelatos de Leite com Fruta", 14, "Chocolate base água", 17, "Vegano", 20, "Alcoólicos", 23, "Zero", 26, "Gelatos Proteicos", 29, 8), 7)) + (ROUND(P467,4) &lt; INDEX('Tabela de ingredientes'!$O$1:$V$30, SWITCH(B467, "Gelatos de Leite", 7, "Sorbets", 10, "Gelatos de Leite com Fruta", 13, "Chocolate base água", 16, "Vegano", 19, "Alcoólicos", 22, "Zero", 25, "Gelatos Proteicos", 28, 7), 8)) + (ROUND(P467,4) &gt; INDEX('Tabela de ingredientes'!$O$1:$V$30, SWITCH(B467, "Gelatos de Leite", 8, "Sorbets", 11, "Gelatos de Leite com Fruta", 14, "Chocolate base água", 17, "Vegano", 20, "Alcoólicos", 23, "Zero", 26, "Gelatos Proteicos", 29, 8), 8)) + IF(B467="Gelatos Proteicos", (ROUND(Q467,4)&lt;'Tabela de ingredientes'!$W$28)+(ROUND(Q467,4)&gt;'Tabela de ingredientes'!$W$29), 0) = 0, "Ok", "Revisar"))</f>
        <v/>
      </c>
    </row>
    <row r="468">
      <c r="A468" s="264"/>
      <c r="B468" s="264" t="s">
        <v>187</v>
      </c>
      <c r="C468" s="264" t="s">
        <v>187</v>
      </c>
      <c r="D468" s="264" t="s">
        <v>187</v>
      </c>
      <c r="E468" s="264" t="s">
        <v>187</v>
      </c>
      <c r="F468" s="264" t="s">
        <v>187</v>
      </c>
      <c r="G468" s="264" t="s">
        <v>187</v>
      </c>
      <c r="H468" s="264" t="s">
        <v>187</v>
      </c>
      <c r="I468" s="264" t="s">
        <v>187</v>
      </c>
      <c r="J468" s="264" t="s">
        <v>187</v>
      </c>
      <c r="K468" s="264" t="s">
        <v>187</v>
      </c>
      <c r="L468" s="264" t="s">
        <v>187</v>
      </c>
      <c r="M468" s="264" t="s">
        <v>187</v>
      </c>
      <c r="N468" s="264" t="s">
        <v>187</v>
      </c>
      <c r="O468" s="264" t="s">
        <v>187</v>
      </c>
      <c r="P468" s="264" t="s">
        <v>187</v>
      </c>
      <c r="Q468" s="264" t="s">
        <v>187</v>
      </c>
      <c r="R468" s="264" t="s">
        <v>187</v>
      </c>
      <c r="S468" s="97" t="str">
        <f t="array" ref="S468">IF(A468="","", IF( (ROUND(I468,4) &lt; INDEX('Tabela de ingredientes'!$O$1:$V$30, SWITCH(B468, "Gelatos de Leite", 7, "Sorbets", 10, "Gelatos de Leite com Fruta", 13, "Chocolate base água", 16, "Vegano", 19, "Alcoólicos", 22, "Zero", 25, "Gelatos Proteicos", 28, 7), 1)) + (ROUND(I468,4) &gt; INDEX('Tabela de ingredientes'!$O$1:$V$30, SWITCH(B468, "Gelatos de Leite", 8, "Sorbets", 11, "Gelatos de Leite com Fruta", 14, "Chocolate base água", 17, "Vegano", 20, "Alcoólicos", 23, "Zero", 26, "Gelatos Proteicos", 29, 8), 1)) + (ROUND(J468,4) &lt; INDEX('Tabela de ingredientes'!$O$1:$V$30, SWITCH(B468, "Gelatos de Leite", 7, "Sorbets", 10, "Gelatos de Leite com Fruta", 13, "Chocolate base água", 16, "Vegano", 19, "Alcoólicos", 22, "Zero", 25, "Gelatos Proteicos", 28, 7), 2)) + (ROUND(J468,4) &gt; INDEX('Tabela de ingredientes'!$O$1:$V$30, SWITCH(B468, "Gelatos de Leite", 8, "Sorbets", 11, "Gelatos de Leite com Fruta", 14, "Chocolate base água", 17, "Vegano", 20, "Alcoólicos", 23, "Zero", 26, "Gelatos Proteicos", 29, 8), 2)) + (ROUND(K468,4) &lt; INDEX('Tabela de ingredientes'!$O$1:$V$30, SWITCH(B468, "Gelatos de Leite", 7, "Sorbets", 10, "Gelatos de Leite com Fruta", 13, "Chocolate base água", 16, "Vegano", 19, "Alcoólicos", 22, "Zero", 25, "Gelatos Proteicos", 28, 7), 3)) + (ROUND(K468,4) &gt; INDEX('Tabela de ingredientes'!$O$1:$V$30, SWITCH(B468, "Gelatos de Leite", 8, "Sorbets", 11, "Gelatos de Leite com Fruta", 14, "Chocolate base água", 17, "Vegano", 20, "Alcoólicos", 23, "Zero", 26, "Gelatos Proteicos", 29, 8), 3)) + (ROUND(L468,4) &lt; INDEX('Tabela de ingredientes'!$O$1:$V$30, SWITCH(B468, "Gelatos de Leite", 7, "Sorbets", 10, "Gelatos de Leite com Fruta", 13, "Chocolate base água", 16, "Vegano", 19, "Alcoólicos", 22, "Zero", 25, "Gelatos Proteicos", 28, 7), 4)) + (ROUND(L468,4) &gt; INDEX('Tabela de ingredientes'!$O$1:$V$30, SWITCH(B468, "Gelatos de Leite", 8, "Sorbets", 11, "Gelatos de Leite com Fruta", 14, "Chocolate base água", 17, "Vegano", 20, "Alcoólicos", 23, "Zero", 26, "Gelatos Proteicos", 29, 8), 4)) + (ROUND(M468,4) &lt; INDEX('Tabela de ingredientes'!$O$1:$V$30, SWITCH(B468, "Gelatos de Leite", 7, "Sorbets", 10, "Gelatos de Leite com Fruta", 13, "Chocolate base água", 16, "Vegano", 19, "Alcoólicos", 22, "Zero", 25, "Gelatos Proteicos", 28, 7), 5)) + (ROUND(M468,4) &gt; INDEX('Tabela de ingredientes'!$O$1:$V$30, SWITCH(B468, "Gelatos de Leite", 8, "Sorbets", 11, "Gelatos de Leite com Fruta", 14, "Chocolate base água", 17, "Vegano", 20, "Alcoólicos", 23, "Zero", 26, "Gelatos Proteicos", 29, 8), 5)) + (ROUND(N468,4) &lt; INDEX('Tabela de ingredientes'!$O$1:$V$30, SWITCH(B468, "Gelatos de Leite", 7, "Sorbets", 10, "Gelatos de Leite com Fruta", 13, "Chocolate base água", 16, "Vegano", 19, "Alcoólicos", 22, "Zero", 25, "Gelatos Proteicos", 28, 7), 6)) + (ROUND(N468,4) &gt; INDEX('Tabela de ingredientes'!$O$1:$V$30, SWITCH(B468, "Gelatos de Leite", 8, "Sorbets", 11, "Gelatos de Leite com Fruta", 14, "Chocolate base água", 17, "Vegano", 20, "Alcoólicos", 23, "Zero", 26, "Gelatos Proteicos", 29, 8), 6)) + (ROUND(O468,4) &lt; INDEX('Tabela de ingredientes'!$O$1:$V$30, SWITCH(B468, "Gelatos de Leite", 7, "Sorbets", 10, "Gelatos de Leite com Fruta", 13, "Chocolate base água", 16, "Vegano", 19, "Alcoólicos", 22, "Zero", 25, "Gelatos Proteicos", 28, 7), 7)) + (ROUND(O468,4) &gt; INDEX('Tabela de ingredientes'!$O$1:$V$30, SWITCH(B468, "Gelatos de Leite", 8, "Sorbets", 11, "Gelatos de Leite com Fruta", 14, "Chocolate base água", 17, "Vegano", 20, "Alcoólicos", 23, "Zero", 26, "Gelatos Proteicos", 29, 8), 7)) + (ROUND(P468,4) &lt; INDEX('Tabela de ingredientes'!$O$1:$V$30, SWITCH(B468, "Gelatos de Leite", 7, "Sorbets", 10, "Gelatos de Leite com Fruta", 13, "Chocolate base água", 16, "Vegano", 19, "Alcoólicos", 22, "Zero", 25, "Gelatos Proteicos", 28, 7), 8)) + (ROUND(P468,4) &gt; INDEX('Tabela de ingredientes'!$O$1:$V$30, SWITCH(B468, "Gelatos de Leite", 8, "Sorbets", 11, "Gelatos de Leite com Fruta", 14, "Chocolate base água", 17, "Vegano", 20, "Alcoólicos", 23, "Zero", 26, "Gelatos Proteicos", 29, 8), 8)) + IF(B468="Gelatos Proteicos", (ROUND(Q468,4)&lt;'Tabela de ingredientes'!$W$28)+(ROUND(Q468,4)&gt;'Tabela de ingredientes'!$W$29), 0) = 0, "Ok", "Revisar"))</f>
        <v/>
      </c>
    </row>
    <row r="469">
      <c r="A469" s="264"/>
      <c r="B469" s="264" t="s">
        <v>187</v>
      </c>
      <c r="C469" s="264" t="s">
        <v>187</v>
      </c>
      <c r="D469" s="264" t="s">
        <v>187</v>
      </c>
      <c r="E469" s="264" t="s">
        <v>187</v>
      </c>
      <c r="F469" s="264" t="s">
        <v>187</v>
      </c>
      <c r="G469" s="264" t="s">
        <v>187</v>
      </c>
      <c r="H469" s="264" t="s">
        <v>187</v>
      </c>
      <c r="I469" s="264" t="s">
        <v>187</v>
      </c>
      <c r="J469" s="264" t="s">
        <v>187</v>
      </c>
      <c r="K469" s="264" t="s">
        <v>187</v>
      </c>
      <c r="L469" s="264" t="s">
        <v>187</v>
      </c>
      <c r="M469" s="264" t="s">
        <v>187</v>
      </c>
      <c r="N469" s="264" t="s">
        <v>187</v>
      </c>
      <c r="O469" s="264" t="s">
        <v>187</v>
      </c>
      <c r="P469" s="264" t="s">
        <v>187</v>
      </c>
      <c r="Q469" s="264" t="s">
        <v>187</v>
      </c>
      <c r="R469" s="264" t="s">
        <v>187</v>
      </c>
      <c r="S469" s="97" t="str">
        <f t="array" ref="S469">IF(A469="","", IF( (ROUND(I469,4) &lt; INDEX('Tabela de ingredientes'!$O$1:$V$30, SWITCH(B469, "Gelatos de Leite", 7, "Sorbets", 10, "Gelatos de Leite com Fruta", 13, "Chocolate base água", 16, "Vegano", 19, "Alcoólicos", 22, "Zero", 25, "Gelatos Proteicos", 28, 7), 1)) + (ROUND(I469,4) &gt; INDEX('Tabela de ingredientes'!$O$1:$V$30, SWITCH(B469, "Gelatos de Leite", 8, "Sorbets", 11, "Gelatos de Leite com Fruta", 14, "Chocolate base água", 17, "Vegano", 20, "Alcoólicos", 23, "Zero", 26, "Gelatos Proteicos", 29, 8), 1)) + (ROUND(J469,4) &lt; INDEX('Tabela de ingredientes'!$O$1:$V$30, SWITCH(B469, "Gelatos de Leite", 7, "Sorbets", 10, "Gelatos de Leite com Fruta", 13, "Chocolate base água", 16, "Vegano", 19, "Alcoólicos", 22, "Zero", 25, "Gelatos Proteicos", 28, 7), 2)) + (ROUND(J469,4) &gt; INDEX('Tabela de ingredientes'!$O$1:$V$30, SWITCH(B469, "Gelatos de Leite", 8, "Sorbets", 11, "Gelatos de Leite com Fruta", 14, "Chocolate base água", 17, "Vegano", 20, "Alcoólicos", 23, "Zero", 26, "Gelatos Proteicos", 29, 8), 2)) + (ROUND(K469,4) &lt; INDEX('Tabela de ingredientes'!$O$1:$V$30, SWITCH(B469, "Gelatos de Leite", 7, "Sorbets", 10, "Gelatos de Leite com Fruta", 13, "Chocolate base água", 16, "Vegano", 19, "Alcoólicos", 22, "Zero", 25, "Gelatos Proteicos", 28, 7), 3)) + (ROUND(K469,4) &gt; INDEX('Tabela de ingredientes'!$O$1:$V$30, SWITCH(B469, "Gelatos de Leite", 8, "Sorbets", 11, "Gelatos de Leite com Fruta", 14, "Chocolate base água", 17, "Vegano", 20, "Alcoólicos", 23, "Zero", 26, "Gelatos Proteicos", 29, 8), 3)) + (ROUND(L469,4) &lt; INDEX('Tabela de ingredientes'!$O$1:$V$30, SWITCH(B469, "Gelatos de Leite", 7, "Sorbets", 10, "Gelatos de Leite com Fruta", 13, "Chocolate base água", 16, "Vegano", 19, "Alcoólicos", 22, "Zero", 25, "Gelatos Proteicos", 28, 7), 4)) + (ROUND(L469,4) &gt; INDEX('Tabela de ingredientes'!$O$1:$V$30, SWITCH(B469, "Gelatos de Leite", 8, "Sorbets", 11, "Gelatos de Leite com Fruta", 14, "Chocolate base água", 17, "Vegano", 20, "Alcoólicos", 23, "Zero", 26, "Gelatos Proteicos", 29, 8), 4)) + (ROUND(M469,4) &lt; INDEX('Tabela de ingredientes'!$O$1:$V$30, SWITCH(B469, "Gelatos de Leite", 7, "Sorbets", 10, "Gelatos de Leite com Fruta", 13, "Chocolate base água", 16, "Vegano", 19, "Alcoólicos", 22, "Zero", 25, "Gelatos Proteicos", 28, 7), 5)) + (ROUND(M469,4) &gt; INDEX('Tabela de ingredientes'!$O$1:$V$30, SWITCH(B469, "Gelatos de Leite", 8, "Sorbets", 11, "Gelatos de Leite com Fruta", 14, "Chocolate base água", 17, "Vegano", 20, "Alcoólicos", 23, "Zero", 26, "Gelatos Proteicos", 29, 8), 5)) + (ROUND(N469,4) &lt; INDEX('Tabela de ingredientes'!$O$1:$V$30, SWITCH(B469, "Gelatos de Leite", 7, "Sorbets", 10, "Gelatos de Leite com Fruta", 13, "Chocolate base água", 16, "Vegano", 19, "Alcoólicos", 22, "Zero", 25, "Gelatos Proteicos", 28, 7), 6)) + (ROUND(N469,4) &gt; INDEX('Tabela de ingredientes'!$O$1:$V$30, SWITCH(B469, "Gelatos de Leite", 8, "Sorbets", 11, "Gelatos de Leite com Fruta", 14, "Chocolate base água", 17, "Vegano", 20, "Alcoólicos", 23, "Zero", 26, "Gelatos Proteicos", 29, 8), 6)) + (ROUND(O469,4) &lt; INDEX('Tabela de ingredientes'!$O$1:$V$30, SWITCH(B469, "Gelatos de Leite", 7, "Sorbets", 10, "Gelatos de Leite com Fruta", 13, "Chocolate base água", 16, "Vegano", 19, "Alcoólicos", 22, "Zero", 25, "Gelatos Proteicos", 28, 7), 7)) + (ROUND(O469,4) &gt; INDEX('Tabela de ingredientes'!$O$1:$V$30, SWITCH(B469, "Gelatos de Leite", 8, "Sorbets", 11, "Gelatos de Leite com Fruta", 14, "Chocolate base água", 17, "Vegano", 20, "Alcoólicos", 23, "Zero", 26, "Gelatos Proteicos", 29, 8), 7)) + (ROUND(P469,4) &lt; INDEX('Tabela de ingredientes'!$O$1:$V$30, SWITCH(B469, "Gelatos de Leite", 7, "Sorbets", 10, "Gelatos de Leite com Fruta", 13, "Chocolate base água", 16, "Vegano", 19, "Alcoólicos", 22, "Zero", 25, "Gelatos Proteicos", 28, 7), 8)) + (ROUND(P469,4) &gt; INDEX('Tabela de ingredientes'!$O$1:$V$30, SWITCH(B469, "Gelatos de Leite", 8, "Sorbets", 11, "Gelatos de Leite com Fruta", 14, "Chocolate base água", 17, "Vegano", 20, "Alcoólicos", 23, "Zero", 26, "Gelatos Proteicos", 29, 8), 8)) + IF(B469="Gelatos Proteicos", (ROUND(Q469,4)&lt;'Tabela de ingredientes'!$W$28)+(ROUND(Q469,4)&gt;'Tabela de ingredientes'!$W$29), 0) = 0, "Ok", "Revisar"))</f>
        <v/>
      </c>
    </row>
    <row r="470">
      <c r="A470" s="264"/>
      <c r="B470" s="264" t="s">
        <v>187</v>
      </c>
      <c r="C470" s="264" t="s">
        <v>187</v>
      </c>
      <c r="D470" s="264" t="s">
        <v>187</v>
      </c>
      <c r="E470" s="264" t="s">
        <v>187</v>
      </c>
      <c r="F470" s="264" t="s">
        <v>187</v>
      </c>
      <c r="G470" s="264" t="s">
        <v>187</v>
      </c>
      <c r="H470" s="264" t="s">
        <v>187</v>
      </c>
      <c r="I470" s="264" t="s">
        <v>187</v>
      </c>
      <c r="J470" s="264" t="s">
        <v>187</v>
      </c>
      <c r="K470" s="264" t="s">
        <v>187</v>
      </c>
      <c r="L470" s="264" t="s">
        <v>187</v>
      </c>
      <c r="M470" s="264" t="s">
        <v>187</v>
      </c>
      <c r="N470" s="264" t="s">
        <v>187</v>
      </c>
      <c r="O470" s="264" t="s">
        <v>187</v>
      </c>
      <c r="P470" s="264" t="s">
        <v>187</v>
      </c>
      <c r="Q470" s="264" t="s">
        <v>187</v>
      </c>
      <c r="R470" s="264" t="s">
        <v>187</v>
      </c>
      <c r="S470" s="97" t="str">
        <f t="array" ref="S470">IF(A470="","", IF( (ROUND(I470,4) &lt; INDEX('Tabela de ingredientes'!$O$1:$V$30, SWITCH(B470, "Gelatos de Leite", 7, "Sorbets", 10, "Gelatos de Leite com Fruta", 13, "Chocolate base água", 16, "Vegano", 19, "Alcoólicos", 22, "Zero", 25, "Gelatos Proteicos", 28, 7), 1)) + (ROUND(I470,4) &gt; INDEX('Tabela de ingredientes'!$O$1:$V$30, SWITCH(B470, "Gelatos de Leite", 8, "Sorbets", 11, "Gelatos de Leite com Fruta", 14, "Chocolate base água", 17, "Vegano", 20, "Alcoólicos", 23, "Zero", 26, "Gelatos Proteicos", 29, 8), 1)) + (ROUND(J470,4) &lt; INDEX('Tabela de ingredientes'!$O$1:$V$30, SWITCH(B470, "Gelatos de Leite", 7, "Sorbets", 10, "Gelatos de Leite com Fruta", 13, "Chocolate base água", 16, "Vegano", 19, "Alcoólicos", 22, "Zero", 25, "Gelatos Proteicos", 28, 7), 2)) + (ROUND(J470,4) &gt; INDEX('Tabela de ingredientes'!$O$1:$V$30, SWITCH(B470, "Gelatos de Leite", 8, "Sorbets", 11, "Gelatos de Leite com Fruta", 14, "Chocolate base água", 17, "Vegano", 20, "Alcoólicos", 23, "Zero", 26, "Gelatos Proteicos", 29, 8), 2)) + (ROUND(K470,4) &lt; INDEX('Tabela de ingredientes'!$O$1:$V$30, SWITCH(B470, "Gelatos de Leite", 7, "Sorbets", 10, "Gelatos de Leite com Fruta", 13, "Chocolate base água", 16, "Vegano", 19, "Alcoólicos", 22, "Zero", 25, "Gelatos Proteicos", 28, 7), 3)) + (ROUND(K470,4) &gt; INDEX('Tabela de ingredientes'!$O$1:$V$30, SWITCH(B470, "Gelatos de Leite", 8, "Sorbets", 11, "Gelatos de Leite com Fruta", 14, "Chocolate base água", 17, "Vegano", 20, "Alcoólicos", 23, "Zero", 26, "Gelatos Proteicos", 29, 8), 3)) + (ROUND(L470,4) &lt; INDEX('Tabela de ingredientes'!$O$1:$V$30, SWITCH(B470, "Gelatos de Leite", 7, "Sorbets", 10, "Gelatos de Leite com Fruta", 13, "Chocolate base água", 16, "Vegano", 19, "Alcoólicos", 22, "Zero", 25, "Gelatos Proteicos", 28, 7), 4)) + (ROUND(L470,4) &gt; INDEX('Tabela de ingredientes'!$O$1:$V$30, SWITCH(B470, "Gelatos de Leite", 8, "Sorbets", 11, "Gelatos de Leite com Fruta", 14, "Chocolate base água", 17, "Vegano", 20, "Alcoólicos", 23, "Zero", 26, "Gelatos Proteicos", 29, 8), 4)) + (ROUND(M470,4) &lt; INDEX('Tabela de ingredientes'!$O$1:$V$30, SWITCH(B470, "Gelatos de Leite", 7, "Sorbets", 10, "Gelatos de Leite com Fruta", 13, "Chocolate base água", 16, "Vegano", 19, "Alcoólicos", 22, "Zero", 25, "Gelatos Proteicos", 28, 7), 5)) + (ROUND(M470,4) &gt; INDEX('Tabela de ingredientes'!$O$1:$V$30, SWITCH(B470, "Gelatos de Leite", 8, "Sorbets", 11, "Gelatos de Leite com Fruta", 14, "Chocolate base água", 17, "Vegano", 20, "Alcoólicos", 23, "Zero", 26, "Gelatos Proteicos", 29, 8), 5)) + (ROUND(N470,4) &lt; INDEX('Tabela de ingredientes'!$O$1:$V$30, SWITCH(B470, "Gelatos de Leite", 7, "Sorbets", 10, "Gelatos de Leite com Fruta", 13, "Chocolate base água", 16, "Vegano", 19, "Alcoólicos", 22, "Zero", 25, "Gelatos Proteicos", 28, 7), 6)) + (ROUND(N470,4) &gt; INDEX('Tabela de ingredientes'!$O$1:$V$30, SWITCH(B470, "Gelatos de Leite", 8, "Sorbets", 11, "Gelatos de Leite com Fruta", 14, "Chocolate base água", 17, "Vegano", 20, "Alcoólicos", 23, "Zero", 26, "Gelatos Proteicos", 29, 8), 6)) + (ROUND(O470,4) &lt; INDEX('Tabela de ingredientes'!$O$1:$V$30, SWITCH(B470, "Gelatos de Leite", 7, "Sorbets", 10, "Gelatos de Leite com Fruta", 13, "Chocolate base água", 16, "Vegano", 19, "Alcoólicos", 22, "Zero", 25, "Gelatos Proteicos", 28, 7), 7)) + (ROUND(O470,4) &gt; INDEX('Tabela de ingredientes'!$O$1:$V$30, SWITCH(B470, "Gelatos de Leite", 8, "Sorbets", 11, "Gelatos de Leite com Fruta", 14, "Chocolate base água", 17, "Vegano", 20, "Alcoólicos", 23, "Zero", 26, "Gelatos Proteicos", 29, 8), 7)) + (ROUND(P470,4) &lt; INDEX('Tabela de ingredientes'!$O$1:$V$30, SWITCH(B470, "Gelatos de Leite", 7, "Sorbets", 10, "Gelatos de Leite com Fruta", 13, "Chocolate base água", 16, "Vegano", 19, "Alcoólicos", 22, "Zero", 25, "Gelatos Proteicos", 28, 7), 8)) + (ROUND(P470,4) &gt; INDEX('Tabela de ingredientes'!$O$1:$V$30, SWITCH(B470, "Gelatos de Leite", 8, "Sorbets", 11, "Gelatos de Leite com Fruta", 14, "Chocolate base água", 17, "Vegano", 20, "Alcoólicos", 23, "Zero", 26, "Gelatos Proteicos", 29, 8), 8)) + IF(B470="Gelatos Proteicos", (ROUND(Q470,4)&lt;'Tabela de ingredientes'!$W$28)+(ROUND(Q470,4)&gt;'Tabela de ingredientes'!$W$29), 0) = 0, "Ok", "Revisar"))</f>
        <v/>
      </c>
    </row>
    <row r="471">
      <c r="A471" s="264"/>
      <c r="B471" s="264" t="s">
        <v>187</v>
      </c>
      <c r="C471" s="264" t="s">
        <v>187</v>
      </c>
      <c r="D471" s="264" t="s">
        <v>187</v>
      </c>
      <c r="E471" s="264" t="s">
        <v>187</v>
      </c>
      <c r="F471" s="264" t="s">
        <v>187</v>
      </c>
      <c r="G471" s="264" t="s">
        <v>187</v>
      </c>
      <c r="H471" s="264" t="s">
        <v>187</v>
      </c>
      <c r="I471" s="264" t="s">
        <v>187</v>
      </c>
      <c r="J471" s="264" t="s">
        <v>187</v>
      </c>
      <c r="K471" s="264" t="s">
        <v>187</v>
      </c>
      <c r="L471" s="264" t="s">
        <v>187</v>
      </c>
      <c r="M471" s="264" t="s">
        <v>187</v>
      </c>
      <c r="N471" s="264" t="s">
        <v>187</v>
      </c>
      <c r="O471" s="264" t="s">
        <v>187</v>
      </c>
      <c r="P471" s="264" t="s">
        <v>187</v>
      </c>
      <c r="Q471" s="264" t="s">
        <v>187</v>
      </c>
      <c r="R471" s="264" t="s">
        <v>187</v>
      </c>
      <c r="S471" s="97" t="str">
        <f t="array" ref="S471">IF(A471="","", IF( (ROUND(I471,4) &lt; INDEX('Tabela de ingredientes'!$O$1:$V$30, SWITCH(B471, "Gelatos de Leite", 7, "Sorbets", 10, "Gelatos de Leite com Fruta", 13, "Chocolate base água", 16, "Vegano", 19, "Alcoólicos", 22, "Zero", 25, "Gelatos Proteicos", 28, 7), 1)) + (ROUND(I471,4) &gt; INDEX('Tabela de ingredientes'!$O$1:$V$30, SWITCH(B471, "Gelatos de Leite", 8, "Sorbets", 11, "Gelatos de Leite com Fruta", 14, "Chocolate base água", 17, "Vegano", 20, "Alcoólicos", 23, "Zero", 26, "Gelatos Proteicos", 29, 8), 1)) + (ROUND(J471,4) &lt; INDEX('Tabela de ingredientes'!$O$1:$V$30, SWITCH(B471, "Gelatos de Leite", 7, "Sorbets", 10, "Gelatos de Leite com Fruta", 13, "Chocolate base água", 16, "Vegano", 19, "Alcoólicos", 22, "Zero", 25, "Gelatos Proteicos", 28, 7), 2)) + (ROUND(J471,4) &gt; INDEX('Tabela de ingredientes'!$O$1:$V$30, SWITCH(B471, "Gelatos de Leite", 8, "Sorbets", 11, "Gelatos de Leite com Fruta", 14, "Chocolate base água", 17, "Vegano", 20, "Alcoólicos", 23, "Zero", 26, "Gelatos Proteicos", 29, 8), 2)) + (ROUND(K471,4) &lt; INDEX('Tabela de ingredientes'!$O$1:$V$30, SWITCH(B471, "Gelatos de Leite", 7, "Sorbets", 10, "Gelatos de Leite com Fruta", 13, "Chocolate base água", 16, "Vegano", 19, "Alcoólicos", 22, "Zero", 25, "Gelatos Proteicos", 28, 7), 3)) + (ROUND(K471,4) &gt; INDEX('Tabela de ingredientes'!$O$1:$V$30, SWITCH(B471, "Gelatos de Leite", 8, "Sorbets", 11, "Gelatos de Leite com Fruta", 14, "Chocolate base água", 17, "Vegano", 20, "Alcoólicos", 23, "Zero", 26, "Gelatos Proteicos", 29, 8), 3)) + (ROUND(L471,4) &lt; INDEX('Tabela de ingredientes'!$O$1:$V$30, SWITCH(B471, "Gelatos de Leite", 7, "Sorbets", 10, "Gelatos de Leite com Fruta", 13, "Chocolate base água", 16, "Vegano", 19, "Alcoólicos", 22, "Zero", 25, "Gelatos Proteicos", 28, 7), 4)) + (ROUND(L471,4) &gt; INDEX('Tabela de ingredientes'!$O$1:$V$30, SWITCH(B471, "Gelatos de Leite", 8, "Sorbets", 11, "Gelatos de Leite com Fruta", 14, "Chocolate base água", 17, "Vegano", 20, "Alcoólicos", 23, "Zero", 26, "Gelatos Proteicos", 29, 8), 4)) + (ROUND(M471,4) &lt; INDEX('Tabela de ingredientes'!$O$1:$V$30, SWITCH(B471, "Gelatos de Leite", 7, "Sorbets", 10, "Gelatos de Leite com Fruta", 13, "Chocolate base água", 16, "Vegano", 19, "Alcoólicos", 22, "Zero", 25, "Gelatos Proteicos", 28, 7), 5)) + (ROUND(M471,4) &gt; INDEX('Tabela de ingredientes'!$O$1:$V$30, SWITCH(B471, "Gelatos de Leite", 8, "Sorbets", 11, "Gelatos de Leite com Fruta", 14, "Chocolate base água", 17, "Vegano", 20, "Alcoólicos", 23, "Zero", 26, "Gelatos Proteicos", 29, 8), 5)) + (ROUND(N471,4) &lt; INDEX('Tabela de ingredientes'!$O$1:$V$30, SWITCH(B471, "Gelatos de Leite", 7, "Sorbets", 10, "Gelatos de Leite com Fruta", 13, "Chocolate base água", 16, "Vegano", 19, "Alcoólicos", 22, "Zero", 25, "Gelatos Proteicos", 28, 7), 6)) + (ROUND(N471,4) &gt; INDEX('Tabela de ingredientes'!$O$1:$V$30, SWITCH(B471, "Gelatos de Leite", 8, "Sorbets", 11, "Gelatos de Leite com Fruta", 14, "Chocolate base água", 17, "Vegano", 20, "Alcoólicos", 23, "Zero", 26, "Gelatos Proteicos", 29, 8), 6)) + (ROUND(O471,4) &lt; INDEX('Tabela de ingredientes'!$O$1:$V$30, SWITCH(B471, "Gelatos de Leite", 7, "Sorbets", 10, "Gelatos de Leite com Fruta", 13, "Chocolate base água", 16, "Vegano", 19, "Alcoólicos", 22, "Zero", 25, "Gelatos Proteicos", 28, 7), 7)) + (ROUND(O471,4) &gt; INDEX('Tabela de ingredientes'!$O$1:$V$30, SWITCH(B471, "Gelatos de Leite", 8, "Sorbets", 11, "Gelatos de Leite com Fruta", 14, "Chocolate base água", 17, "Vegano", 20, "Alcoólicos", 23, "Zero", 26, "Gelatos Proteicos", 29, 8), 7)) + (ROUND(P471,4) &lt; INDEX('Tabela de ingredientes'!$O$1:$V$30, SWITCH(B471, "Gelatos de Leite", 7, "Sorbets", 10, "Gelatos de Leite com Fruta", 13, "Chocolate base água", 16, "Vegano", 19, "Alcoólicos", 22, "Zero", 25, "Gelatos Proteicos", 28, 7), 8)) + (ROUND(P471,4) &gt; INDEX('Tabela de ingredientes'!$O$1:$V$30, SWITCH(B471, "Gelatos de Leite", 8, "Sorbets", 11, "Gelatos de Leite com Fruta", 14, "Chocolate base água", 17, "Vegano", 20, "Alcoólicos", 23, "Zero", 26, "Gelatos Proteicos", 29, 8), 8)) + IF(B471="Gelatos Proteicos", (ROUND(Q471,4)&lt;'Tabela de ingredientes'!$W$28)+(ROUND(Q471,4)&gt;'Tabela de ingredientes'!$W$29), 0) = 0, "Ok", "Revisar"))</f>
        <v/>
      </c>
    </row>
    <row r="472">
      <c r="A472" s="264"/>
      <c r="B472" s="264" t="s">
        <v>187</v>
      </c>
      <c r="C472" s="264" t="s">
        <v>187</v>
      </c>
      <c r="D472" s="264" t="s">
        <v>187</v>
      </c>
      <c r="E472" s="264" t="s">
        <v>187</v>
      </c>
      <c r="F472" s="264" t="s">
        <v>187</v>
      </c>
      <c r="G472" s="264" t="s">
        <v>187</v>
      </c>
      <c r="H472" s="264" t="s">
        <v>187</v>
      </c>
      <c r="I472" s="264" t="s">
        <v>187</v>
      </c>
      <c r="J472" s="264" t="s">
        <v>187</v>
      </c>
      <c r="K472" s="264" t="s">
        <v>187</v>
      </c>
      <c r="L472" s="264" t="s">
        <v>187</v>
      </c>
      <c r="M472" s="264" t="s">
        <v>187</v>
      </c>
      <c r="N472" s="264" t="s">
        <v>187</v>
      </c>
      <c r="O472" s="264" t="s">
        <v>187</v>
      </c>
      <c r="P472" s="264" t="s">
        <v>187</v>
      </c>
      <c r="Q472" s="264" t="s">
        <v>187</v>
      </c>
      <c r="R472" s="264" t="s">
        <v>187</v>
      </c>
      <c r="S472" s="97" t="str">
        <f t="array" ref="S472">IF(A472="","", IF( (ROUND(I472,4) &lt; INDEX('Tabela de ingredientes'!$O$1:$V$30, SWITCH(B472, "Gelatos de Leite", 7, "Sorbets", 10, "Gelatos de Leite com Fruta", 13, "Chocolate base água", 16, "Vegano", 19, "Alcoólicos", 22, "Zero", 25, "Gelatos Proteicos", 28, 7), 1)) + (ROUND(I472,4) &gt; INDEX('Tabela de ingredientes'!$O$1:$V$30, SWITCH(B472, "Gelatos de Leite", 8, "Sorbets", 11, "Gelatos de Leite com Fruta", 14, "Chocolate base água", 17, "Vegano", 20, "Alcoólicos", 23, "Zero", 26, "Gelatos Proteicos", 29, 8), 1)) + (ROUND(J472,4) &lt; INDEX('Tabela de ingredientes'!$O$1:$V$30, SWITCH(B472, "Gelatos de Leite", 7, "Sorbets", 10, "Gelatos de Leite com Fruta", 13, "Chocolate base água", 16, "Vegano", 19, "Alcoólicos", 22, "Zero", 25, "Gelatos Proteicos", 28, 7), 2)) + (ROUND(J472,4) &gt; INDEX('Tabela de ingredientes'!$O$1:$V$30, SWITCH(B472, "Gelatos de Leite", 8, "Sorbets", 11, "Gelatos de Leite com Fruta", 14, "Chocolate base água", 17, "Vegano", 20, "Alcoólicos", 23, "Zero", 26, "Gelatos Proteicos", 29, 8), 2)) + (ROUND(K472,4) &lt; INDEX('Tabela de ingredientes'!$O$1:$V$30, SWITCH(B472, "Gelatos de Leite", 7, "Sorbets", 10, "Gelatos de Leite com Fruta", 13, "Chocolate base água", 16, "Vegano", 19, "Alcoólicos", 22, "Zero", 25, "Gelatos Proteicos", 28, 7), 3)) + (ROUND(K472,4) &gt; INDEX('Tabela de ingredientes'!$O$1:$V$30, SWITCH(B472, "Gelatos de Leite", 8, "Sorbets", 11, "Gelatos de Leite com Fruta", 14, "Chocolate base água", 17, "Vegano", 20, "Alcoólicos", 23, "Zero", 26, "Gelatos Proteicos", 29, 8), 3)) + (ROUND(L472,4) &lt; INDEX('Tabela de ingredientes'!$O$1:$V$30, SWITCH(B472, "Gelatos de Leite", 7, "Sorbets", 10, "Gelatos de Leite com Fruta", 13, "Chocolate base água", 16, "Vegano", 19, "Alcoólicos", 22, "Zero", 25, "Gelatos Proteicos", 28, 7), 4)) + (ROUND(L472,4) &gt; INDEX('Tabela de ingredientes'!$O$1:$V$30, SWITCH(B472, "Gelatos de Leite", 8, "Sorbets", 11, "Gelatos de Leite com Fruta", 14, "Chocolate base água", 17, "Vegano", 20, "Alcoólicos", 23, "Zero", 26, "Gelatos Proteicos", 29, 8), 4)) + (ROUND(M472,4) &lt; INDEX('Tabela de ingredientes'!$O$1:$V$30, SWITCH(B472, "Gelatos de Leite", 7, "Sorbets", 10, "Gelatos de Leite com Fruta", 13, "Chocolate base água", 16, "Vegano", 19, "Alcoólicos", 22, "Zero", 25, "Gelatos Proteicos", 28, 7), 5)) + (ROUND(M472,4) &gt; INDEX('Tabela de ingredientes'!$O$1:$V$30, SWITCH(B472, "Gelatos de Leite", 8, "Sorbets", 11, "Gelatos de Leite com Fruta", 14, "Chocolate base água", 17, "Vegano", 20, "Alcoólicos", 23, "Zero", 26, "Gelatos Proteicos", 29, 8), 5)) + (ROUND(N472,4) &lt; INDEX('Tabela de ingredientes'!$O$1:$V$30, SWITCH(B472, "Gelatos de Leite", 7, "Sorbets", 10, "Gelatos de Leite com Fruta", 13, "Chocolate base água", 16, "Vegano", 19, "Alcoólicos", 22, "Zero", 25, "Gelatos Proteicos", 28, 7), 6)) + (ROUND(N472,4) &gt; INDEX('Tabela de ingredientes'!$O$1:$V$30, SWITCH(B472, "Gelatos de Leite", 8, "Sorbets", 11, "Gelatos de Leite com Fruta", 14, "Chocolate base água", 17, "Vegano", 20, "Alcoólicos", 23, "Zero", 26, "Gelatos Proteicos", 29, 8), 6)) + (ROUND(O472,4) &lt; INDEX('Tabela de ingredientes'!$O$1:$V$30, SWITCH(B472, "Gelatos de Leite", 7, "Sorbets", 10, "Gelatos de Leite com Fruta", 13, "Chocolate base água", 16, "Vegano", 19, "Alcoólicos", 22, "Zero", 25, "Gelatos Proteicos", 28, 7), 7)) + (ROUND(O472,4) &gt; INDEX('Tabela de ingredientes'!$O$1:$V$30, SWITCH(B472, "Gelatos de Leite", 8, "Sorbets", 11, "Gelatos de Leite com Fruta", 14, "Chocolate base água", 17, "Vegano", 20, "Alcoólicos", 23, "Zero", 26, "Gelatos Proteicos", 29, 8), 7)) + (ROUND(P472,4) &lt; INDEX('Tabela de ingredientes'!$O$1:$V$30, SWITCH(B472, "Gelatos de Leite", 7, "Sorbets", 10, "Gelatos de Leite com Fruta", 13, "Chocolate base água", 16, "Vegano", 19, "Alcoólicos", 22, "Zero", 25, "Gelatos Proteicos", 28, 7), 8)) + (ROUND(P472,4) &gt; INDEX('Tabela de ingredientes'!$O$1:$V$30, SWITCH(B472, "Gelatos de Leite", 8, "Sorbets", 11, "Gelatos de Leite com Fruta", 14, "Chocolate base água", 17, "Vegano", 20, "Alcoólicos", 23, "Zero", 26, "Gelatos Proteicos", 29, 8), 8)) + IF(B472="Gelatos Proteicos", (ROUND(Q472,4)&lt;'Tabela de ingredientes'!$W$28)+(ROUND(Q472,4)&gt;'Tabela de ingredientes'!$W$29), 0) = 0, "Ok", "Revisar"))</f>
        <v/>
      </c>
    </row>
    <row r="473">
      <c r="A473" s="264"/>
      <c r="B473" s="264" t="s">
        <v>187</v>
      </c>
      <c r="C473" s="264" t="s">
        <v>187</v>
      </c>
      <c r="D473" s="264" t="s">
        <v>187</v>
      </c>
      <c r="E473" s="264" t="s">
        <v>187</v>
      </c>
      <c r="F473" s="264" t="s">
        <v>187</v>
      </c>
      <c r="G473" s="264" t="s">
        <v>187</v>
      </c>
      <c r="H473" s="264" t="s">
        <v>187</v>
      </c>
      <c r="I473" s="264" t="s">
        <v>187</v>
      </c>
      <c r="J473" s="264" t="s">
        <v>187</v>
      </c>
      <c r="K473" s="264" t="s">
        <v>187</v>
      </c>
      <c r="L473" s="264" t="s">
        <v>187</v>
      </c>
      <c r="M473" s="264" t="s">
        <v>187</v>
      </c>
      <c r="N473" s="264" t="s">
        <v>187</v>
      </c>
      <c r="O473" s="264" t="s">
        <v>187</v>
      </c>
      <c r="P473" s="264" t="s">
        <v>187</v>
      </c>
      <c r="Q473" s="264" t="s">
        <v>187</v>
      </c>
      <c r="R473" s="264" t="s">
        <v>187</v>
      </c>
      <c r="S473" s="97" t="str">
        <f t="array" ref="S473">IF(A473="","", IF( (ROUND(I473,4) &lt; INDEX('Tabela de ingredientes'!$O$1:$V$30, SWITCH(B473, "Gelatos de Leite", 7, "Sorbets", 10, "Gelatos de Leite com Fruta", 13, "Chocolate base água", 16, "Vegano", 19, "Alcoólicos", 22, "Zero", 25, "Gelatos Proteicos", 28, 7), 1)) + (ROUND(I473,4) &gt; INDEX('Tabela de ingredientes'!$O$1:$V$30, SWITCH(B473, "Gelatos de Leite", 8, "Sorbets", 11, "Gelatos de Leite com Fruta", 14, "Chocolate base água", 17, "Vegano", 20, "Alcoólicos", 23, "Zero", 26, "Gelatos Proteicos", 29, 8), 1)) + (ROUND(J473,4) &lt; INDEX('Tabela de ingredientes'!$O$1:$V$30, SWITCH(B473, "Gelatos de Leite", 7, "Sorbets", 10, "Gelatos de Leite com Fruta", 13, "Chocolate base água", 16, "Vegano", 19, "Alcoólicos", 22, "Zero", 25, "Gelatos Proteicos", 28, 7), 2)) + (ROUND(J473,4) &gt; INDEX('Tabela de ingredientes'!$O$1:$V$30, SWITCH(B473, "Gelatos de Leite", 8, "Sorbets", 11, "Gelatos de Leite com Fruta", 14, "Chocolate base água", 17, "Vegano", 20, "Alcoólicos", 23, "Zero", 26, "Gelatos Proteicos", 29, 8), 2)) + (ROUND(K473,4) &lt; INDEX('Tabela de ingredientes'!$O$1:$V$30, SWITCH(B473, "Gelatos de Leite", 7, "Sorbets", 10, "Gelatos de Leite com Fruta", 13, "Chocolate base água", 16, "Vegano", 19, "Alcoólicos", 22, "Zero", 25, "Gelatos Proteicos", 28, 7), 3)) + (ROUND(K473,4) &gt; INDEX('Tabela de ingredientes'!$O$1:$V$30, SWITCH(B473, "Gelatos de Leite", 8, "Sorbets", 11, "Gelatos de Leite com Fruta", 14, "Chocolate base água", 17, "Vegano", 20, "Alcoólicos", 23, "Zero", 26, "Gelatos Proteicos", 29, 8), 3)) + (ROUND(L473,4) &lt; INDEX('Tabela de ingredientes'!$O$1:$V$30, SWITCH(B473, "Gelatos de Leite", 7, "Sorbets", 10, "Gelatos de Leite com Fruta", 13, "Chocolate base água", 16, "Vegano", 19, "Alcoólicos", 22, "Zero", 25, "Gelatos Proteicos", 28, 7), 4)) + (ROUND(L473,4) &gt; INDEX('Tabela de ingredientes'!$O$1:$V$30, SWITCH(B473, "Gelatos de Leite", 8, "Sorbets", 11, "Gelatos de Leite com Fruta", 14, "Chocolate base água", 17, "Vegano", 20, "Alcoólicos", 23, "Zero", 26, "Gelatos Proteicos", 29, 8), 4)) + (ROUND(M473,4) &lt; INDEX('Tabela de ingredientes'!$O$1:$V$30, SWITCH(B473, "Gelatos de Leite", 7, "Sorbets", 10, "Gelatos de Leite com Fruta", 13, "Chocolate base água", 16, "Vegano", 19, "Alcoólicos", 22, "Zero", 25, "Gelatos Proteicos", 28, 7), 5)) + (ROUND(M473,4) &gt; INDEX('Tabela de ingredientes'!$O$1:$V$30, SWITCH(B473, "Gelatos de Leite", 8, "Sorbets", 11, "Gelatos de Leite com Fruta", 14, "Chocolate base água", 17, "Vegano", 20, "Alcoólicos", 23, "Zero", 26, "Gelatos Proteicos", 29, 8), 5)) + (ROUND(N473,4) &lt; INDEX('Tabela de ingredientes'!$O$1:$V$30, SWITCH(B473, "Gelatos de Leite", 7, "Sorbets", 10, "Gelatos de Leite com Fruta", 13, "Chocolate base água", 16, "Vegano", 19, "Alcoólicos", 22, "Zero", 25, "Gelatos Proteicos", 28, 7), 6)) + (ROUND(N473,4) &gt; INDEX('Tabela de ingredientes'!$O$1:$V$30, SWITCH(B473, "Gelatos de Leite", 8, "Sorbets", 11, "Gelatos de Leite com Fruta", 14, "Chocolate base água", 17, "Vegano", 20, "Alcoólicos", 23, "Zero", 26, "Gelatos Proteicos", 29, 8), 6)) + (ROUND(O473,4) &lt; INDEX('Tabela de ingredientes'!$O$1:$V$30, SWITCH(B473, "Gelatos de Leite", 7, "Sorbets", 10, "Gelatos de Leite com Fruta", 13, "Chocolate base água", 16, "Vegano", 19, "Alcoólicos", 22, "Zero", 25, "Gelatos Proteicos", 28, 7), 7)) + (ROUND(O473,4) &gt; INDEX('Tabela de ingredientes'!$O$1:$V$30, SWITCH(B473, "Gelatos de Leite", 8, "Sorbets", 11, "Gelatos de Leite com Fruta", 14, "Chocolate base água", 17, "Vegano", 20, "Alcoólicos", 23, "Zero", 26, "Gelatos Proteicos", 29, 8), 7)) + (ROUND(P473,4) &lt; INDEX('Tabela de ingredientes'!$O$1:$V$30, SWITCH(B473, "Gelatos de Leite", 7, "Sorbets", 10, "Gelatos de Leite com Fruta", 13, "Chocolate base água", 16, "Vegano", 19, "Alcoólicos", 22, "Zero", 25, "Gelatos Proteicos", 28, 7), 8)) + (ROUND(P473,4) &gt; INDEX('Tabela de ingredientes'!$O$1:$V$30, SWITCH(B473, "Gelatos de Leite", 8, "Sorbets", 11, "Gelatos de Leite com Fruta", 14, "Chocolate base água", 17, "Vegano", 20, "Alcoólicos", 23, "Zero", 26, "Gelatos Proteicos", 29, 8), 8)) + IF(B473="Gelatos Proteicos", (ROUND(Q473,4)&lt;'Tabela de ingredientes'!$W$28)+(ROUND(Q473,4)&gt;'Tabela de ingredientes'!$W$29), 0) = 0, "Ok", "Revisar"))</f>
        <v/>
      </c>
    </row>
    <row r="474">
      <c r="A474" s="264"/>
      <c r="B474" s="264" t="s">
        <v>187</v>
      </c>
      <c r="C474" s="264" t="s">
        <v>187</v>
      </c>
      <c r="D474" s="264" t="s">
        <v>187</v>
      </c>
      <c r="E474" s="264" t="s">
        <v>187</v>
      </c>
      <c r="F474" s="264" t="s">
        <v>187</v>
      </c>
      <c r="G474" s="264" t="s">
        <v>187</v>
      </c>
      <c r="H474" s="264" t="s">
        <v>187</v>
      </c>
      <c r="I474" s="264" t="s">
        <v>187</v>
      </c>
      <c r="J474" s="264" t="s">
        <v>187</v>
      </c>
      <c r="K474" s="264" t="s">
        <v>187</v>
      </c>
      <c r="L474" s="264" t="s">
        <v>187</v>
      </c>
      <c r="M474" s="264" t="s">
        <v>187</v>
      </c>
      <c r="N474" s="264" t="s">
        <v>187</v>
      </c>
      <c r="O474" s="264" t="s">
        <v>187</v>
      </c>
      <c r="P474" s="264" t="s">
        <v>187</v>
      </c>
      <c r="Q474" s="264" t="s">
        <v>187</v>
      </c>
      <c r="R474" s="264" t="s">
        <v>187</v>
      </c>
      <c r="S474" s="97" t="str">
        <f t="array" ref="S474">IF(A474="","", IF( (ROUND(I474,4) &lt; INDEX('Tabela de ingredientes'!$O$1:$V$30, SWITCH(B474, "Gelatos de Leite", 7, "Sorbets", 10, "Gelatos de Leite com Fruta", 13, "Chocolate base água", 16, "Vegano", 19, "Alcoólicos", 22, "Zero", 25, "Gelatos Proteicos", 28, 7), 1)) + (ROUND(I474,4) &gt; INDEX('Tabela de ingredientes'!$O$1:$V$30, SWITCH(B474, "Gelatos de Leite", 8, "Sorbets", 11, "Gelatos de Leite com Fruta", 14, "Chocolate base água", 17, "Vegano", 20, "Alcoólicos", 23, "Zero", 26, "Gelatos Proteicos", 29, 8), 1)) + (ROUND(J474,4) &lt; INDEX('Tabela de ingredientes'!$O$1:$V$30, SWITCH(B474, "Gelatos de Leite", 7, "Sorbets", 10, "Gelatos de Leite com Fruta", 13, "Chocolate base água", 16, "Vegano", 19, "Alcoólicos", 22, "Zero", 25, "Gelatos Proteicos", 28, 7), 2)) + (ROUND(J474,4) &gt; INDEX('Tabela de ingredientes'!$O$1:$V$30, SWITCH(B474, "Gelatos de Leite", 8, "Sorbets", 11, "Gelatos de Leite com Fruta", 14, "Chocolate base água", 17, "Vegano", 20, "Alcoólicos", 23, "Zero", 26, "Gelatos Proteicos", 29, 8), 2)) + (ROUND(K474,4) &lt; INDEX('Tabela de ingredientes'!$O$1:$V$30, SWITCH(B474, "Gelatos de Leite", 7, "Sorbets", 10, "Gelatos de Leite com Fruta", 13, "Chocolate base água", 16, "Vegano", 19, "Alcoólicos", 22, "Zero", 25, "Gelatos Proteicos", 28, 7), 3)) + (ROUND(K474,4) &gt; INDEX('Tabela de ingredientes'!$O$1:$V$30, SWITCH(B474, "Gelatos de Leite", 8, "Sorbets", 11, "Gelatos de Leite com Fruta", 14, "Chocolate base água", 17, "Vegano", 20, "Alcoólicos", 23, "Zero", 26, "Gelatos Proteicos", 29, 8), 3)) + (ROUND(L474,4) &lt; INDEX('Tabela de ingredientes'!$O$1:$V$30, SWITCH(B474, "Gelatos de Leite", 7, "Sorbets", 10, "Gelatos de Leite com Fruta", 13, "Chocolate base água", 16, "Vegano", 19, "Alcoólicos", 22, "Zero", 25, "Gelatos Proteicos", 28, 7), 4)) + (ROUND(L474,4) &gt; INDEX('Tabela de ingredientes'!$O$1:$V$30, SWITCH(B474, "Gelatos de Leite", 8, "Sorbets", 11, "Gelatos de Leite com Fruta", 14, "Chocolate base água", 17, "Vegano", 20, "Alcoólicos", 23, "Zero", 26, "Gelatos Proteicos", 29, 8), 4)) + (ROUND(M474,4) &lt; INDEX('Tabela de ingredientes'!$O$1:$V$30, SWITCH(B474, "Gelatos de Leite", 7, "Sorbets", 10, "Gelatos de Leite com Fruta", 13, "Chocolate base água", 16, "Vegano", 19, "Alcoólicos", 22, "Zero", 25, "Gelatos Proteicos", 28, 7), 5)) + (ROUND(M474,4) &gt; INDEX('Tabela de ingredientes'!$O$1:$V$30, SWITCH(B474, "Gelatos de Leite", 8, "Sorbets", 11, "Gelatos de Leite com Fruta", 14, "Chocolate base água", 17, "Vegano", 20, "Alcoólicos", 23, "Zero", 26, "Gelatos Proteicos", 29, 8), 5)) + (ROUND(N474,4) &lt; INDEX('Tabela de ingredientes'!$O$1:$V$30, SWITCH(B474, "Gelatos de Leite", 7, "Sorbets", 10, "Gelatos de Leite com Fruta", 13, "Chocolate base água", 16, "Vegano", 19, "Alcoólicos", 22, "Zero", 25, "Gelatos Proteicos", 28, 7), 6)) + (ROUND(N474,4) &gt; INDEX('Tabela de ingredientes'!$O$1:$V$30, SWITCH(B474, "Gelatos de Leite", 8, "Sorbets", 11, "Gelatos de Leite com Fruta", 14, "Chocolate base água", 17, "Vegano", 20, "Alcoólicos", 23, "Zero", 26, "Gelatos Proteicos", 29, 8), 6)) + (ROUND(O474,4) &lt; INDEX('Tabela de ingredientes'!$O$1:$V$30, SWITCH(B474, "Gelatos de Leite", 7, "Sorbets", 10, "Gelatos de Leite com Fruta", 13, "Chocolate base água", 16, "Vegano", 19, "Alcoólicos", 22, "Zero", 25, "Gelatos Proteicos", 28, 7), 7)) + (ROUND(O474,4) &gt; INDEX('Tabela de ingredientes'!$O$1:$V$30, SWITCH(B474, "Gelatos de Leite", 8, "Sorbets", 11, "Gelatos de Leite com Fruta", 14, "Chocolate base água", 17, "Vegano", 20, "Alcoólicos", 23, "Zero", 26, "Gelatos Proteicos", 29, 8), 7)) + (ROUND(P474,4) &lt; INDEX('Tabela de ingredientes'!$O$1:$V$30, SWITCH(B474, "Gelatos de Leite", 7, "Sorbets", 10, "Gelatos de Leite com Fruta", 13, "Chocolate base água", 16, "Vegano", 19, "Alcoólicos", 22, "Zero", 25, "Gelatos Proteicos", 28, 7), 8)) + (ROUND(P474,4) &gt; INDEX('Tabela de ingredientes'!$O$1:$V$30, SWITCH(B474, "Gelatos de Leite", 8, "Sorbets", 11, "Gelatos de Leite com Fruta", 14, "Chocolate base água", 17, "Vegano", 20, "Alcoólicos", 23, "Zero", 26, "Gelatos Proteicos", 29, 8), 8)) + IF(B474="Gelatos Proteicos", (ROUND(Q474,4)&lt;'Tabela de ingredientes'!$W$28)+(ROUND(Q474,4)&gt;'Tabela de ingredientes'!$W$29), 0) = 0, "Ok", "Revisar"))</f>
        <v/>
      </c>
    </row>
    <row r="475">
      <c r="A475" s="264"/>
      <c r="B475" s="264" t="s">
        <v>187</v>
      </c>
      <c r="C475" s="264" t="s">
        <v>187</v>
      </c>
      <c r="D475" s="264" t="s">
        <v>187</v>
      </c>
      <c r="E475" s="264" t="s">
        <v>187</v>
      </c>
      <c r="F475" s="264" t="s">
        <v>187</v>
      </c>
      <c r="G475" s="264" t="s">
        <v>187</v>
      </c>
      <c r="H475" s="264" t="s">
        <v>187</v>
      </c>
      <c r="I475" s="264" t="s">
        <v>187</v>
      </c>
      <c r="J475" s="264" t="s">
        <v>187</v>
      </c>
      <c r="K475" s="264" t="s">
        <v>187</v>
      </c>
      <c r="L475" s="264" t="s">
        <v>187</v>
      </c>
      <c r="M475" s="264" t="s">
        <v>187</v>
      </c>
      <c r="N475" s="264" t="s">
        <v>187</v>
      </c>
      <c r="O475" s="264" t="s">
        <v>187</v>
      </c>
      <c r="P475" s="264" t="s">
        <v>187</v>
      </c>
      <c r="Q475" s="264" t="s">
        <v>187</v>
      </c>
      <c r="R475" s="264" t="s">
        <v>187</v>
      </c>
      <c r="S475" s="97" t="str">
        <f t="array" ref="S475">IF(A475="","", IF( (ROUND(I475,4) &lt; INDEX('Tabela de ingredientes'!$O$1:$V$30, SWITCH(B475, "Gelatos de Leite", 7, "Sorbets", 10, "Gelatos de Leite com Fruta", 13, "Chocolate base água", 16, "Vegano", 19, "Alcoólicos", 22, "Zero", 25, "Gelatos Proteicos", 28, 7), 1)) + (ROUND(I475,4) &gt; INDEX('Tabela de ingredientes'!$O$1:$V$30, SWITCH(B475, "Gelatos de Leite", 8, "Sorbets", 11, "Gelatos de Leite com Fruta", 14, "Chocolate base água", 17, "Vegano", 20, "Alcoólicos", 23, "Zero", 26, "Gelatos Proteicos", 29, 8), 1)) + (ROUND(J475,4) &lt; INDEX('Tabela de ingredientes'!$O$1:$V$30, SWITCH(B475, "Gelatos de Leite", 7, "Sorbets", 10, "Gelatos de Leite com Fruta", 13, "Chocolate base água", 16, "Vegano", 19, "Alcoólicos", 22, "Zero", 25, "Gelatos Proteicos", 28, 7), 2)) + (ROUND(J475,4) &gt; INDEX('Tabela de ingredientes'!$O$1:$V$30, SWITCH(B475, "Gelatos de Leite", 8, "Sorbets", 11, "Gelatos de Leite com Fruta", 14, "Chocolate base água", 17, "Vegano", 20, "Alcoólicos", 23, "Zero", 26, "Gelatos Proteicos", 29, 8), 2)) + (ROUND(K475,4) &lt; INDEX('Tabela de ingredientes'!$O$1:$V$30, SWITCH(B475, "Gelatos de Leite", 7, "Sorbets", 10, "Gelatos de Leite com Fruta", 13, "Chocolate base água", 16, "Vegano", 19, "Alcoólicos", 22, "Zero", 25, "Gelatos Proteicos", 28, 7), 3)) + (ROUND(K475,4) &gt; INDEX('Tabela de ingredientes'!$O$1:$V$30, SWITCH(B475, "Gelatos de Leite", 8, "Sorbets", 11, "Gelatos de Leite com Fruta", 14, "Chocolate base água", 17, "Vegano", 20, "Alcoólicos", 23, "Zero", 26, "Gelatos Proteicos", 29, 8), 3)) + (ROUND(L475,4) &lt; INDEX('Tabela de ingredientes'!$O$1:$V$30, SWITCH(B475, "Gelatos de Leite", 7, "Sorbets", 10, "Gelatos de Leite com Fruta", 13, "Chocolate base água", 16, "Vegano", 19, "Alcoólicos", 22, "Zero", 25, "Gelatos Proteicos", 28, 7), 4)) + (ROUND(L475,4) &gt; INDEX('Tabela de ingredientes'!$O$1:$V$30, SWITCH(B475, "Gelatos de Leite", 8, "Sorbets", 11, "Gelatos de Leite com Fruta", 14, "Chocolate base água", 17, "Vegano", 20, "Alcoólicos", 23, "Zero", 26, "Gelatos Proteicos", 29, 8), 4)) + (ROUND(M475,4) &lt; INDEX('Tabela de ingredientes'!$O$1:$V$30, SWITCH(B475, "Gelatos de Leite", 7, "Sorbets", 10, "Gelatos de Leite com Fruta", 13, "Chocolate base água", 16, "Vegano", 19, "Alcoólicos", 22, "Zero", 25, "Gelatos Proteicos", 28, 7), 5)) + (ROUND(M475,4) &gt; INDEX('Tabela de ingredientes'!$O$1:$V$30, SWITCH(B475, "Gelatos de Leite", 8, "Sorbets", 11, "Gelatos de Leite com Fruta", 14, "Chocolate base água", 17, "Vegano", 20, "Alcoólicos", 23, "Zero", 26, "Gelatos Proteicos", 29, 8), 5)) + (ROUND(N475,4) &lt; INDEX('Tabela de ingredientes'!$O$1:$V$30, SWITCH(B475, "Gelatos de Leite", 7, "Sorbets", 10, "Gelatos de Leite com Fruta", 13, "Chocolate base água", 16, "Vegano", 19, "Alcoólicos", 22, "Zero", 25, "Gelatos Proteicos", 28, 7), 6)) + (ROUND(N475,4) &gt; INDEX('Tabela de ingredientes'!$O$1:$V$30, SWITCH(B475, "Gelatos de Leite", 8, "Sorbets", 11, "Gelatos de Leite com Fruta", 14, "Chocolate base água", 17, "Vegano", 20, "Alcoólicos", 23, "Zero", 26, "Gelatos Proteicos", 29, 8), 6)) + (ROUND(O475,4) &lt; INDEX('Tabela de ingredientes'!$O$1:$V$30, SWITCH(B475, "Gelatos de Leite", 7, "Sorbets", 10, "Gelatos de Leite com Fruta", 13, "Chocolate base água", 16, "Vegano", 19, "Alcoólicos", 22, "Zero", 25, "Gelatos Proteicos", 28, 7), 7)) + (ROUND(O475,4) &gt; INDEX('Tabela de ingredientes'!$O$1:$V$30, SWITCH(B475, "Gelatos de Leite", 8, "Sorbets", 11, "Gelatos de Leite com Fruta", 14, "Chocolate base água", 17, "Vegano", 20, "Alcoólicos", 23, "Zero", 26, "Gelatos Proteicos", 29, 8), 7)) + (ROUND(P475,4) &lt; INDEX('Tabela de ingredientes'!$O$1:$V$30, SWITCH(B475, "Gelatos de Leite", 7, "Sorbets", 10, "Gelatos de Leite com Fruta", 13, "Chocolate base água", 16, "Vegano", 19, "Alcoólicos", 22, "Zero", 25, "Gelatos Proteicos", 28, 7), 8)) + (ROUND(P475,4) &gt; INDEX('Tabela de ingredientes'!$O$1:$V$30, SWITCH(B475, "Gelatos de Leite", 8, "Sorbets", 11, "Gelatos de Leite com Fruta", 14, "Chocolate base água", 17, "Vegano", 20, "Alcoólicos", 23, "Zero", 26, "Gelatos Proteicos", 29, 8), 8)) + IF(B475="Gelatos Proteicos", (ROUND(Q475,4)&lt;'Tabela de ingredientes'!$W$28)+(ROUND(Q475,4)&gt;'Tabela de ingredientes'!$W$29), 0) = 0, "Ok", "Revisar"))</f>
        <v/>
      </c>
    </row>
    <row r="476">
      <c r="A476" s="264"/>
      <c r="B476" s="264" t="s">
        <v>187</v>
      </c>
      <c r="C476" s="264" t="s">
        <v>187</v>
      </c>
      <c r="D476" s="264" t="s">
        <v>187</v>
      </c>
      <c r="E476" s="264" t="s">
        <v>187</v>
      </c>
      <c r="F476" s="264" t="s">
        <v>187</v>
      </c>
      <c r="G476" s="264" t="s">
        <v>187</v>
      </c>
      <c r="H476" s="264" t="s">
        <v>187</v>
      </c>
      <c r="I476" s="264" t="s">
        <v>187</v>
      </c>
      <c r="J476" s="264" t="s">
        <v>187</v>
      </c>
      <c r="K476" s="264" t="s">
        <v>187</v>
      </c>
      <c r="L476" s="264" t="s">
        <v>187</v>
      </c>
      <c r="M476" s="264" t="s">
        <v>187</v>
      </c>
      <c r="N476" s="264" t="s">
        <v>187</v>
      </c>
      <c r="O476" s="264" t="s">
        <v>187</v>
      </c>
      <c r="P476" s="264" t="s">
        <v>187</v>
      </c>
      <c r="Q476" s="264" t="s">
        <v>187</v>
      </c>
      <c r="R476" s="264" t="s">
        <v>187</v>
      </c>
      <c r="S476" s="97" t="str">
        <f t="array" ref="S476">IF(A476="","", IF( (ROUND(I476,4) &lt; INDEX('Tabela de ingredientes'!$O$1:$V$30, SWITCH(B476, "Gelatos de Leite", 7, "Sorbets", 10, "Gelatos de Leite com Fruta", 13, "Chocolate base água", 16, "Vegano", 19, "Alcoólicos", 22, "Zero", 25, "Gelatos Proteicos", 28, 7), 1)) + (ROUND(I476,4) &gt; INDEX('Tabela de ingredientes'!$O$1:$V$30, SWITCH(B476, "Gelatos de Leite", 8, "Sorbets", 11, "Gelatos de Leite com Fruta", 14, "Chocolate base água", 17, "Vegano", 20, "Alcoólicos", 23, "Zero", 26, "Gelatos Proteicos", 29, 8), 1)) + (ROUND(J476,4) &lt; INDEX('Tabela de ingredientes'!$O$1:$V$30, SWITCH(B476, "Gelatos de Leite", 7, "Sorbets", 10, "Gelatos de Leite com Fruta", 13, "Chocolate base água", 16, "Vegano", 19, "Alcoólicos", 22, "Zero", 25, "Gelatos Proteicos", 28, 7), 2)) + (ROUND(J476,4) &gt; INDEX('Tabela de ingredientes'!$O$1:$V$30, SWITCH(B476, "Gelatos de Leite", 8, "Sorbets", 11, "Gelatos de Leite com Fruta", 14, "Chocolate base água", 17, "Vegano", 20, "Alcoólicos", 23, "Zero", 26, "Gelatos Proteicos", 29, 8), 2)) + (ROUND(K476,4) &lt; INDEX('Tabela de ingredientes'!$O$1:$V$30, SWITCH(B476, "Gelatos de Leite", 7, "Sorbets", 10, "Gelatos de Leite com Fruta", 13, "Chocolate base água", 16, "Vegano", 19, "Alcoólicos", 22, "Zero", 25, "Gelatos Proteicos", 28, 7), 3)) + (ROUND(K476,4) &gt; INDEX('Tabela de ingredientes'!$O$1:$V$30, SWITCH(B476, "Gelatos de Leite", 8, "Sorbets", 11, "Gelatos de Leite com Fruta", 14, "Chocolate base água", 17, "Vegano", 20, "Alcoólicos", 23, "Zero", 26, "Gelatos Proteicos", 29, 8), 3)) + (ROUND(L476,4) &lt; INDEX('Tabela de ingredientes'!$O$1:$V$30, SWITCH(B476, "Gelatos de Leite", 7, "Sorbets", 10, "Gelatos de Leite com Fruta", 13, "Chocolate base água", 16, "Vegano", 19, "Alcoólicos", 22, "Zero", 25, "Gelatos Proteicos", 28, 7), 4)) + (ROUND(L476,4) &gt; INDEX('Tabela de ingredientes'!$O$1:$V$30, SWITCH(B476, "Gelatos de Leite", 8, "Sorbets", 11, "Gelatos de Leite com Fruta", 14, "Chocolate base água", 17, "Vegano", 20, "Alcoólicos", 23, "Zero", 26, "Gelatos Proteicos", 29, 8), 4)) + (ROUND(M476,4) &lt; INDEX('Tabela de ingredientes'!$O$1:$V$30, SWITCH(B476, "Gelatos de Leite", 7, "Sorbets", 10, "Gelatos de Leite com Fruta", 13, "Chocolate base água", 16, "Vegano", 19, "Alcoólicos", 22, "Zero", 25, "Gelatos Proteicos", 28, 7), 5)) + (ROUND(M476,4) &gt; INDEX('Tabela de ingredientes'!$O$1:$V$30, SWITCH(B476, "Gelatos de Leite", 8, "Sorbets", 11, "Gelatos de Leite com Fruta", 14, "Chocolate base água", 17, "Vegano", 20, "Alcoólicos", 23, "Zero", 26, "Gelatos Proteicos", 29, 8), 5)) + (ROUND(N476,4) &lt; INDEX('Tabela de ingredientes'!$O$1:$V$30, SWITCH(B476, "Gelatos de Leite", 7, "Sorbets", 10, "Gelatos de Leite com Fruta", 13, "Chocolate base água", 16, "Vegano", 19, "Alcoólicos", 22, "Zero", 25, "Gelatos Proteicos", 28, 7), 6)) + (ROUND(N476,4) &gt; INDEX('Tabela de ingredientes'!$O$1:$V$30, SWITCH(B476, "Gelatos de Leite", 8, "Sorbets", 11, "Gelatos de Leite com Fruta", 14, "Chocolate base água", 17, "Vegano", 20, "Alcoólicos", 23, "Zero", 26, "Gelatos Proteicos", 29, 8), 6)) + (ROUND(O476,4) &lt; INDEX('Tabela de ingredientes'!$O$1:$V$30, SWITCH(B476, "Gelatos de Leite", 7, "Sorbets", 10, "Gelatos de Leite com Fruta", 13, "Chocolate base água", 16, "Vegano", 19, "Alcoólicos", 22, "Zero", 25, "Gelatos Proteicos", 28, 7), 7)) + (ROUND(O476,4) &gt; INDEX('Tabela de ingredientes'!$O$1:$V$30, SWITCH(B476, "Gelatos de Leite", 8, "Sorbets", 11, "Gelatos de Leite com Fruta", 14, "Chocolate base água", 17, "Vegano", 20, "Alcoólicos", 23, "Zero", 26, "Gelatos Proteicos", 29, 8), 7)) + (ROUND(P476,4) &lt; INDEX('Tabela de ingredientes'!$O$1:$V$30, SWITCH(B476, "Gelatos de Leite", 7, "Sorbets", 10, "Gelatos de Leite com Fruta", 13, "Chocolate base água", 16, "Vegano", 19, "Alcoólicos", 22, "Zero", 25, "Gelatos Proteicos", 28, 7), 8)) + (ROUND(P476,4) &gt; INDEX('Tabela de ingredientes'!$O$1:$V$30, SWITCH(B476, "Gelatos de Leite", 8, "Sorbets", 11, "Gelatos de Leite com Fruta", 14, "Chocolate base água", 17, "Vegano", 20, "Alcoólicos", 23, "Zero", 26, "Gelatos Proteicos", 29, 8), 8)) + IF(B476="Gelatos Proteicos", (ROUND(Q476,4)&lt;'Tabela de ingredientes'!$W$28)+(ROUND(Q476,4)&gt;'Tabela de ingredientes'!$W$29), 0) = 0, "Ok", "Revisar"))</f>
        <v/>
      </c>
    </row>
    <row r="477">
      <c r="A477" s="264"/>
      <c r="B477" s="264" t="s">
        <v>187</v>
      </c>
      <c r="C477" s="264" t="s">
        <v>187</v>
      </c>
      <c r="D477" s="264" t="s">
        <v>187</v>
      </c>
      <c r="E477" s="264" t="s">
        <v>187</v>
      </c>
      <c r="F477" s="264" t="s">
        <v>187</v>
      </c>
      <c r="G477" s="264" t="s">
        <v>187</v>
      </c>
      <c r="H477" s="264" t="s">
        <v>187</v>
      </c>
      <c r="I477" s="264" t="s">
        <v>187</v>
      </c>
      <c r="J477" s="264" t="s">
        <v>187</v>
      </c>
      <c r="K477" s="264" t="s">
        <v>187</v>
      </c>
      <c r="L477" s="264" t="s">
        <v>187</v>
      </c>
      <c r="M477" s="264" t="s">
        <v>187</v>
      </c>
      <c r="N477" s="264" t="s">
        <v>187</v>
      </c>
      <c r="O477" s="264" t="s">
        <v>187</v>
      </c>
      <c r="P477" s="264" t="s">
        <v>187</v>
      </c>
      <c r="Q477" s="264" t="s">
        <v>187</v>
      </c>
      <c r="R477" s="264" t="s">
        <v>187</v>
      </c>
      <c r="S477" s="97" t="str">
        <f t="array" ref="S477">IF(A477="","", IF( (ROUND(I477,4) &lt; INDEX('Tabela de ingredientes'!$O$1:$V$30, SWITCH(B477, "Gelatos de Leite", 7, "Sorbets", 10, "Gelatos de Leite com Fruta", 13, "Chocolate base água", 16, "Vegano", 19, "Alcoólicos", 22, "Zero", 25, "Gelatos Proteicos", 28, 7), 1)) + (ROUND(I477,4) &gt; INDEX('Tabela de ingredientes'!$O$1:$V$30, SWITCH(B477, "Gelatos de Leite", 8, "Sorbets", 11, "Gelatos de Leite com Fruta", 14, "Chocolate base água", 17, "Vegano", 20, "Alcoólicos", 23, "Zero", 26, "Gelatos Proteicos", 29, 8), 1)) + (ROUND(J477,4) &lt; INDEX('Tabela de ingredientes'!$O$1:$V$30, SWITCH(B477, "Gelatos de Leite", 7, "Sorbets", 10, "Gelatos de Leite com Fruta", 13, "Chocolate base água", 16, "Vegano", 19, "Alcoólicos", 22, "Zero", 25, "Gelatos Proteicos", 28, 7), 2)) + (ROUND(J477,4) &gt; INDEX('Tabela de ingredientes'!$O$1:$V$30, SWITCH(B477, "Gelatos de Leite", 8, "Sorbets", 11, "Gelatos de Leite com Fruta", 14, "Chocolate base água", 17, "Vegano", 20, "Alcoólicos", 23, "Zero", 26, "Gelatos Proteicos", 29, 8), 2)) + (ROUND(K477,4) &lt; INDEX('Tabela de ingredientes'!$O$1:$V$30, SWITCH(B477, "Gelatos de Leite", 7, "Sorbets", 10, "Gelatos de Leite com Fruta", 13, "Chocolate base água", 16, "Vegano", 19, "Alcoólicos", 22, "Zero", 25, "Gelatos Proteicos", 28, 7), 3)) + (ROUND(K477,4) &gt; INDEX('Tabela de ingredientes'!$O$1:$V$30, SWITCH(B477, "Gelatos de Leite", 8, "Sorbets", 11, "Gelatos de Leite com Fruta", 14, "Chocolate base água", 17, "Vegano", 20, "Alcoólicos", 23, "Zero", 26, "Gelatos Proteicos", 29, 8), 3)) + (ROUND(L477,4) &lt; INDEX('Tabela de ingredientes'!$O$1:$V$30, SWITCH(B477, "Gelatos de Leite", 7, "Sorbets", 10, "Gelatos de Leite com Fruta", 13, "Chocolate base água", 16, "Vegano", 19, "Alcoólicos", 22, "Zero", 25, "Gelatos Proteicos", 28, 7), 4)) + (ROUND(L477,4) &gt; INDEX('Tabela de ingredientes'!$O$1:$V$30, SWITCH(B477, "Gelatos de Leite", 8, "Sorbets", 11, "Gelatos de Leite com Fruta", 14, "Chocolate base água", 17, "Vegano", 20, "Alcoólicos", 23, "Zero", 26, "Gelatos Proteicos", 29, 8), 4)) + (ROUND(M477,4) &lt; INDEX('Tabela de ingredientes'!$O$1:$V$30, SWITCH(B477, "Gelatos de Leite", 7, "Sorbets", 10, "Gelatos de Leite com Fruta", 13, "Chocolate base água", 16, "Vegano", 19, "Alcoólicos", 22, "Zero", 25, "Gelatos Proteicos", 28, 7), 5)) + (ROUND(M477,4) &gt; INDEX('Tabela de ingredientes'!$O$1:$V$30, SWITCH(B477, "Gelatos de Leite", 8, "Sorbets", 11, "Gelatos de Leite com Fruta", 14, "Chocolate base água", 17, "Vegano", 20, "Alcoólicos", 23, "Zero", 26, "Gelatos Proteicos", 29, 8), 5)) + (ROUND(N477,4) &lt; INDEX('Tabela de ingredientes'!$O$1:$V$30, SWITCH(B477, "Gelatos de Leite", 7, "Sorbets", 10, "Gelatos de Leite com Fruta", 13, "Chocolate base água", 16, "Vegano", 19, "Alcoólicos", 22, "Zero", 25, "Gelatos Proteicos", 28, 7), 6)) + (ROUND(N477,4) &gt; INDEX('Tabela de ingredientes'!$O$1:$V$30, SWITCH(B477, "Gelatos de Leite", 8, "Sorbets", 11, "Gelatos de Leite com Fruta", 14, "Chocolate base água", 17, "Vegano", 20, "Alcoólicos", 23, "Zero", 26, "Gelatos Proteicos", 29, 8), 6)) + (ROUND(O477,4) &lt; INDEX('Tabela de ingredientes'!$O$1:$V$30, SWITCH(B477, "Gelatos de Leite", 7, "Sorbets", 10, "Gelatos de Leite com Fruta", 13, "Chocolate base água", 16, "Vegano", 19, "Alcoólicos", 22, "Zero", 25, "Gelatos Proteicos", 28, 7), 7)) + (ROUND(O477,4) &gt; INDEX('Tabela de ingredientes'!$O$1:$V$30, SWITCH(B477, "Gelatos de Leite", 8, "Sorbets", 11, "Gelatos de Leite com Fruta", 14, "Chocolate base água", 17, "Vegano", 20, "Alcoólicos", 23, "Zero", 26, "Gelatos Proteicos", 29, 8), 7)) + (ROUND(P477,4) &lt; INDEX('Tabela de ingredientes'!$O$1:$V$30, SWITCH(B477, "Gelatos de Leite", 7, "Sorbets", 10, "Gelatos de Leite com Fruta", 13, "Chocolate base água", 16, "Vegano", 19, "Alcoólicos", 22, "Zero", 25, "Gelatos Proteicos", 28, 7), 8)) + (ROUND(P477,4) &gt; INDEX('Tabela de ingredientes'!$O$1:$V$30, SWITCH(B477, "Gelatos de Leite", 8, "Sorbets", 11, "Gelatos de Leite com Fruta", 14, "Chocolate base água", 17, "Vegano", 20, "Alcoólicos", 23, "Zero", 26, "Gelatos Proteicos", 29, 8), 8)) + IF(B477="Gelatos Proteicos", (ROUND(Q477,4)&lt;'Tabela de ingredientes'!$W$28)+(ROUND(Q477,4)&gt;'Tabela de ingredientes'!$W$29), 0) = 0, "Ok", "Revisar"))</f>
        <v/>
      </c>
    </row>
    <row r="478">
      <c r="A478" s="264"/>
      <c r="B478" s="264" t="s">
        <v>187</v>
      </c>
      <c r="C478" s="264" t="s">
        <v>187</v>
      </c>
      <c r="D478" s="264" t="s">
        <v>187</v>
      </c>
      <c r="E478" s="264" t="s">
        <v>187</v>
      </c>
      <c r="F478" s="264" t="s">
        <v>187</v>
      </c>
      <c r="G478" s="264" t="s">
        <v>187</v>
      </c>
      <c r="H478" s="264" t="s">
        <v>187</v>
      </c>
      <c r="I478" s="264" t="s">
        <v>187</v>
      </c>
      <c r="J478" s="264" t="s">
        <v>187</v>
      </c>
      <c r="K478" s="264" t="s">
        <v>187</v>
      </c>
      <c r="L478" s="264" t="s">
        <v>187</v>
      </c>
      <c r="M478" s="264" t="s">
        <v>187</v>
      </c>
      <c r="N478" s="264" t="s">
        <v>187</v>
      </c>
      <c r="O478" s="264" t="s">
        <v>187</v>
      </c>
      <c r="P478" s="264" t="s">
        <v>187</v>
      </c>
      <c r="Q478" s="264" t="s">
        <v>187</v>
      </c>
      <c r="R478" s="264" t="s">
        <v>187</v>
      </c>
      <c r="S478" s="97" t="str">
        <f t="array" ref="S478">IF(A478="","", IF( (ROUND(I478,4) &lt; INDEX('Tabela de ingredientes'!$O$1:$V$30, SWITCH(B478, "Gelatos de Leite", 7, "Sorbets", 10, "Gelatos de Leite com Fruta", 13, "Chocolate base água", 16, "Vegano", 19, "Alcoólicos", 22, "Zero", 25, "Gelatos Proteicos", 28, 7), 1)) + (ROUND(I478,4) &gt; INDEX('Tabela de ingredientes'!$O$1:$V$30, SWITCH(B478, "Gelatos de Leite", 8, "Sorbets", 11, "Gelatos de Leite com Fruta", 14, "Chocolate base água", 17, "Vegano", 20, "Alcoólicos", 23, "Zero", 26, "Gelatos Proteicos", 29, 8), 1)) + (ROUND(J478,4) &lt; INDEX('Tabela de ingredientes'!$O$1:$V$30, SWITCH(B478, "Gelatos de Leite", 7, "Sorbets", 10, "Gelatos de Leite com Fruta", 13, "Chocolate base água", 16, "Vegano", 19, "Alcoólicos", 22, "Zero", 25, "Gelatos Proteicos", 28, 7), 2)) + (ROUND(J478,4) &gt; INDEX('Tabela de ingredientes'!$O$1:$V$30, SWITCH(B478, "Gelatos de Leite", 8, "Sorbets", 11, "Gelatos de Leite com Fruta", 14, "Chocolate base água", 17, "Vegano", 20, "Alcoólicos", 23, "Zero", 26, "Gelatos Proteicos", 29, 8), 2)) + (ROUND(K478,4) &lt; INDEX('Tabela de ingredientes'!$O$1:$V$30, SWITCH(B478, "Gelatos de Leite", 7, "Sorbets", 10, "Gelatos de Leite com Fruta", 13, "Chocolate base água", 16, "Vegano", 19, "Alcoólicos", 22, "Zero", 25, "Gelatos Proteicos", 28, 7), 3)) + (ROUND(K478,4) &gt; INDEX('Tabela de ingredientes'!$O$1:$V$30, SWITCH(B478, "Gelatos de Leite", 8, "Sorbets", 11, "Gelatos de Leite com Fruta", 14, "Chocolate base água", 17, "Vegano", 20, "Alcoólicos", 23, "Zero", 26, "Gelatos Proteicos", 29, 8), 3)) + (ROUND(L478,4) &lt; INDEX('Tabela de ingredientes'!$O$1:$V$30, SWITCH(B478, "Gelatos de Leite", 7, "Sorbets", 10, "Gelatos de Leite com Fruta", 13, "Chocolate base água", 16, "Vegano", 19, "Alcoólicos", 22, "Zero", 25, "Gelatos Proteicos", 28, 7), 4)) + (ROUND(L478,4) &gt; INDEX('Tabela de ingredientes'!$O$1:$V$30, SWITCH(B478, "Gelatos de Leite", 8, "Sorbets", 11, "Gelatos de Leite com Fruta", 14, "Chocolate base água", 17, "Vegano", 20, "Alcoólicos", 23, "Zero", 26, "Gelatos Proteicos", 29, 8), 4)) + (ROUND(M478,4) &lt; INDEX('Tabela de ingredientes'!$O$1:$V$30, SWITCH(B478, "Gelatos de Leite", 7, "Sorbets", 10, "Gelatos de Leite com Fruta", 13, "Chocolate base água", 16, "Vegano", 19, "Alcoólicos", 22, "Zero", 25, "Gelatos Proteicos", 28, 7), 5)) + (ROUND(M478,4) &gt; INDEX('Tabela de ingredientes'!$O$1:$V$30, SWITCH(B478, "Gelatos de Leite", 8, "Sorbets", 11, "Gelatos de Leite com Fruta", 14, "Chocolate base água", 17, "Vegano", 20, "Alcoólicos", 23, "Zero", 26, "Gelatos Proteicos", 29, 8), 5)) + (ROUND(N478,4) &lt; INDEX('Tabela de ingredientes'!$O$1:$V$30, SWITCH(B478, "Gelatos de Leite", 7, "Sorbets", 10, "Gelatos de Leite com Fruta", 13, "Chocolate base água", 16, "Vegano", 19, "Alcoólicos", 22, "Zero", 25, "Gelatos Proteicos", 28, 7), 6)) + (ROUND(N478,4) &gt; INDEX('Tabela de ingredientes'!$O$1:$V$30, SWITCH(B478, "Gelatos de Leite", 8, "Sorbets", 11, "Gelatos de Leite com Fruta", 14, "Chocolate base água", 17, "Vegano", 20, "Alcoólicos", 23, "Zero", 26, "Gelatos Proteicos", 29, 8), 6)) + (ROUND(O478,4) &lt; INDEX('Tabela de ingredientes'!$O$1:$V$30, SWITCH(B478, "Gelatos de Leite", 7, "Sorbets", 10, "Gelatos de Leite com Fruta", 13, "Chocolate base água", 16, "Vegano", 19, "Alcoólicos", 22, "Zero", 25, "Gelatos Proteicos", 28, 7), 7)) + (ROUND(O478,4) &gt; INDEX('Tabela de ingredientes'!$O$1:$V$30, SWITCH(B478, "Gelatos de Leite", 8, "Sorbets", 11, "Gelatos de Leite com Fruta", 14, "Chocolate base água", 17, "Vegano", 20, "Alcoólicos", 23, "Zero", 26, "Gelatos Proteicos", 29, 8), 7)) + (ROUND(P478,4) &lt; INDEX('Tabela de ingredientes'!$O$1:$V$30, SWITCH(B478, "Gelatos de Leite", 7, "Sorbets", 10, "Gelatos de Leite com Fruta", 13, "Chocolate base água", 16, "Vegano", 19, "Alcoólicos", 22, "Zero", 25, "Gelatos Proteicos", 28, 7), 8)) + (ROUND(P478,4) &gt; INDEX('Tabela de ingredientes'!$O$1:$V$30, SWITCH(B478, "Gelatos de Leite", 8, "Sorbets", 11, "Gelatos de Leite com Fruta", 14, "Chocolate base água", 17, "Vegano", 20, "Alcoólicos", 23, "Zero", 26, "Gelatos Proteicos", 29, 8), 8)) + IF(B478="Gelatos Proteicos", (ROUND(Q478,4)&lt;'Tabela de ingredientes'!$W$28)+(ROUND(Q478,4)&gt;'Tabela de ingredientes'!$W$29), 0) = 0, "Ok", "Revisar"))</f>
        <v/>
      </c>
    </row>
    <row r="479">
      <c r="A479" s="264"/>
      <c r="B479" s="264" t="s">
        <v>187</v>
      </c>
      <c r="C479" s="264" t="s">
        <v>187</v>
      </c>
      <c r="D479" s="264" t="s">
        <v>187</v>
      </c>
      <c r="E479" s="264" t="s">
        <v>187</v>
      </c>
      <c r="F479" s="264" t="s">
        <v>187</v>
      </c>
      <c r="G479" s="264" t="s">
        <v>187</v>
      </c>
      <c r="H479" s="264" t="s">
        <v>187</v>
      </c>
      <c r="I479" s="264" t="s">
        <v>187</v>
      </c>
      <c r="J479" s="264" t="s">
        <v>187</v>
      </c>
      <c r="K479" s="264" t="s">
        <v>187</v>
      </c>
      <c r="L479" s="264" t="s">
        <v>187</v>
      </c>
      <c r="M479" s="264" t="s">
        <v>187</v>
      </c>
      <c r="N479" s="264" t="s">
        <v>187</v>
      </c>
      <c r="O479" s="264" t="s">
        <v>187</v>
      </c>
      <c r="P479" s="264" t="s">
        <v>187</v>
      </c>
      <c r="Q479" s="264" t="s">
        <v>187</v>
      </c>
      <c r="R479" s="264" t="s">
        <v>187</v>
      </c>
      <c r="S479" s="97" t="str">
        <f t="array" ref="S479">IF(A479="","", IF( (ROUND(I479,4) &lt; INDEX('Tabela de ingredientes'!$O$1:$V$30, SWITCH(B479, "Gelatos de Leite", 7, "Sorbets", 10, "Gelatos de Leite com Fruta", 13, "Chocolate base água", 16, "Vegano", 19, "Alcoólicos", 22, "Zero", 25, "Gelatos Proteicos", 28, 7), 1)) + (ROUND(I479,4) &gt; INDEX('Tabela de ingredientes'!$O$1:$V$30, SWITCH(B479, "Gelatos de Leite", 8, "Sorbets", 11, "Gelatos de Leite com Fruta", 14, "Chocolate base água", 17, "Vegano", 20, "Alcoólicos", 23, "Zero", 26, "Gelatos Proteicos", 29, 8), 1)) + (ROUND(J479,4) &lt; INDEX('Tabela de ingredientes'!$O$1:$V$30, SWITCH(B479, "Gelatos de Leite", 7, "Sorbets", 10, "Gelatos de Leite com Fruta", 13, "Chocolate base água", 16, "Vegano", 19, "Alcoólicos", 22, "Zero", 25, "Gelatos Proteicos", 28, 7), 2)) + (ROUND(J479,4) &gt; INDEX('Tabela de ingredientes'!$O$1:$V$30, SWITCH(B479, "Gelatos de Leite", 8, "Sorbets", 11, "Gelatos de Leite com Fruta", 14, "Chocolate base água", 17, "Vegano", 20, "Alcoólicos", 23, "Zero", 26, "Gelatos Proteicos", 29, 8), 2)) + (ROUND(K479,4) &lt; INDEX('Tabela de ingredientes'!$O$1:$V$30, SWITCH(B479, "Gelatos de Leite", 7, "Sorbets", 10, "Gelatos de Leite com Fruta", 13, "Chocolate base água", 16, "Vegano", 19, "Alcoólicos", 22, "Zero", 25, "Gelatos Proteicos", 28, 7), 3)) + (ROUND(K479,4) &gt; INDEX('Tabela de ingredientes'!$O$1:$V$30, SWITCH(B479, "Gelatos de Leite", 8, "Sorbets", 11, "Gelatos de Leite com Fruta", 14, "Chocolate base água", 17, "Vegano", 20, "Alcoólicos", 23, "Zero", 26, "Gelatos Proteicos", 29, 8), 3)) + (ROUND(L479,4) &lt; INDEX('Tabela de ingredientes'!$O$1:$V$30, SWITCH(B479, "Gelatos de Leite", 7, "Sorbets", 10, "Gelatos de Leite com Fruta", 13, "Chocolate base água", 16, "Vegano", 19, "Alcoólicos", 22, "Zero", 25, "Gelatos Proteicos", 28, 7), 4)) + (ROUND(L479,4) &gt; INDEX('Tabela de ingredientes'!$O$1:$V$30, SWITCH(B479, "Gelatos de Leite", 8, "Sorbets", 11, "Gelatos de Leite com Fruta", 14, "Chocolate base água", 17, "Vegano", 20, "Alcoólicos", 23, "Zero", 26, "Gelatos Proteicos", 29, 8), 4)) + (ROUND(M479,4) &lt; INDEX('Tabela de ingredientes'!$O$1:$V$30, SWITCH(B479, "Gelatos de Leite", 7, "Sorbets", 10, "Gelatos de Leite com Fruta", 13, "Chocolate base água", 16, "Vegano", 19, "Alcoólicos", 22, "Zero", 25, "Gelatos Proteicos", 28, 7), 5)) + (ROUND(M479,4) &gt; INDEX('Tabela de ingredientes'!$O$1:$V$30, SWITCH(B479, "Gelatos de Leite", 8, "Sorbets", 11, "Gelatos de Leite com Fruta", 14, "Chocolate base água", 17, "Vegano", 20, "Alcoólicos", 23, "Zero", 26, "Gelatos Proteicos", 29, 8), 5)) + (ROUND(N479,4) &lt; INDEX('Tabela de ingredientes'!$O$1:$V$30, SWITCH(B479, "Gelatos de Leite", 7, "Sorbets", 10, "Gelatos de Leite com Fruta", 13, "Chocolate base água", 16, "Vegano", 19, "Alcoólicos", 22, "Zero", 25, "Gelatos Proteicos", 28, 7), 6)) + (ROUND(N479,4) &gt; INDEX('Tabela de ingredientes'!$O$1:$V$30, SWITCH(B479, "Gelatos de Leite", 8, "Sorbets", 11, "Gelatos de Leite com Fruta", 14, "Chocolate base água", 17, "Vegano", 20, "Alcoólicos", 23, "Zero", 26, "Gelatos Proteicos", 29, 8), 6)) + (ROUND(O479,4) &lt; INDEX('Tabela de ingredientes'!$O$1:$V$30, SWITCH(B479, "Gelatos de Leite", 7, "Sorbets", 10, "Gelatos de Leite com Fruta", 13, "Chocolate base água", 16, "Vegano", 19, "Alcoólicos", 22, "Zero", 25, "Gelatos Proteicos", 28, 7), 7)) + (ROUND(O479,4) &gt; INDEX('Tabela de ingredientes'!$O$1:$V$30, SWITCH(B479, "Gelatos de Leite", 8, "Sorbets", 11, "Gelatos de Leite com Fruta", 14, "Chocolate base água", 17, "Vegano", 20, "Alcoólicos", 23, "Zero", 26, "Gelatos Proteicos", 29, 8), 7)) + (ROUND(P479,4) &lt; INDEX('Tabela de ingredientes'!$O$1:$V$30, SWITCH(B479, "Gelatos de Leite", 7, "Sorbets", 10, "Gelatos de Leite com Fruta", 13, "Chocolate base água", 16, "Vegano", 19, "Alcoólicos", 22, "Zero", 25, "Gelatos Proteicos", 28, 7), 8)) + (ROUND(P479,4) &gt; INDEX('Tabela de ingredientes'!$O$1:$V$30, SWITCH(B479, "Gelatos de Leite", 8, "Sorbets", 11, "Gelatos de Leite com Fruta", 14, "Chocolate base água", 17, "Vegano", 20, "Alcoólicos", 23, "Zero", 26, "Gelatos Proteicos", 29, 8), 8)) + IF(B479="Gelatos Proteicos", (ROUND(Q479,4)&lt;'Tabela de ingredientes'!$W$28)+(ROUND(Q479,4)&gt;'Tabela de ingredientes'!$W$29), 0) = 0, "Ok", "Revisar"))</f>
        <v/>
      </c>
    </row>
    <row r="480">
      <c r="A480" s="264"/>
      <c r="B480" s="264" t="s">
        <v>187</v>
      </c>
      <c r="C480" s="264" t="s">
        <v>187</v>
      </c>
      <c r="D480" s="264" t="s">
        <v>187</v>
      </c>
      <c r="E480" s="264" t="s">
        <v>187</v>
      </c>
      <c r="F480" s="264" t="s">
        <v>187</v>
      </c>
      <c r="G480" s="264" t="s">
        <v>187</v>
      </c>
      <c r="H480" s="264" t="s">
        <v>187</v>
      </c>
      <c r="I480" s="264" t="s">
        <v>187</v>
      </c>
      <c r="J480" s="264" t="s">
        <v>187</v>
      </c>
      <c r="K480" s="264" t="s">
        <v>187</v>
      </c>
      <c r="L480" s="264" t="s">
        <v>187</v>
      </c>
      <c r="M480" s="264" t="s">
        <v>187</v>
      </c>
      <c r="N480" s="264" t="s">
        <v>187</v>
      </c>
      <c r="O480" s="264" t="s">
        <v>187</v>
      </c>
      <c r="P480" s="264" t="s">
        <v>187</v>
      </c>
      <c r="Q480" s="264" t="s">
        <v>187</v>
      </c>
      <c r="R480" s="264" t="s">
        <v>187</v>
      </c>
      <c r="S480" s="97" t="str">
        <f t="array" ref="S480">IF(A480="","", IF( (ROUND(I480,4) &lt; INDEX('Tabela de ingredientes'!$O$1:$V$30, SWITCH(B480, "Gelatos de Leite", 7, "Sorbets", 10, "Gelatos de Leite com Fruta", 13, "Chocolate base água", 16, "Vegano", 19, "Alcoólicos", 22, "Zero", 25, "Gelatos Proteicos", 28, 7), 1)) + (ROUND(I480,4) &gt; INDEX('Tabela de ingredientes'!$O$1:$V$30, SWITCH(B480, "Gelatos de Leite", 8, "Sorbets", 11, "Gelatos de Leite com Fruta", 14, "Chocolate base água", 17, "Vegano", 20, "Alcoólicos", 23, "Zero", 26, "Gelatos Proteicos", 29, 8), 1)) + (ROUND(J480,4) &lt; INDEX('Tabela de ingredientes'!$O$1:$V$30, SWITCH(B480, "Gelatos de Leite", 7, "Sorbets", 10, "Gelatos de Leite com Fruta", 13, "Chocolate base água", 16, "Vegano", 19, "Alcoólicos", 22, "Zero", 25, "Gelatos Proteicos", 28, 7), 2)) + (ROUND(J480,4) &gt; INDEX('Tabela de ingredientes'!$O$1:$V$30, SWITCH(B480, "Gelatos de Leite", 8, "Sorbets", 11, "Gelatos de Leite com Fruta", 14, "Chocolate base água", 17, "Vegano", 20, "Alcoólicos", 23, "Zero", 26, "Gelatos Proteicos", 29, 8), 2)) + (ROUND(K480,4) &lt; INDEX('Tabela de ingredientes'!$O$1:$V$30, SWITCH(B480, "Gelatos de Leite", 7, "Sorbets", 10, "Gelatos de Leite com Fruta", 13, "Chocolate base água", 16, "Vegano", 19, "Alcoólicos", 22, "Zero", 25, "Gelatos Proteicos", 28, 7), 3)) + (ROUND(K480,4) &gt; INDEX('Tabela de ingredientes'!$O$1:$V$30, SWITCH(B480, "Gelatos de Leite", 8, "Sorbets", 11, "Gelatos de Leite com Fruta", 14, "Chocolate base água", 17, "Vegano", 20, "Alcoólicos", 23, "Zero", 26, "Gelatos Proteicos", 29, 8), 3)) + (ROUND(L480,4) &lt; INDEX('Tabela de ingredientes'!$O$1:$V$30, SWITCH(B480, "Gelatos de Leite", 7, "Sorbets", 10, "Gelatos de Leite com Fruta", 13, "Chocolate base água", 16, "Vegano", 19, "Alcoólicos", 22, "Zero", 25, "Gelatos Proteicos", 28, 7), 4)) + (ROUND(L480,4) &gt; INDEX('Tabela de ingredientes'!$O$1:$V$30, SWITCH(B480, "Gelatos de Leite", 8, "Sorbets", 11, "Gelatos de Leite com Fruta", 14, "Chocolate base água", 17, "Vegano", 20, "Alcoólicos", 23, "Zero", 26, "Gelatos Proteicos", 29, 8), 4)) + (ROUND(M480,4) &lt; INDEX('Tabela de ingredientes'!$O$1:$V$30, SWITCH(B480, "Gelatos de Leite", 7, "Sorbets", 10, "Gelatos de Leite com Fruta", 13, "Chocolate base água", 16, "Vegano", 19, "Alcoólicos", 22, "Zero", 25, "Gelatos Proteicos", 28, 7), 5)) + (ROUND(M480,4) &gt; INDEX('Tabela de ingredientes'!$O$1:$V$30, SWITCH(B480, "Gelatos de Leite", 8, "Sorbets", 11, "Gelatos de Leite com Fruta", 14, "Chocolate base água", 17, "Vegano", 20, "Alcoólicos", 23, "Zero", 26, "Gelatos Proteicos", 29, 8), 5)) + (ROUND(N480,4) &lt; INDEX('Tabela de ingredientes'!$O$1:$V$30, SWITCH(B480, "Gelatos de Leite", 7, "Sorbets", 10, "Gelatos de Leite com Fruta", 13, "Chocolate base água", 16, "Vegano", 19, "Alcoólicos", 22, "Zero", 25, "Gelatos Proteicos", 28, 7), 6)) + (ROUND(N480,4) &gt; INDEX('Tabela de ingredientes'!$O$1:$V$30, SWITCH(B480, "Gelatos de Leite", 8, "Sorbets", 11, "Gelatos de Leite com Fruta", 14, "Chocolate base água", 17, "Vegano", 20, "Alcoólicos", 23, "Zero", 26, "Gelatos Proteicos", 29, 8), 6)) + (ROUND(O480,4) &lt; INDEX('Tabela de ingredientes'!$O$1:$V$30, SWITCH(B480, "Gelatos de Leite", 7, "Sorbets", 10, "Gelatos de Leite com Fruta", 13, "Chocolate base água", 16, "Vegano", 19, "Alcoólicos", 22, "Zero", 25, "Gelatos Proteicos", 28, 7), 7)) + (ROUND(O480,4) &gt; INDEX('Tabela de ingredientes'!$O$1:$V$30, SWITCH(B480, "Gelatos de Leite", 8, "Sorbets", 11, "Gelatos de Leite com Fruta", 14, "Chocolate base água", 17, "Vegano", 20, "Alcoólicos", 23, "Zero", 26, "Gelatos Proteicos", 29, 8), 7)) + (ROUND(P480,4) &lt; INDEX('Tabela de ingredientes'!$O$1:$V$30, SWITCH(B480, "Gelatos de Leite", 7, "Sorbets", 10, "Gelatos de Leite com Fruta", 13, "Chocolate base água", 16, "Vegano", 19, "Alcoólicos", 22, "Zero", 25, "Gelatos Proteicos", 28, 7), 8)) + (ROUND(P480,4) &gt; INDEX('Tabela de ingredientes'!$O$1:$V$30, SWITCH(B480, "Gelatos de Leite", 8, "Sorbets", 11, "Gelatos de Leite com Fruta", 14, "Chocolate base água", 17, "Vegano", 20, "Alcoólicos", 23, "Zero", 26, "Gelatos Proteicos", 29, 8), 8)) + IF(B480="Gelatos Proteicos", (ROUND(Q480,4)&lt;'Tabela de ingredientes'!$W$28)+(ROUND(Q480,4)&gt;'Tabela de ingredientes'!$W$29), 0) = 0, "Ok", "Revisar"))</f>
        <v/>
      </c>
    </row>
    <row r="481">
      <c r="A481" s="264"/>
      <c r="B481" s="264" t="s">
        <v>187</v>
      </c>
      <c r="C481" s="264" t="s">
        <v>187</v>
      </c>
      <c r="D481" s="264" t="s">
        <v>187</v>
      </c>
      <c r="E481" s="264" t="s">
        <v>187</v>
      </c>
      <c r="F481" s="264" t="s">
        <v>187</v>
      </c>
      <c r="G481" s="264" t="s">
        <v>187</v>
      </c>
      <c r="H481" s="264" t="s">
        <v>187</v>
      </c>
      <c r="I481" s="264" t="s">
        <v>187</v>
      </c>
      <c r="J481" s="264" t="s">
        <v>187</v>
      </c>
      <c r="K481" s="264" t="s">
        <v>187</v>
      </c>
      <c r="L481" s="264" t="s">
        <v>187</v>
      </c>
      <c r="M481" s="264" t="s">
        <v>187</v>
      </c>
      <c r="N481" s="264" t="s">
        <v>187</v>
      </c>
      <c r="O481" s="264" t="s">
        <v>187</v>
      </c>
      <c r="P481" s="264" t="s">
        <v>187</v>
      </c>
      <c r="Q481" s="264" t="s">
        <v>187</v>
      </c>
      <c r="R481" s="264" t="s">
        <v>187</v>
      </c>
      <c r="S481" s="97" t="str">
        <f t="array" ref="S481">IF(A481="","", IF( (ROUND(I481,4) &lt; INDEX('Tabela de ingredientes'!$O$1:$V$30, SWITCH(B481, "Gelatos de Leite", 7, "Sorbets", 10, "Gelatos de Leite com Fruta", 13, "Chocolate base água", 16, "Vegano", 19, "Alcoólicos", 22, "Zero", 25, "Gelatos Proteicos", 28, 7), 1)) + (ROUND(I481,4) &gt; INDEX('Tabela de ingredientes'!$O$1:$V$30, SWITCH(B481, "Gelatos de Leite", 8, "Sorbets", 11, "Gelatos de Leite com Fruta", 14, "Chocolate base água", 17, "Vegano", 20, "Alcoólicos", 23, "Zero", 26, "Gelatos Proteicos", 29, 8), 1)) + (ROUND(J481,4) &lt; INDEX('Tabela de ingredientes'!$O$1:$V$30, SWITCH(B481, "Gelatos de Leite", 7, "Sorbets", 10, "Gelatos de Leite com Fruta", 13, "Chocolate base água", 16, "Vegano", 19, "Alcoólicos", 22, "Zero", 25, "Gelatos Proteicos", 28, 7), 2)) + (ROUND(J481,4) &gt; INDEX('Tabela de ingredientes'!$O$1:$V$30, SWITCH(B481, "Gelatos de Leite", 8, "Sorbets", 11, "Gelatos de Leite com Fruta", 14, "Chocolate base água", 17, "Vegano", 20, "Alcoólicos", 23, "Zero", 26, "Gelatos Proteicos", 29, 8), 2)) + (ROUND(K481,4) &lt; INDEX('Tabela de ingredientes'!$O$1:$V$30, SWITCH(B481, "Gelatos de Leite", 7, "Sorbets", 10, "Gelatos de Leite com Fruta", 13, "Chocolate base água", 16, "Vegano", 19, "Alcoólicos", 22, "Zero", 25, "Gelatos Proteicos", 28, 7), 3)) + (ROUND(K481,4) &gt; INDEX('Tabela de ingredientes'!$O$1:$V$30, SWITCH(B481, "Gelatos de Leite", 8, "Sorbets", 11, "Gelatos de Leite com Fruta", 14, "Chocolate base água", 17, "Vegano", 20, "Alcoólicos", 23, "Zero", 26, "Gelatos Proteicos", 29, 8), 3)) + (ROUND(L481,4) &lt; INDEX('Tabela de ingredientes'!$O$1:$V$30, SWITCH(B481, "Gelatos de Leite", 7, "Sorbets", 10, "Gelatos de Leite com Fruta", 13, "Chocolate base água", 16, "Vegano", 19, "Alcoólicos", 22, "Zero", 25, "Gelatos Proteicos", 28, 7), 4)) + (ROUND(L481,4) &gt; INDEX('Tabela de ingredientes'!$O$1:$V$30, SWITCH(B481, "Gelatos de Leite", 8, "Sorbets", 11, "Gelatos de Leite com Fruta", 14, "Chocolate base água", 17, "Vegano", 20, "Alcoólicos", 23, "Zero", 26, "Gelatos Proteicos", 29, 8), 4)) + (ROUND(M481,4) &lt; INDEX('Tabela de ingredientes'!$O$1:$V$30, SWITCH(B481, "Gelatos de Leite", 7, "Sorbets", 10, "Gelatos de Leite com Fruta", 13, "Chocolate base água", 16, "Vegano", 19, "Alcoólicos", 22, "Zero", 25, "Gelatos Proteicos", 28, 7), 5)) + (ROUND(M481,4) &gt; INDEX('Tabela de ingredientes'!$O$1:$V$30, SWITCH(B481, "Gelatos de Leite", 8, "Sorbets", 11, "Gelatos de Leite com Fruta", 14, "Chocolate base água", 17, "Vegano", 20, "Alcoólicos", 23, "Zero", 26, "Gelatos Proteicos", 29, 8), 5)) + (ROUND(N481,4) &lt; INDEX('Tabela de ingredientes'!$O$1:$V$30, SWITCH(B481, "Gelatos de Leite", 7, "Sorbets", 10, "Gelatos de Leite com Fruta", 13, "Chocolate base água", 16, "Vegano", 19, "Alcoólicos", 22, "Zero", 25, "Gelatos Proteicos", 28, 7), 6)) + (ROUND(N481,4) &gt; INDEX('Tabela de ingredientes'!$O$1:$V$30, SWITCH(B481, "Gelatos de Leite", 8, "Sorbets", 11, "Gelatos de Leite com Fruta", 14, "Chocolate base água", 17, "Vegano", 20, "Alcoólicos", 23, "Zero", 26, "Gelatos Proteicos", 29, 8), 6)) + (ROUND(O481,4) &lt; INDEX('Tabela de ingredientes'!$O$1:$V$30, SWITCH(B481, "Gelatos de Leite", 7, "Sorbets", 10, "Gelatos de Leite com Fruta", 13, "Chocolate base água", 16, "Vegano", 19, "Alcoólicos", 22, "Zero", 25, "Gelatos Proteicos", 28, 7), 7)) + (ROUND(O481,4) &gt; INDEX('Tabela de ingredientes'!$O$1:$V$30, SWITCH(B481, "Gelatos de Leite", 8, "Sorbets", 11, "Gelatos de Leite com Fruta", 14, "Chocolate base água", 17, "Vegano", 20, "Alcoólicos", 23, "Zero", 26, "Gelatos Proteicos", 29, 8), 7)) + (ROUND(P481,4) &lt; INDEX('Tabela de ingredientes'!$O$1:$V$30, SWITCH(B481, "Gelatos de Leite", 7, "Sorbets", 10, "Gelatos de Leite com Fruta", 13, "Chocolate base água", 16, "Vegano", 19, "Alcoólicos", 22, "Zero", 25, "Gelatos Proteicos", 28, 7), 8)) + (ROUND(P481,4) &gt; INDEX('Tabela de ingredientes'!$O$1:$V$30, SWITCH(B481, "Gelatos de Leite", 8, "Sorbets", 11, "Gelatos de Leite com Fruta", 14, "Chocolate base água", 17, "Vegano", 20, "Alcoólicos", 23, "Zero", 26, "Gelatos Proteicos", 29, 8), 8)) + IF(B481="Gelatos Proteicos", (ROUND(Q481,4)&lt;'Tabela de ingredientes'!$W$28)+(ROUND(Q481,4)&gt;'Tabela de ingredientes'!$W$29), 0) = 0, "Ok", "Revisar"))</f>
        <v/>
      </c>
    </row>
    <row r="482">
      <c r="A482" s="264"/>
      <c r="B482" s="264" t="s">
        <v>187</v>
      </c>
      <c r="C482" s="264" t="s">
        <v>187</v>
      </c>
      <c r="D482" s="264" t="s">
        <v>187</v>
      </c>
      <c r="E482" s="264" t="s">
        <v>187</v>
      </c>
      <c r="F482" s="264" t="s">
        <v>187</v>
      </c>
      <c r="G482" s="264" t="s">
        <v>187</v>
      </c>
      <c r="H482" s="264" t="s">
        <v>187</v>
      </c>
      <c r="I482" s="264" t="s">
        <v>187</v>
      </c>
      <c r="J482" s="264" t="s">
        <v>187</v>
      </c>
      <c r="K482" s="264" t="s">
        <v>187</v>
      </c>
      <c r="L482" s="264" t="s">
        <v>187</v>
      </c>
      <c r="M482" s="264" t="s">
        <v>187</v>
      </c>
      <c r="N482" s="264" t="s">
        <v>187</v>
      </c>
      <c r="O482" s="264" t="s">
        <v>187</v>
      </c>
      <c r="P482" s="264" t="s">
        <v>187</v>
      </c>
      <c r="Q482" s="264" t="s">
        <v>187</v>
      </c>
      <c r="R482" s="264" t="s">
        <v>187</v>
      </c>
      <c r="S482" s="97" t="str">
        <f t="array" ref="S482">IF(A482="","", IF( (ROUND(I482,4) &lt; INDEX('Tabela de ingredientes'!$O$1:$V$30, SWITCH(B482, "Gelatos de Leite", 7, "Sorbets", 10, "Gelatos de Leite com Fruta", 13, "Chocolate base água", 16, "Vegano", 19, "Alcoólicos", 22, "Zero", 25, "Gelatos Proteicos", 28, 7), 1)) + (ROUND(I482,4) &gt; INDEX('Tabela de ingredientes'!$O$1:$V$30, SWITCH(B482, "Gelatos de Leite", 8, "Sorbets", 11, "Gelatos de Leite com Fruta", 14, "Chocolate base água", 17, "Vegano", 20, "Alcoólicos", 23, "Zero", 26, "Gelatos Proteicos", 29, 8), 1)) + (ROUND(J482,4) &lt; INDEX('Tabela de ingredientes'!$O$1:$V$30, SWITCH(B482, "Gelatos de Leite", 7, "Sorbets", 10, "Gelatos de Leite com Fruta", 13, "Chocolate base água", 16, "Vegano", 19, "Alcoólicos", 22, "Zero", 25, "Gelatos Proteicos", 28, 7), 2)) + (ROUND(J482,4) &gt; INDEX('Tabela de ingredientes'!$O$1:$V$30, SWITCH(B482, "Gelatos de Leite", 8, "Sorbets", 11, "Gelatos de Leite com Fruta", 14, "Chocolate base água", 17, "Vegano", 20, "Alcoólicos", 23, "Zero", 26, "Gelatos Proteicos", 29, 8), 2)) + (ROUND(K482,4) &lt; INDEX('Tabela de ingredientes'!$O$1:$V$30, SWITCH(B482, "Gelatos de Leite", 7, "Sorbets", 10, "Gelatos de Leite com Fruta", 13, "Chocolate base água", 16, "Vegano", 19, "Alcoólicos", 22, "Zero", 25, "Gelatos Proteicos", 28, 7), 3)) + (ROUND(K482,4) &gt; INDEX('Tabela de ingredientes'!$O$1:$V$30, SWITCH(B482, "Gelatos de Leite", 8, "Sorbets", 11, "Gelatos de Leite com Fruta", 14, "Chocolate base água", 17, "Vegano", 20, "Alcoólicos", 23, "Zero", 26, "Gelatos Proteicos", 29, 8), 3)) + (ROUND(L482,4) &lt; INDEX('Tabela de ingredientes'!$O$1:$V$30, SWITCH(B482, "Gelatos de Leite", 7, "Sorbets", 10, "Gelatos de Leite com Fruta", 13, "Chocolate base água", 16, "Vegano", 19, "Alcoólicos", 22, "Zero", 25, "Gelatos Proteicos", 28, 7), 4)) + (ROUND(L482,4) &gt; INDEX('Tabela de ingredientes'!$O$1:$V$30, SWITCH(B482, "Gelatos de Leite", 8, "Sorbets", 11, "Gelatos de Leite com Fruta", 14, "Chocolate base água", 17, "Vegano", 20, "Alcoólicos", 23, "Zero", 26, "Gelatos Proteicos", 29, 8), 4)) + (ROUND(M482,4) &lt; INDEX('Tabela de ingredientes'!$O$1:$V$30, SWITCH(B482, "Gelatos de Leite", 7, "Sorbets", 10, "Gelatos de Leite com Fruta", 13, "Chocolate base água", 16, "Vegano", 19, "Alcoólicos", 22, "Zero", 25, "Gelatos Proteicos", 28, 7), 5)) + (ROUND(M482,4) &gt; INDEX('Tabela de ingredientes'!$O$1:$V$30, SWITCH(B482, "Gelatos de Leite", 8, "Sorbets", 11, "Gelatos de Leite com Fruta", 14, "Chocolate base água", 17, "Vegano", 20, "Alcoólicos", 23, "Zero", 26, "Gelatos Proteicos", 29, 8), 5)) + (ROUND(N482,4) &lt; INDEX('Tabela de ingredientes'!$O$1:$V$30, SWITCH(B482, "Gelatos de Leite", 7, "Sorbets", 10, "Gelatos de Leite com Fruta", 13, "Chocolate base água", 16, "Vegano", 19, "Alcoólicos", 22, "Zero", 25, "Gelatos Proteicos", 28, 7), 6)) + (ROUND(N482,4) &gt; INDEX('Tabela de ingredientes'!$O$1:$V$30, SWITCH(B482, "Gelatos de Leite", 8, "Sorbets", 11, "Gelatos de Leite com Fruta", 14, "Chocolate base água", 17, "Vegano", 20, "Alcoólicos", 23, "Zero", 26, "Gelatos Proteicos", 29, 8), 6)) + (ROUND(O482,4) &lt; INDEX('Tabela de ingredientes'!$O$1:$V$30, SWITCH(B482, "Gelatos de Leite", 7, "Sorbets", 10, "Gelatos de Leite com Fruta", 13, "Chocolate base água", 16, "Vegano", 19, "Alcoólicos", 22, "Zero", 25, "Gelatos Proteicos", 28, 7), 7)) + (ROUND(O482,4) &gt; INDEX('Tabela de ingredientes'!$O$1:$V$30, SWITCH(B482, "Gelatos de Leite", 8, "Sorbets", 11, "Gelatos de Leite com Fruta", 14, "Chocolate base água", 17, "Vegano", 20, "Alcoólicos", 23, "Zero", 26, "Gelatos Proteicos", 29, 8), 7)) + (ROUND(P482,4) &lt; INDEX('Tabela de ingredientes'!$O$1:$V$30, SWITCH(B482, "Gelatos de Leite", 7, "Sorbets", 10, "Gelatos de Leite com Fruta", 13, "Chocolate base água", 16, "Vegano", 19, "Alcoólicos", 22, "Zero", 25, "Gelatos Proteicos", 28, 7), 8)) + (ROUND(P482,4) &gt; INDEX('Tabela de ingredientes'!$O$1:$V$30, SWITCH(B482, "Gelatos de Leite", 8, "Sorbets", 11, "Gelatos de Leite com Fruta", 14, "Chocolate base água", 17, "Vegano", 20, "Alcoólicos", 23, "Zero", 26, "Gelatos Proteicos", 29, 8), 8)) + IF(B482="Gelatos Proteicos", (ROUND(Q482,4)&lt;'Tabela de ingredientes'!$W$28)+(ROUND(Q482,4)&gt;'Tabela de ingredientes'!$W$29), 0) = 0, "Ok", "Revisar"))</f>
        <v/>
      </c>
    </row>
    <row r="483">
      <c r="A483" s="264"/>
      <c r="B483" s="264" t="s">
        <v>187</v>
      </c>
      <c r="C483" s="264" t="s">
        <v>187</v>
      </c>
      <c r="D483" s="264" t="s">
        <v>187</v>
      </c>
      <c r="E483" s="264" t="s">
        <v>187</v>
      </c>
      <c r="F483" s="264" t="s">
        <v>187</v>
      </c>
      <c r="G483" s="264" t="s">
        <v>187</v>
      </c>
      <c r="H483" s="264" t="s">
        <v>187</v>
      </c>
      <c r="I483" s="264" t="s">
        <v>187</v>
      </c>
      <c r="J483" s="264" t="s">
        <v>187</v>
      </c>
      <c r="K483" s="264" t="s">
        <v>187</v>
      </c>
      <c r="L483" s="264" t="s">
        <v>187</v>
      </c>
      <c r="M483" s="264" t="s">
        <v>187</v>
      </c>
      <c r="N483" s="264" t="s">
        <v>187</v>
      </c>
      <c r="O483" s="264" t="s">
        <v>187</v>
      </c>
      <c r="P483" s="264" t="s">
        <v>187</v>
      </c>
      <c r="Q483" s="264" t="s">
        <v>187</v>
      </c>
      <c r="R483" s="264" t="s">
        <v>187</v>
      </c>
      <c r="S483" s="97" t="str">
        <f t="array" ref="S483">IF(A483="","", IF( (ROUND(I483,4) &lt; INDEX('Tabela de ingredientes'!$O$1:$V$30, SWITCH(B483, "Gelatos de Leite", 7, "Sorbets", 10, "Gelatos de Leite com Fruta", 13, "Chocolate base água", 16, "Vegano", 19, "Alcoólicos", 22, "Zero", 25, "Gelatos Proteicos", 28, 7), 1)) + (ROUND(I483,4) &gt; INDEX('Tabela de ingredientes'!$O$1:$V$30, SWITCH(B483, "Gelatos de Leite", 8, "Sorbets", 11, "Gelatos de Leite com Fruta", 14, "Chocolate base água", 17, "Vegano", 20, "Alcoólicos", 23, "Zero", 26, "Gelatos Proteicos", 29, 8), 1)) + (ROUND(J483,4) &lt; INDEX('Tabela de ingredientes'!$O$1:$V$30, SWITCH(B483, "Gelatos de Leite", 7, "Sorbets", 10, "Gelatos de Leite com Fruta", 13, "Chocolate base água", 16, "Vegano", 19, "Alcoólicos", 22, "Zero", 25, "Gelatos Proteicos", 28, 7), 2)) + (ROUND(J483,4) &gt; INDEX('Tabela de ingredientes'!$O$1:$V$30, SWITCH(B483, "Gelatos de Leite", 8, "Sorbets", 11, "Gelatos de Leite com Fruta", 14, "Chocolate base água", 17, "Vegano", 20, "Alcoólicos", 23, "Zero", 26, "Gelatos Proteicos", 29, 8), 2)) + (ROUND(K483,4) &lt; INDEX('Tabela de ingredientes'!$O$1:$V$30, SWITCH(B483, "Gelatos de Leite", 7, "Sorbets", 10, "Gelatos de Leite com Fruta", 13, "Chocolate base água", 16, "Vegano", 19, "Alcoólicos", 22, "Zero", 25, "Gelatos Proteicos", 28, 7), 3)) + (ROUND(K483,4) &gt; INDEX('Tabela de ingredientes'!$O$1:$V$30, SWITCH(B483, "Gelatos de Leite", 8, "Sorbets", 11, "Gelatos de Leite com Fruta", 14, "Chocolate base água", 17, "Vegano", 20, "Alcoólicos", 23, "Zero", 26, "Gelatos Proteicos", 29, 8), 3)) + (ROUND(L483,4) &lt; INDEX('Tabela de ingredientes'!$O$1:$V$30, SWITCH(B483, "Gelatos de Leite", 7, "Sorbets", 10, "Gelatos de Leite com Fruta", 13, "Chocolate base água", 16, "Vegano", 19, "Alcoólicos", 22, "Zero", 25, "Gelatos Proteicos", 28, 7), 4)) + (ROUND(L483,4) &gt; INDEX('Tabela de ingredientes'!$O$1:$V$30, SWITCH(B483, "Gelatos de Leite", 8, "Sorbets", 11, "Gelatos de Leite com Fruta", 14, "Chocolate base água", 17, "Vegano", 20, "Alcoólicos", 23, "Zero", 26, "Gelatos Proteicos", 29, 8), 4)) + (ROUND(M483,4) &lt; INDEX('Tabela de ingredientes'!$O$1:$V$30, SWITCH(B483, "Gelatos de Leite", 7, "Sorbets", 10, "Gelatos de Leite com Fruta", 13, "Chocolate base água", 16, "Vegano", 19, "Alcoólicos", 22, "Zero", 25, "Gelatos Proteicos", 28, 7), 5)) + (ROUND(M483,4) &gt; INDEX('Tabela de ingredientes'!$O$1:$V$30, SWITCH(B483, "Gelatos de Leite", 8, "Sorbets", 11, "Gelatos de Leite com Fruta", 14, "Chocolate base água", 17, "Vegano", 20, "Alcoólicos", 23, "Zero", 26, "Gelatos Proteicos", 29, 8), 5)) + (ROUND(N483,4) &lt; INDEX('Tabela de ingredientes'!$O$1:$V$30, SWITCH(B483, "Gelatos de Leite", 7, "Sorbets", 10, "Gelatos de Leite com Fruta", 13, "Chocolate base água", 16, "Vegano", 19, "Alcoólicos", 22, "Zero", 25, "Gelatos Proteicos", 28, 7), 6)) + (ROUND(N483,4) &gt; INDEX('Tabela de ingredientes'!$O$1:$V$30, SWITCH(B483, "Gelatos de Leite", 8, "Sorbets", 11, "Gelatos de Leite com Fruta", 14, "Chocolate base água", 17, "Vegano", 20, "Alcoólicos", 23, "Zero", 26, "Gelatos Proteicos", 29, 8), 6)) + (ROUND(O483,4) &lt; INDEX('Tabela de ingredientes'!$O$1:$V$30, SWITCH(B483, "Gelatos de Leite", 7, "Sorbets", 10, "Gelatos de Leite com Fruta", 13, "Chocolate base água", 16, "Vegano", 19, "Alcoólicos", 22, "Zero", 25, "Gelatos Proteicos", 28, 7), 7)) + (ROUND(O483,4) &gt; INDEX('Tabela de ingredientes'!$O$1:$V$30, SWITCH(B483, "Gelatos de Leite", 8, "Sorbets", 11, "Gelatos de Leite com Fruta", 14, "Chocolate base água", 17, "Vegano", 20, "Alcoólicos", 23, "Zero", 26, "Gelatos Proteicos", 29, 8), 7)) + (ROUND(P483,4) &lt; INDEX('Tabela de ingredientes'!$O$1:$V$30, SWITCH(B483, "Gelatos de Leite", 7, "Sorbets", 10, "Gelatos de Leite com Fruta", 13, "Chocolate base água", 16, "Vegano", 19, "Alcoólicos", 22, "Zero", 25, "Gelatos Proteicos", 28, 7), 8)) + (ROUND(P483,4) &gt; INDEX('Tabela de ingredientes'!$O$1:$V$30, SWITCH(B483, "Gelatos de Leite", 8, "Sorbets", 11, "Gelatos de Leite com Fruta", 14, "Chocolate base água", 17, "Vegano", 20, "Alcoólicos", 23, "Zero", 26, "Gelatos Proteicos", 29, 8), 8)) + IF(B483="Gelatos Proteicos", (ROUND(Q483,4)&lt;'Tabela de ingredientes'!$W$28)+(ROUND(Q483,4)&gt;'Tabela de ingredientes'!$W$29), 0) = 0, "Ok", "Revisar"))</f>
        <v/>
      </c>
    </row>
    <row r="484">
      <c r="A484" s="264"/>
      <c r="B484" s="264" t="s">
        <v>187</v>
      </c>
      <c r="C484" s="264" t="s">
        <v>187</v>
      </c>
      <c r="D484" s="264" t="s">
        <v>187</v>
      </c>
      <c r="E484" s="264" t="s">
        <v>187</v>
      </c>
      <c r="F484" s="264" t="s">
        <v>187</v>
      </c>
      <c r="G484" s="264" t="s">
        <v>187</v>
      </c>
      <c r="H484" s="264" t="s">
        <v>187</v>
      </c>
      <c r="I484" s="264" t="s">
        <v>187</v>
      </c>
      <c r="J484" s="264" t="s">
        <v>187</v>
      </c>
      <c r="K484" s="264" t="s">
        <v>187</v>
      </c>
      <c r="L484" s="264" t="s">
        <v>187</v>
      </c>
      <c r="M484" s="264" t="s">
        <v>187</v>
      </c>
      <c r="N484" s="264" t="s">
        <v>187</v>
      </c>
      <c r="O484" s="264" t="s">
        <v>187</v>
      </c>
      <c r="P484" s="264" t="s">
        <v>187</v>
      </c>
      <c r="Q484" s="264" t="s">
        <v>187</v>
      </c>
      <c r="R484" s="264" t="s">
        <v>187</v>
      </c>
      <c r="S484" s="97" t="str">
        <f t="array" ref="S484">IF(A484="","", IF( (ROUND(I484,4) &lt; INDEX('Tabela de ingredientes'!$O$1:$V$30, SWITCH(B484, "Gelatos de Leite", 7, "Sorbets", 10, "Gelatos de Leite com Fruta", 13, "Chocolate base água", 16, "Vegano", 19, "Alcoólicos", 22, "Zero", 25, "Gelatos Proteicos", 28, 7), 1)) + (ROUND(I484,4) &gt; INDEX('Tabela de ingredientes'!$O$1:$V$30, SWITCH(B484, "Gelatos de Leite", 8, "Sorbets", 11, "Gelatos de Leite com Fruta", 14, "Chocolate base água", 17, "Vegano", 20, "Alcoólicos", 23, "Zero", 26, "Gelatos Proteicos", 29, 8), 1)) + (ROUND(J484,4) &lt; INDEX('Tabela de ingredientes'!$O$1:$V$30, SWITCH(B484, "Gelatos de Leite", 7, "Sorbets", 10, "Gelatos de Leite com Fruta", 13, "Chocolate base água", 16, "Vegano", 19, "Alcoólicos", 22, "Zero", 25, "Gelatos Proteicos", 28, 7), 2)) + (ROUND(J484,4) &gt; INDEX('Tabela de ingredientes'!$O$1:$V$30, SWITCH(B484, "Gelatos de Leite", 8, "Sorbets", 11, "Gelatos de Leite com Fruta", 14, "Chocolate base água", 17, "Vegano", 20, "Alcoólicos", 23, "Zero", 26, "Gelatos Proteicos", 29, 8), 2)) + (ROUND(K484,4) &lt; INDEX('Tabela de ingredientes'!$O$1:$V$30, SWITCH(B484, "Gelatos de Leite", 7, "Sorbets", 10, "Gelatos de Leite com Fruta", 13, "Chocolate base água", 16, "Vegano", 19, "Alcoólicos", 22, "Zero", 25, "Gelatos Proteicos", 28, 7), 3)) + (ROUND(K484,4) &gt; INDEX('Tabela de ingredientes'!$O$1:$V$30, SWITCH(B484, "Gelatos de Leite", 8, "Sorbets", 11, "Gelatos de Leite com Fruta", 14, "Chocolate base água", 17, "Vegano", 20, "Alcoólicos", 23, "Zero", 26, "Gelatos Proteicos", 29, 8), 3)) + (ROUND(L484,4) &lt; INDEX('Tabela de ingredientes'!$O$1:$V$30, SWITCH(B484, "Gelatos de Leite", 7, "Sorbets", 10, "Gelatos de Leite com Fruta", 13, "Chocolate base água", 16, "Vegano", 19, "Alcoólicos", 22, "Zero", 25, "Gelatos Proteicos", 28, 7), 4)) + (ROUND(L484,4) &gt; INDEX('Tabela de ingredientes'!$O$1:$V$30, SWITCH(B484, "Gelatos de Leite", 8, "Sorbets", 11, "Gelatos de Leite com Fruta", 14, "Chocolate base água", 17, "Vegano", 20, "Alcoólicos", 23, "Zero", 26, "Gelatos Proteicos", 29, 8), 4)) + (ROUND(M484,4) &lt; INDEX('Tabela de ingredientes'!$O$1:$V$30, SWITCH(B484, "Gelatos de Leite", 7, "Sorbets", 10, "Gelatos de Leite com Fruta", 13, "Chocolate base água", 16, "Vegano", 19, "Alcoólicos", 22, "Zero", 25, "Gelatos Proteicos", 28, 7), 5)) + (ROUND(M484,4) &gt; INDEX('Tabela de ingredientes'!$O$1:$V$30, SWITCH(B484, "Gelatos de Leite", 8, "Sorbets", 11, "Gelatos de Leite com Fruta", 14, "Chocolate base água", 17, "Vegano", 20, "Alcoólicos", 23, "Zero", 26, "Gelatos Proteicos", 29, 8), 5)) + (ROUND(N484,4) &lt; INDEX('Tabela de ingredientes'!$O$1:$V$30, SWITCH(B484, "Gelatos de Leite", 7, "Sorbets", 10, "Gelatos de Leite com Fruta", 13, "Chocolate base água", 16, "Vegano", 19, "Alcoólicos", 22, "Zero", 25, "Gelatos Proteicos", 28, 7), 6)) + (ROUND(N484,4) &gt; INDEX('Tabela de ingredientes'!$O$1:$V$30, SWITCH(B484, "Gelatos de Leite", 8, "Sorbets", 11, "Gelatos de Leite com Fruta", 14, "Chocolate base água", 17, "Vegano", 20, "Alcoólicos", 23, "Zero", 26, "Gelatos Proteicos", 29, 8), 6)) + (ROUND(O484,4) &lt; INDEX('Tabela de ingredientes'!$O$1:$V$30, SWITCH(B484, "Gelatos de Leite", 7, "Sorbets", 10, "Gelatos de Leite com Fruta", 13, "Chocolate base água", 16, "Vegano", 19, "Alcoólicos", 22, "Zero", 25, "Gelatos Proteicos", 28, 7), 7)) + (ROUND(O484,4) &gt; INDEX('Tabela de ingredientes'!$O$1:$V$30, SWITCH(B484, "Gelatos de Leite", 8, "Sorbets", 11, "Gelatos de Leite com Fruta", 14, "Chocolate base água", 17, "Vegano", 20, "Alcoólicos", 23, "Zero", 26, "Gelatos Proteicos", 29, 8), 7)) + (ROUND(P484,4) &lt; INDEX('Tabela de ingredientes'!$O$1:$V$30, SWITCH(B484, "Gelatos de Leite", 7, "Sorbets", 10, "Gelatos de Leite com Fruta", 13, "Chocolate base água", 16, "Vegano", 19, "Alcoólicos", 22, "Zero", 25, "Gelatos Proteicos", 28, 7), 8)) + (ROUND(P484,4) &gt; INDEX('Tabela de ingredientes'!$O$1:$V$30, SWITCH(B484, "Gelatos de Leite", 8, "Sorbets", 11, "Gelatos de Leite com Fruta", 14, "Chocolate base água", 17, "Vegano", 20, "Alcoólicos", 23, "Zero", 26, "Gelatos Proteicos", 29, 8), 8)) + IF(B484="Gelatos Proteicos", (ROUND(Q484,4)&lt;'Tabela de ingredientes'!$W$28)+(ROUND(Q484,4)&gt;'Tabela de ingredientes'!$W$29), 0) = 0, "Ok", "Revisar"))</f>
        <v/>
      </c>
    </row>
    <row r="485">
      <c r="A485" s="264"/>
      <c r="B485" s="264" t="s">
        <v>187</v>
      </c>
      <c r="C485" s="264" t="s">
        <v>187</v>
      </c>
      <c r="D485" s="264" t="s">
        <v>187</v>
      </c>
      <c r="E485" s="264" t="s">
        <v>187</v>
      </c>
      <c r="F485" s="264" t="s">
        <v>187</v>
      </c>
      <c r="G485" s="264" t="s">
        <v>187</v>
      </c>
      <c r="H485" s="264" t="s">
        <v>187</v>
      </c>
      <c r="I485" s="264" t="s">
        <v>187</v>
      </c>
      <c r="J485" s="264" t="s">
        <v>187</v>
      </c>
      <c r="K485" s="264" t="s">
        <v>187</v>
      </c>
      <c r="L485" s="264" t="s">
        <v>187</v>
      </c>
      <c r="M485" s="264" t="s">
        <v>187</v>
      </c>
      <c r="N485" s="264" t="s">
        <v>187</v>
      </c>
      <c r="O485" s="264" t="s">
        <v>187</v>
      </c>
      <c r="P485" s="264" t="s">
        <v>187</v>
      </c>
      <c r="Q485" s="264" t="s">
        <v>187</v>
      </c>
      <c r="R485" s="264" t="s">
        <v>187</v>
      </c>
      <c r="S485" s="97" t="str">
        <f t="array" ref="S485">IF(A485="","", IF( (ROUND(I485,4) &lt; INDEX('Tabela de ingredientes'!$O$1:$V$30, SWITCH(B485, "Gelatos de Leite", 7, "Sorbets", 10, "Gelatos de Leite com Fruta", 13, "Chocolate base água", 16, "Vegano", 19, "Alcoólicos", 22, "Zero", 25, "Gelatos Proteicos", 28, 7), 1)) + (ROUND(I485,4) &gt; INDEX('Tabela de ingredientes'!$O$1:$V$30, SWITCH(B485, "Gelatos de Leite", 8, "Sorbets", 11, "Gelatos de Leite com Fruta", 14, "Chocolate base água", 17, "Vegano", 20, "Alcoólicos", 23, "Zero", 26, "Gelatos Proteicos", 29, 8), 1)) + (ROUND(J485,4) &lt; INDEX('Tabela de ingredientes'!$O$1:$V$30, SWITCH(B485, "Gelatos de Leite", 7, "Sorbets", 10, "Gelatos de Leite com Fruta", 13, "Chocolate base água", 16, "Vegano", 19, "Alcoólicos", 22, "Zero", 25, "Gelatos Proteicos", 28, 7), 2)) + (ROUND(J485,4) &gt; INDEX('Tabela de ingredientes'!$O$1:$V$30, SWITCH(B485, "Gelatos de Leite", 8, "Sorbets", 11, "Gelatos de Leite com Fruta", 14, "Chocolate base água", 17, "Vegano", 20, "Alcoólicos", 23, "Zero", 26, "Gelatos Proteicos", 29, 8), 2)) + (ROUND(K485,4) &lt; INDEX('Tabela de ingredientes'!$O$1:$V$30, SWITCH(B485, "Gelatos de Leite", 7, "Sorbets", 10, "Gelatos de Leite com Fruta", 13, "Chocolate base água", 16, "Vegano", 19, "Alcoólicos", 22, "Zero", 25, "Gelatos Proteicos", 28, 7), 3)) + (ROUND(K485,4) &gt; INDEX('Tabela de ingredientes'!$O$1:$V$30, SWITCH(B485, "Gelatos de Leite", 8, "Sorbets", 11, "Gelatos de Leite com Fruta", 14, "Chocolate base água", 17, "Vegano", 20, "Alcoólicos", 23, "Zero", 26, "Gelatos Proteicos", 29, 8), 3)) + (ROUND(L485,4) &lt; INDEX('Tabela de ingredientes'!$O$1:$V$30, SWITCH(B485, "Gelatos de Leite", 7, "Sorbets", 10, "Gelatos de Leite com Fruta", 13, "Chocolate base água", 16, "Vegano", 19, "Alcoólicos", 22, "Zero", 25, "Gelatos Proteicos", 28, 7), 4)) + (ROUND(L485,4) &gt; INDEX('Tabela de ingredientes'!$O$1:$V$30, SWITCH(B485, "Gelatos de Leite", 8, "Sorbets", 11, "Gelatos de Leite com Fruta", 14, "Chocolate base água", 17, "Vegano", 20, "Alcoólicos", 23, "Zero", 26, "Gelatos Proteicos", 29, 8), 4)) + (ROUND(M485,4) &lt; INDEX('Tabela de ingredientes'!$O$1:$V$30, SWITCH(B485, "Gelatos de Leite", 7, "Sorbets", 10, "Gelatos de Leite com Fruta", 13, "Chocolate base água", 16, "Vegano", 19, "Alcoólicos", 22, "Zero", 25, "Gelatos Proteicos", 28, 7), 5)) + (ROUND(M485,4) &gt; INDEX('Tabela de ingredientes'!$O$1:$V$30, SWITCH(B485, "Gelatos de Leite", 8, "Sorbets", 11, "Gelatos de Leite com Fruta", 14, "Chocolate base água", 17, "Vegano", 20, "Alcoólicos", 23, "Zero", 26, "Gelatos Proteicos", 29, 8), 5)) + (ROUND(N485,4) &lt; INDEX('Tabela de ingredientes'!$O$1:$V$30, SWITCH(B485, "Gelatos de Leite", 7, "Sorbets", 10, "Gelatos de Leite com Fruta", 13, "Chocolate base água", 16, "Vegano", 19, "Alcoólicos", 22, "Zero", 25, "Gelatos Proteicos", 28, 7), 6)) + (ROUND(N485,4) &gt; INDEX('Tabela de ingredientes'!$O$1:$V$30, SWITCH(B485, "Gelatos de Leite", 8, "Sorbets", 11, "Gelatos de Leite com Fruta", 14, "Chocolate base água", 17, "Vegano", 20, "Alcoólicos", 23, "Zero", 26, "Gelatos Proteicos", 29, 8), 6)) + (ROUND(O485,4) &lt; INDEX('Tabela de ingredientes'!$O$1:$V$30, SWITCH(B485, "Gelatos de Leite", 7, "Sorbets", 10, "Gelatos de Leite com Fruta", 13, "Chocolate base água", 16, "Vegano", 19, "Alcoólicos", 22, "Zero", 25, "Gelatos Proteicos", 28, 7), 7)) + (ROUND(O485,4) &gt; INDEX('Tabela de ingredientes'!$O$1:$V$30, SWITCH(B485, "Gelatos de Leite", 8, "Sorbets", 11, "Gelatos de Leite com Fruta", 14, "Chocolate base água", 17, "Vegano", 20, "Alcoólicos", 23, "Zero", 26, "Gelatos Proteicos", 29, 8), 7)) + (ROUND(P485,4) &lt; INDEX('Tabela de ingredientes'!$O$1:$V$30, SWITCH(B485, "Gelatos de Leite", 7, "Sorbets", 10, "Gelatos de Leite com Fruta", 13, "Chocolate base água", 16, "Vegano", 19, "Alcoólicos", 22, "Zero", 25, "Gelatos Proteicos", 28, 7), 8)) + (ROUND(P485,4) &gt; INDEX('Tabela de ingredientes'!$O$1:$V$30, SWITCH(B485, "Gelatos de Leite", 8, "Sorbets", 11, "Gelatos de Leite com Fruta", 14, "Chocolate base água", 17, "Vegano", 20, "Alcoólicos", 23, "Zero", 26, "Gelatos Proteicos", 29, 8), 8)) + IF(B485="Gelatos Proteicos", (ROUND(Q485,4)&lt;'Tabela de ingredientes'!$W$28)+(ROUND(Q485,4)&gt;'Tabela de ingredientes'!$W$29), 0) = 0, "Ok", "Revisar"))</f>
        <v/>
      </c>
    </row>
    <row r="486">
      <c r="A486" s="264"/>
      <c r="B486" s="264" t="s">
        <v>187</v>
      </c>
      <c r="C486" s="264" t="s">
        <v>187</v>
      </c>
      <c r="D486" s="264" t="s">
        <v>187</v>
      </c>
      <c r="E486" s="264" t="s">
        <v>187</v>
      </c>
      <c r="F486" s="264" t="s">
        <v>187</v>
      </c>
      <c r="G486" s="264" t="s">
        <v>187</v>
      </c>
      <c r="H486" s="264" t="s">
        <v>187</v>
      </c>
      <c r="I486" s="264" t="s">
        <v>187</v>
      </c>
      <c r="J486" s="264" t="s">
        <v>187</v>
      </c>
      <c r="K486" s="264" t="s">
        <v>187</v>
      </c>
      <c r="L486" s="264" t="s">
        <v>187</v>
      </c>
      <c r="M486" s="264" t="s">
        <v>187</v>
      </c>
      <c r="N486" s="264" t="s">
        <v>187</v>
      </c>
      <c r="O486" s="264" t="s">
        <v>187</v>
      </c>
      <c r="P486" s="264" t="s">
        <v>187</v>
      </c>
      <c r="Q486" s="264" t="s">
        <v>187</v>
      </c>
      <c r="R486" s="264" t="s">
        <v>187</v>
      </c>
      <c r="S486" s="97" t="str">
        <f t="array" ref="S486">IF(A486="","", IF( (ROUND(I486,4) &lt; INDEX('Tabela de ingredientes'!$O$1:$V$30, SWITCH(B486, "Gelatos de Leite", 7, "Sorbets", 10, "Gelatos de Leite com Fruta", 13, "Chocolate base água", 16, "Vegano", 19, "Alcoólicos", 22, "Zero", 25, "Gelatos Proteicos", 28, 7), 1)) + (ROUND(I486,4) &gt; INDEX('Tabela de ingredientes'!$O$1:$V$30, SWITCH(B486, "Gelatos de Leite", 8, "Sorbets", 11, "Gelatos de Leite com Fruta", 14, "Chocolate base água", 17, "Vegano", 20, "Alcoólicos", 23, "Zero", 26, "Gelatos Proteicos", 29, 8), 1)) + (ROUND(J486,4) &lt; INDEX('Tabela de ingredientes'!$O$1:$V$30, SWITCH(B486, "Gelatos de Leite", 7, "Sorbets", 10, "Gelatos de Leite com Fruta", 13, "Chocolate base água", 16, "Vegano", 19, "Alcoólicos", 22, "Zero", 25, "Gelatos Proteicos", 28, 7), 2)) + (ROUND(J486,4) &gt; INDEX('Tabela de ingredientes'!$O$1:$V$30, SWITCH(B486, "Gelatos de Leite", 8, "Sorbets", 11, "Gelatos de Leite com Fruta", 14, "Chocolate base água", 17, "Vegano", 20, "Alcoólicos", 23, "Zero", 26, "Gelatos Proteicos", 29, 8), 2)) + (ROUND(K486,4) &lt; INDEX('Tabela de ingredientes'!$O$1:$V$30, SWITCH(B486, "Gelatos de Leite", 7, "Sorbets", 10, "Gelatos de Leite com Fruta", 13, "Chocolate base água", 16, "Vegano", 19, "Alcoólicos", 22, "Zero", 25, "Gelatos Proteicos", 28, 7), 3)) + (ROUND(K486,4) &gt; INDEX('Tabela de ingredientes'!$O$1:$V$30, SWITCH(B486, "Gelatos de Leite", 8, "Sorbets", 11, "Gelatos de Leite com Fruta", 14, "Chocolate base água", 17, "Vegano", 20, "Alcoólicos", 23, "Zero", 26, "Gelatos Proteicos", 29, 8), 3)) + (ROUND(L486,4) &lt; INDEX('Tabela de ingredientes'!$O$1:$V$30, SWITCH(B486, "Gelatos de Leite", 7, "Sorbets", 10, "Gelatos de Leite com Fruta", 13, "Chocolate base água", 16, "Vegano", 19, "Alcoólicos", 22, "Zero", 25, "Gelatos Proteicos", 28, 7), 4)) + (ROUND(L486,4) &gt; INDEX('Tabela de ingredientes'!$O$1:$V$30, SWITCH(B486, "Gelatos de Leite", 8, "Sorbets", 11, "Gelatos de Leite com Fruta", 14, "Chocolate base água", 17, "Vegano", 20, "Alcoólicos", 23, "Zero", 26, "Gelatos Proteicos", 29, 8), 4)) + (ROUND(M486,4) &lt; INDEX('Tabela de ingredientes'!$O$1:$V$30, SWITCH(B486, "Gelatos de Leite", 7, "Sorbets", 10, "Gelatos de Leite com Fruta", 13, "Chocolate base água", 16, "Vegano", 19, "Alcoólicos", 22, "Zero", 25, "Gelatos Proteicos", 28, 7), 5)) + (ROUND(M486,4) &gt; INDEX('Tabela de ingredientes'!$O$1:$V$30, SWITCH(B486, "Gelatos de Leite", 8, "Sorbets", 11, "Gelatos de Leite com Fruta", 14, "Chocolate base água", 17, "Vegano", 20, "Alcoólicos", 23, "Zero", 26, "Gelatos Proteicos", 29, 8), 5)) + (ROUND(N486,4) &lt; INDEX('Tabela de ingredientes'!$O$1:$V$30, SWITCH(B486, "Gelatos de Leite", 7, "Sorbets", 10, "Gelatos de Leite com Fruta", 13, "Chocolate base água", 16, "Vegano", 19, "Alcoólicos", 22, "Zero", 25, "Gelatos Proteicos", 28, 7), 6)) + (ROUND(N486,4) &gt; INDEX('Tabela de ingredientes'!$O$1:$V$30, SWITCH(B486, "Gelatos de Leite", 8, "Sorbets", 11, "Gelatos de Leite com Fruta", 14, "Chocolate base água", 17, "Vegano", 20, "Alcoólicos", 23, "Zero", 26, "Gelatos Proteicos", 29, 8), 6)) + (ROUND(O486,4) &lt; INDEX('Tabela de ingredientes'!$O$1:$V$30, SWITCH(B486, "Gelatos de Leite", 7, "Sorbets", 10, "Gelatos de Leite com Fruta", 13, "Chocolate base água", 16, "Vegano", 19, "Alcoólicos", 22, "Zero", 25, "Gelatos Proteicos", 28, 7), 7)) + (ROUND(O486,4) &gt; INDEX('Tabela de ingredientes'!$O$1:$V$30, SWITCH(B486, "Gelatos de Leite", 8, "Sorbets", 11, "Gelatos de Leite com Fruta", 14, "Chocolate base água", 17, "Vegano", 20, "Alcoólicos", 23, "Zero", 26, "Gelatos Proteicos", 29, 8), 7)) + (ROUND(P486,4) &lt; INDEX('Tabela de ingredientes'!$O$1:$V$30, SWITCH(B486, "Gelatos de Leite", 7, "Sorbets", 10, "Gelatos de Leite com Fruta", 13, "Chocolate base água", 16, "Vegano", 19, "Alcoólicos", 22, "Zero", 25, "Gelatos Proteicos", 28, 7), 8)) + (ROUND(P486,4) &gt; INDEX('Tabela de ingredientes'!$O$1:$V$30, SWITCH(B486, "Gelatos de Leite", 8, "Sorbets", 11, "Gelatos de Leite com Fruta", 14, "Chocolate base água", 17, "Vegano", 20, "Alcoólicos", 23, "Zero", 26, "Gelatos Proteicos", 29, 8), 8)) + IF(B486="Gelatos Proteicos", (ROUND(Q486,4)&lt;'Tabela de ingredientes'!$W$28)+(ROUND(Q486,4)&gt;'Tabela de ingredientes'!$W$29), 0) = 0, "Ok", "Revisar"))</f>
        <v/>
      </c>
    </row>
    <row r="487">
      <c r="A487" s="264"/>
      <c r="B487" s="264" t="s">
        <v>187</v>
      </c>
      <c r="C487" s="264" t="s">
        <v>187</v>
      </c>
      <c r="D487" s="264" t="s">
        <v>187</v>
      </c>
      <c r="E487" s="264" t="s">
        <v>187</v>
      </c>
      <c r="F487" s="264" t="s">
        <v>187</v>
      </c>
      <c r="G487" s="264" t="s">
        <v>187</v>
      </c>
      <c r="H487" s="264" t="s">
        <v>187</v>
      </c>
      <c r="I487" s="264" t="s">
        <v>187</v>
      </c>
      <c r="J487" s="264" t="s">
        <v>187</v>
      </c>
      <c r="K487" s="264" t="s">
        <v>187</v>
      </c>
      <c r="L487" s="264" t="s">
        <v>187</v>
      </c>
      <c r="M487" s="264" t="s">
        <v>187</v>
      </c>
      <c r="N487" s="264" t="s">
        <v>187</v>
      </c>
      <c r="O487" s="264" t="s">
        <v>187</v>
      </c>
      <c r="P487" s="264" t="s">
        <v>187</v>
      </c>
      <c r="Q487" s="264" t="s">
        <v>187</v>
      </c>
      <c r="R487" s="264" t="s">
        <v>187</v>
      </c>
      <c r="S487" s="97" t="str">
        <f t="array" ref="S487">IF(A487="","", IF( (ROUND(I487,4) &lt; INDEX('Tabela de ingredientes'!$O$1:$V$30, SWITCH(B487, "Gelatos de Leite", 7, "Sorbets", 10, "Gelatos de Leite com Fruta", 13, "Chocolate base água", 16, "Vegano", 19, "Alcoólicos", 22, "Zero", 25, "Gelatos Proteicos", 28, 7), 1)) + (ROUND(I487,4) &gt; INDEX('Tabela de ingredientes'!$O$1:$V$30, SWITCH(B487, "Gelatos de Leite", 8, "Sorbets", 11, "Gelatos de Leite com Fruta", 14, "Chocolate base água", 17, "Vegano", 20, "Alcoólicos", 23, "Zero", 26, "Gelatos Proteicos", 29, 8), 1)) + (ROUND(J487,4) &lt; INDEX('Tabela de ingredientes'!$O$1:$V$30, SWITCH(B487, "Gelatos de Leite", 7, "Sorbets", 10, "Gelatos de Leite com Fruta", 13, "Chocolate base água", 16, "Vegano", 19, "Alcoólicos", 22, "Zero", 25, "Gelatos Proteicos", 28, 7), 2)) + (ROUND(J487,4) &gt; INDEX('Tabela de ingredientes'!$O$1:$V$30, SWITCH(B487, "Gelatos de Leite", 8, "Sorbets", 11, "Gelatos de Leite com Fruta", 14, "Chocolate base água", 17, "Vegano", 20, "Alcoólicos", 23, "Zero", 26, "Gelatos Proteicos", 29, 8), 2)) + (ROUND(K487,4) &lt; INDEX('Tabela de ingredientes'!$O$1:$V$30, SWITCH(B487, "Gelatos de Leite", 7, "Sorbets", 10, "Gelatos de Leite com Fruta", 13, "Chocolate base água", 16, "Vegano", 19, "Alcoólicos", 22, "Zero", 25, "Gelatos Proteicos", 28, 7), 3)) + (ROUND(K487,4) &gt; INDEX('Tabela de ingredientes'!$O$1:$V$30, SWITCH(B487, "Gelatos de Leite", 8, "Sorbets", 11, "Gelatos de Leite com Fruta", 14, "Chocolate base água", 17, "Vegano", 20, "Alcoólicos", 23, "Zero", 26, "Gelatos Proteicos", 29, 8), 3)) + (ROUND(L487,4) &lt; INDEX('Tabela de ingredientes'!$O$1:$V$30, SWITCH(B487, "Gelatos de Leite", 7, "Sorbets", 10, "Gelatos de Leite com Fruta", 13, "Chocolate base água", 16, "Vegano", 19, "Alcoólicos", 22, "Zero", 25, "Gelatos Proteicos", 28, 7), 4)) + (ROUND(L487,4) &gt; INDEX('Tabela de ingredientes'!$O$1:$V$30, SWITCH(B487, "Gelatos de Leite", 8, "Sorbets", 11, "Gelatos de Leite com Fruta", 14, "Chocolate base água", 17, "Vegano", 20, "Alcoólicos", 23, "Zero", 26, "Gelatos Proteicos", 29, 8), 4)) + (ROUND(M487,4) &lt; INDEX('Tabela de ingredientes'!$O$1:$V$30, SWITCH(B487, "Gelatos de Leite", 7, "Sorbets", 10, "Gelatos de Leite com Fruta", 13, "Chocolate base água", 16, "Vegano", 19, "Alcoólicos", 22, "Zero", 25, "Gelatos Proteicos", 28, 7), 5)) + (ROUND(M487,4) &gt; INDEX('Tabela de ingredientes'!$O$1:$V$30, SWITCH(B487, "Gelatos de Leite", 8, "Sorbets", 11, "Gelatos de Leite com Fruta", 14, "Chocolate base água", 17, "Vegano", 20, "Alcoólicos", 23, "Zero", 26, "Gelatos Proteicos", 29, 8), 5)) + (ROUND(N487,4) &lt; INDEX('Tabela de ingredientes'!$O$1:$V$30, SWITCH(B487, "Gelatos de Leite", 7, "Sorbets", 10, "Gelatos de Leite com Fruta", 13, "Chocolate base água", 16, "Vegano", 19, "Alcoólicos", 22, "Zero", 25, "Gelatos Proteicos", 28, 7), 6)) + (ROUND(N487,4) &gt; INDEX('Tabela de ingredientes'!$O$1:$V$30, SWITCH(B487, "Gelatos de Leite", 8, "Sorbets", 11, "Gelatos de Leite com Fruta", 14, "Chocolate base água", 17, "Vegano", 20, "Alcoólicos", 23, "Zero", 26, "Gelatos Proteicos", 29, 8), 6)) + (ROUND(O487,4) &lt; INDEX('Tabela de ingredientes'!$O$1:$V$30, SWITCH(B487, "Gelatos de Leite", 7, "Sorbets", 10, "Gelatos de Leite com Fruta", 13, "Chocolate base água", 16, "Vegano", 19, "Alcoólicos", 22, "Zero", 25, "Gelatos Proteicos", 28, 7), 7)) + (ROUND(O487,4) &gt; INDEX('Tabela de ingredientes'!$O$1:$V$30, SWITCH(B487, "Gelatos de Leite", 8, "Sorbets", 11, "Gelatos de Leite com Fruta", 14, "Chocolate base água", 17, "Vegano", 20, "Alcoólicos", 23, "Zero", 26, "Gelatos Proteicos", 29, 8), 7)) + (ROUND(P487,4) &lt; INDEX('Tabela de ingredientes'!$O$1:$V$30, SWITCH(B487, "Gelatos de Leite", 7, "Sorbets", 10, "Gelatos de Leite com Fruta", 13, "Chocolate base água", 16, "Vegano", 19, "Alcoólicos", 22, "Zero", 25, "Gelatos Proteicos", 28, 7), 8)) + (ROUND(P487,4) &gt; INDEX('Tabela de ingredientes'!$O$1:$V$30, SWITCH(B487, "Gelatos de Leite", 8, "Sorbets", 11, "Gelatos de Leite com Fruta", 14, "Chocolate base água", 17, "Vegano", 20, "Alcoólicos", 23, "Zero", 26, "Gelatos Proteicos", 29, 8), 8)) + IF(B487="Gelatos Proteicos", (ROUND(Q487,4)&lt;'Tabela de ingredientes'!$W$28)+(ROUND(Q487,4)&gt;'Tabela de ingredientes'!$W$29), 0) = 0, "Ok", "Revisar"))</f>
        <v/>
      </c>
    </row>
    <row r="488">
      <c r="A488" s="264"/>
      <c r="B488" s="264" t="s">
        <v>187</v>
      </c>
      <c r="C488" s="264" t="s">
        <v>187</v>
      </c>
      <c r="D488" s="264" t="s">
        <v>187</v>
      </c>
      <c r="E488" s="264" t="s">
        <v>187</v>
      </c>
      <c r="F488" s="264" t="s">
        <v>187</v>
      </c>
      <c r="G488" s="264" t="s">
        <v>187</v>
      </c>
      <c r="H488" s="264" t="s">
        <v>187</v>
      </c>
      <c r="I488" s="264" t="s">
        <v>187</v>
      </c>
      <c r="J488" s="264" t="s">
        <v>187</v>
      </c>
      <c r="K488" s="264" t="s">
        <v>187</v>
      </c>
      <c r="L488" s="264" t="s">
        <v>187</v>
      </c>
      <c r="M488" s="264" t="s">
        <v>187</v>
      </c>
      <c r="N488" s="264" t="s">
        <v>187</v>
      </c>
      <c r="O488" s="264" t="s">
        <v>187</v>
      </c>
      <c r="P488" s="264" t="s">
        <v>187</v>
      </c>
      <c r="Q488" s="264" t="s">
        <v>187</v>
      </c>
      <c r="R488" s="264" t="s">
        <v>187</v>
      </c>
      <c r="S488" s="97" t="str">
        <f t="array" ref="S488">IF(A488="","", IF( (ROUND(I488,4) &lt; INDEX('Tabela de ingredientes'!$O$1:$V$30, SWITCH(B488, "Gelatos de Leite", 7, "Sorbets", 10, "Gelatos de Leite com Fruta", 13, "Chocolate base água", 16, "Vegano", 19, "Alcoólicos", 22, "Zero", 25, "Gelatos Proteicos", 28, 7), 1)) + (ROUND(I488,4) &gt; INDEX('Tabela de ingredientes'!$O$1:$V$30, SWITCH(B488, "Gelatos de Leite", 8, "Sorbets", 11, "Gelatos de Leite com Fruta", 14, "Chocolate base água", 17, "Vegano", 20, "Alcoólicos", 23, "Zero", 26, "Gelatos Proteicos", 29, 8), 1)) + (ROUND(J488,4) &lt; INDEX('Tabela de ingredientes'!$O$1:$V$30, SWITCH(B488, "Gelatos de Leite", 7, "Sorbets", 10, "Gelatos de Leite com Fruta", 13, "Chocolate base água", 16, "Vegano", 19, "Alcoólicos", 22, "Zero", 25, "Gelatos Proteicos", 28, 7), 2)) + (ROUND(J488,4) &gt; INDEX('Tabela de ingredientes'!$O$1:$V$30, SWITCH(B488, "Gelatos de Leite", 8, "Sorbets", 11, "Gelatos de Leite com Fruta", 14, "Chocolate base água", 17, "Vegano", 20, "Alcoólicos", 23, "Zero", 26, "Gelatos Proteicos", 29, 8), 2)) + (ROUND(K488,4) &lt; INDEX('Tabela de ingredientes'!$O$1:$V$30, SWITCH(B488, "Gelatos de Leite", 7, "Sorbets", 10, "Gelatos de Leite com Fruta", 13, "Chocolate base água", 16, "Vegano", 19, "Alcoólicos", 22, "Zero", 25, "Gelatos Proteicos", 28, 7), 3)) + (ROUND(K488,4) &gt; INDEX('Tabela de ingredientes'!$O$1:$V$30, SWITCH(B488, "Gelatos de Leite", 8, "Sorbets", 11, "Gelatos de Leite com Fruta", 14, "Chocolate base água", 17, "Vegano", 20, "Alcoólicos", 23, "Zero", 26, "Gelatos Proteicos", 29, 8), 3)) + (ROUND(L488,4) &lt; INDEX('Tabela de ingredientes'!$O$1:$V$30, SWITCH(B488, "Gelatos de Leite", 7, "Sorbets", 10, "Gelatos de Leite com Fruta", 13, "Chocolate base água", 16, "Vegano", 19, "Alcoólicos", 22, "Zero", 25, "Gelatos Proteicos", 28, 7), 4)) + (ROUND(L488,4) &gt; INDEX('Tabela de ingredientes'!$O$1:$V$30, SWITCH(B488, "Gelatos de Leite", 8, "Sorbets", 11, "Gelatos de Leite com Fruta", 14, "Chocolate base água", 17, "Vegano", 20, "Alcoólicos", 23, "Zero", 26, "Gelatos Proteicos", 29, 8), 4)) + (ROUND(M488,4) &lt; INDEX('Tabela de ingredientes'!$O$1:$V$30, SWITCH(B488, "Gelatos de Leite", 7, "Sorbets", 10, "Gelatos de Leite com Fruta", 13, "Chocolate base água", 16, "Vegano", 19, "Alcoólicos", 22, "Zero", 25, "Gelatos Proteicos", 28, 7), 5)) + (ROUND(M488,4) &gt; INDEX('Tabela de ingredientes'!$O$1:$V$30, SWITCH(B488, "Gelatos de Leite", 8, "Sorbets", 11, "Gelatos de Leite com Fruta", 14, "Chocolate base água", 17, "Vegano", 20, "Alcoólicos", 23, "Zero", 26, "Gelatos Proteicos", 29, 8), 5)) + (ROUND(N488,4) &lt; INDEX('Tabela de ingredientes'!$O$1:$V$30, SWITCH(B488, "Gelatos de Leite", 7, "Sorbets", 10, "Gelatos de Leite com Fruta", 13, "Chocolate base água", 16, "Vegano", 19, "Alcoólicos", 22, "Zero", 25, "Gelatos Proteicos", 28, 7), 6)) + (ROUND(N488,4) &gt; INDEX('Tabela de ingredientes'!$O$1:$V$30, SWITCH(B488, "Gelatos de Leite", 8, "Sorbets", 11, "Gelatos de Leite com Fruta", 14, "Chocolate base água", 17, "Vegano", 20, "Alcoólicos", 23, "Zero", 26, "Gelatos Proteicos", 29, 8), 6)) + (ROUND(O488,4) &lt; INDEX('Tabela de ingredientes'!$O$1:$V$30, SWITCH(B488, "Gelatos de Leite", 7, "Sorbets", 10, "Gelatos de Leite com Fruta", 13, "Chocolate base água", 16, "Vegano", 19, "Alcoólicos", 22, "Zero", 25, "Gelatos Proteicos", 28, 7), 7)) + (ROUND(O488,4) &gt; INDEX('Tabela de ingredientes'!$O$1:$V$30, SWITCH(B488, "Gelatos de Leite", 8, "Sorbets", 11, "Gelatos de Leite com Fruta", 14, "Chocolate base água", 17, "Vegano", 20, "Alcoólicos", 23, "Zero", 26, "Gelatos Proteicos", 29, 8), 7)) + (ROUND(P488,4) &lt; INDEX('Tabela de ingredientes'!$O$1:$V$30, SWITCH(B488, "Gelatos de Leite", 7, "Sorbets", 10, "Gelatos de Leite com Fruta", 13, "Chocolate base água", 16, "Vegano", 19, "Alcoólicos", 22, "Zero", 25, "Gelatos Proteicos", 28, 7), 8)) + (ROUND(P488,4) &gt; INDEX('Tabela de ingredientes'!$O$1:$V$30, SWITCH(B488, "Gelatos de Leite", 8, "Sorbets", 11, "Gelatos de Leite com Fruta", 14, "Chocolate base água", 17, "Vegano", 20, "Alcoólicos", 23, "Zero", 26, "Gelatos Proteicos", 29, 8), 8)) + IF(B488="Gelatos Proteicos", (ROUND(Q488,4)&lt;'Tabela de ingredientes'!$W$28)+(ROUND(Q488,4)&gt;'Tabela de ingredientes'!$W$29), 0) = 0, "Ok", "Revisar"))</f>
        <v/>
      </c>
    </row>
    <row r="489">
      <c r="A489" s="264"/>
      <c r="B489" s="264" t="s">
        <v>187</v>
      </c>
      <c r="C489" s="264" t="s">
        <v>187</v>
      </c>
      <c r="D489" s="264" t="s">
        <v>187</v>
      </c>
      <c r="E489" s="264" t="s">
        <v>187</v>
      </c>
      <c r="F489" s="264" t="s">
        <v>187</v>
      </c>
      <c r="G489" s="264" t="s">
        <v>187</v>
      </c>
      <c r="H489" s="264" t="s">
        <v>187</v>
      </c>
      <c r="I489" s="264" t="s">
        <v>187</v>
      </c>
      <c r="J489" s="264" t="s">
        <v>187</v>
      </c>
      <c r="K489" s="264" t="s">
        <v>187</v>
      </c>
      <c r="L489" s="264" t="s">
        <v>187</v>
      </c>
      <c r="M489" s="264" t="s">
        <v>187</v>
      </c>
      <c r="N489" s="264" t="s">
        <v>187</v>
      </c>
      <c r="O489" s="264" t="s">
        <v>187</v>
      </c>
      <c r="P489" s="264" t="s">
        <v>187</v>
      </c>
      <c r="Q489" s="264" t="s">
        <v>187</v>
      </c>
      <c r="R489" s="264" t="s">
        <v>187</v>
      </c>
      <c r="S489" s="97" t="str">
        <f t="array" ref="S489">IF(A489="","", IF( (ROUND(I489,4) &lt; INDEX('Tabela de ingredientes'!$O$1:$V$30, SWITCH(B489, "Gelatos de Leite", 7, "Sorbets", 10, "Gelatos de Leite com Fruta", 13, "Chocolate base água", 16, "Vegano", 19, "Alcoólicos", 22, "Zero", 25, "Gelatos Proteicos", 28, 7), 1)) + (ROUND(I489,4) &gt; INDEX('Tabela de ingredientes'!$O$1:$V$30, SWITCH(B489, "Gelatos de Leite", 8, "Sorbets", 11, "Gelatos de Leite com Fruta", 14, "Chocolate base água", 17, "Vegano", 20, "Alcoólicos", 23, "Zero", 26, "Gelatos Proteicos", 29, 8), 1)) + (ROUND(J489,4) &lt; INDEX('Tabela de ingredientes'!$O$1:$V$30, SWITCH(B489, "Gelatos de Leite", 7, "Sorbets", 10, "Gelatos de Leite com Fruta", 13, "Chocolate base água", 16, "Vegano", 19, "Alcoólicos", 22, "Zero", 25, "Gelatos Proteicos", 28, 7), 2)) + (ROUND(J489,4) &gt; INDEX('Tabela de ingredientes'!$O$1:$V$30, SWITCH(B489, "Gelatos de Leite", 8, "Sorbets", 11, "Gelatos de Leite com Fruta", 14, "Chocolate base água", 17, "Vegano", 20, "Alcoólicos", 23, "Zero", 26, "Gelatos Proteicos", 29, 8), 2)) + (ROUND(K489,4) &lt; INDEX('Tabela de ingredientes'!$O$1:$V$30, SWITCH(B489, "Gelatos de Leite", 7, "Sorbets", 10, "Gelatos de Leite com Fruta", 13, "Chocolate base água", 16, "Vegano", 19, "Alcoólicos", 22, "Zero", 25, "Gelatos Proteicos", 28, 7), 3)) + (ROUND(K489,4) &gt; INDEX('Tabela de ingredientes'!$O$1:$V$30, SWITCH(B489, "Gelatos de Leite", 8, "Sorbets", 11, "Gelatos de Leite com Fruta", 14, "Chocolate base água", 17, "Vegano", 20, "Alcoólicos", 23, "Zero", 26, "Gelatos Proteicos", 29, 8), 3)) + (ROUND(L489,4) &lt; INDEX('Tabela de ingredientes'!$O$1:$V$30, SWITCH(B489, "Gelatos de Leite", 7, "Sorbets", 10, "Gelatos de Leite com Fruta", 13, "Chocolate base água", 16, "Vegano", 19, "Alcoólicos", 22, "Zero", 25, "Gelatos Proteicos", 28, 7), 4)) + (ROUND(L489,4) &gt; INDEX('Tabela de ingredientes'!$O$1:$V$30, SWITCH(B489, "Gelatos de Leite", 8, "Sorbets", 11, "Gelatos de Leite com Fruta", 14, "Chocolate base água", 17, "Vegano", 20, "Alcoólicos", 23, "Zero", 26, "Gelatos Proteicos", 29, 8), 4)) + (ROUND(M489,4) &lt; INDEX('Tabela de ingredientes'!$O$1:$V$30, SWITCH(B489, "Gelatos de Leite", 7, "Sorbets", 10, "Gelatos de Leite com Fruta", 13, "Chocolate base água", 16, "Vegano", 19, "Alcoólicos", 22, "Zero", 25, "Gelatos Proteicos", 28, 7), 5)) + (ROUND(M489,4) &gt; INDEX('Tabela de ingredientes'!$O$1:$V$30, SWITCH(B489, "Gelatos de Leite", 8, "Sorbets", 11, "Gelatos de Leite com Fruta", 14, "Chocolate base água", 17, "Vegano", 20, "Alcoólicos", 23, "Zero", 26, "Gelatos Proteicos", 29, 8), 5)) + (ROUND(N489,4) &lt; INDEX('Tabela de ingredientes'!$O$1:$V$30, SWITCH(B489, "Gelatos de Leite", 7, "Sorbets", 10, "Gelatos de Leite com Fruta", 13, "Chocolate base água", 16, "Vegano", 19, "Alcoólicos", 22, "Zero", 25, "Gelatos Proteicos", 28, 7), 6)) + (ROUND(N489,4) &gt; INDEX('Tabela de ingredientes'!$O$1:$V$30, SWITCH(B489, "Gelatos de Leite", 8, "Sorbets", 11, "Gelatos de Leite com Fruta", 14, "Chocolate base água", 17, "Vegano", 20, "Alcoólicos", 23, "Zero", 26, "Gelatos Proteicos", 29, 8), 6)) + (ROUND(O489,4) &lt; INDEX('Tabela de ingredientes'!$O$1:$V$30, SWITCH(B489, "Gelatos de Leite", 7, "Sorbets", 10, "Gelatos de Leite com Fruta", 13, "Chocolate base água", 16, "Vegano", 19, "Alcoólicos", 22, "Zero", 25, "Gelatos Proteicos", 28, 7), 7)) + (ROUND(O489,4) &gt; INDEX('Tabela de ingredientes'!$O$1:$V$30, SWITCH(B489, "Gelatos de Leite", 8, "Sorbets", 11, "Gelatos de Leite com Fruta", 14, "Chocolate base água", 17, "Vegano", 20, "Alcoólicos", 23, "Zero", 26, "Gelatos Proteicos", 29, 8), 7)) + (ROUND(P489,4) &lt; INDEX('Tabela de ingredientes'!$O$1:$V$30, SWITCH(B489, "Gelatos de Leite", 7, "Sorbets", 10, "Gelatos de Leite com Fruta", 13, "Chocolate base água", 16, "Vegano", 19, "Alcoólicos", 22, "Zero", 25, "Gelatos Proteicos", 28, 7), 8)) + (ROUND(P489,4) &gt; INDEX('Tabela de ingredientes'!$O$1:$V$30, SWITCH(B489, "Gelatos de Leite", 8, "Sorbets", 11, "Gelatos de Leite com Fruta", 14, "Chocolate base água", 17, "Vegano", 20, "Alcoólicos", 23, "Zero", 26, "Gelatos Proteicos", 29, 8), 8)) + IF(B489="Gelatos Proteicos", (ROUND(Q489,4)&lt;'Tabela de ingredientes'!$W$28)+(ROUND(Q489,4)&gt;'Tabela de ingredientes'!$W$29), 0) = 0, "Ok", "Revisar"))</f>
        <v/>
      </c>
    </row>
    <row r="490">
      <c r="A490" s="264"/>
      <c r="B490" s="264" t="s">
        <v>187</v>
      </c>
      <c r="C490" s="264" t="s">
        <v>187</v>
      </c>
      <c r="D490" s="264" t="s">
        <v>187</v>
      </c>
      <c r="E490" s="264" t="s">
        <v>187</v>
      </c>
      <c r="F490" s="264" t="s">
        <v>187</v>
      </c>
      <c r="G490" s="264" t="s">
        <v>187</v>
      </c>
      <c r="H490" s="264" t="s">
        <v>187</v>
      </c>
      <c r="I490" s="264" t="s">
        <v>187</v>
      </c>
      <c r="J490" s="264" t="s">
        <v>187</v>
      </c>
      <c r="K490" s="264" t="s">
        <v>187</v>
      </c>
      <c r="L490" s="264" t="s">
        <v>187</v>
      </c>
      <c r="M490" s="264" t="s">
        <v>187</v>
      </c>
      <c r="N490" s="264" t="s">
        <v>187</v>
      </c>
      <c r="O490" s="264" t="s">
        <v>187</v>
      </c>
      <c r="P490" s="264" t="s">
        <v>187</v>
      </c>
      <c r="Q490" s="264" t="s">
        <v>187</v>
      </c>
      <c r="R490" s="264" t="s">
        <v>187</v>
      </c>
      <c r="S490" s="97" t="str">
        <f t="array" ref="S490">IF(A490="","", IF( (ROUND(I490,4) &lt; INDEX('Tabela de ingredientes'!$O$1:$V$30, SWITCH(B490, "Gelatos de Leite", 7, "Sorbets", 10, "Gelatos de Leite com Fruta", 13, "Chocolate base água", 16, "Vegano", 19, "Alcoólicos", 22, "Zero", 25, "Gelatos Proteicos", 28, 7), 1)) + (ROUND(I490,4) &gt; INDEX('Tabela de ingredientes'!$O$1:$V$30, SWITCH(B490, "Gelatos de Leite", 8, "Sorbets", 11, "Gelatos de Leite com Fruta", 14, "Chocolate base água", 17, "Vegano", 20, "Alcoólicos", 23, "Zero", 26, "Gelatos Proteicos", 29, 8), 1)) + (ROUND(J490,4) &lt; INDEX('Tabela de ingredientes'!$O$1:$V$30, SWITCH(B490, "Gelatos de Leite", 7, "Sorbets", 10, "Gelatos de Leite com Fruta", 13, "Chocolate base água", 16, "Vegano", 19, "Alcoólicos", 22, "Zero", 25, "Gelatos Proteicos", 28, 7), 2)) + (ROUND(J490,4) &gt; INDEX('Tabela de ingredientes'!$O$1:$V$30, SWITCH(B490, "Gelatos de Leite", 8, "Sorbets", 11, "Gelatos de Leite com Fruta", 14, "Chocolate base água", 17, "Vegano", 20, "Alcoólicos", 23, "Zero", 26, "Gelatos Proteicos", 29, 8), 2)) + (ROUND(K490,4) &lt; INDEX('Tabela de ingredientes'!$O$1:$V$30, SWITCH(B490, "Gelatos de Leite", 7, "Sorbets", 10, "Gelatos de Leite com Fruta", 13, "Chocolate base água", 16, "Vegano", 19, "Alcoólicos", 22, "Zero", 25, "Gelatos Proteicos", 28, 7), 3)) + (ROUND(K490,4) &gt; INDEX('Tabela de ingredientes'!$O$1:$V$30, SWITCH(B490, "Gelatos de Leite", 8, "Sorbets", 11, "Gelatos de Leite com Fruta", 14, "Chocolate base água", 17, "Vegano", 20, "Alcoólicos", 23, "Zero", 26, "Gelatos Proteicos", 29, 8), 3)) + (ROUND(L490,4) &lt; INDEX('Tabela de ingredientes'!$O$1:$V$30, SWITCH(B490, "Gelatos de Leite", 7, "Sorbets", 10, "Gelatos de Leite com Fruta", 13, "Chocolate base água", 16, "Vegano", 19, "Alcoólicos", 22, "Zero", 25, "Gelatos Proteicos", 28, 7), 4)) + (ROUND(L490,4) &gt; INDEX('Tabela de ingredientes'!$O$1:$V$30, SWITCH(B490, "Gelatos de Leite", 8, "Sorbets", 11, "Gelatos de Leite com Fruta", 14, "Chocolate base água", 17, "Vegano", 20, "Alcoólicos", 23, "Zero", 26, "Gelatos Proteicos", 29, 8), 4)) + (ROUND(M490,4) &lt; INDEX('Tabela de ingredientes'!$O$1:$V$30, SWITCH(B490, "Gelatos de Leite", 7, "Sorbets", 10, "Gelatos de Leite com Fruta", 13, "Chocolate base água", 16, "Vegano", 19, "Alcoólicos", 22, "Zero", 25, "Gelatos Proteicos", 28, 7), 5)) + (ROUND(M490,4) &gt; INDEX('Tabela de ingredientes'!$O$1:$V$30, SWITCH(B490, "Gelatos de Leite", 8, "Sorbets", 11, "Gelatos de Leite com Fruta", 14, "Chocolate base água", 17, "Vegano", 20, "Alcoólicos", 23, "Zero", 26, "Gelatos Proteicos", 29, 8), 5)) + (ROUND(N490,4) &lt; INDEX('Tabela de ingredientes'!$O$1:$V$30, SWITCH(B490, "Gelatos de Leite", 7, "Sorbets", 10, "Gelatos de Leite com Fruta", 13, "Chocolate base água", 16, "Vegano", 19, "Alcoólicos", 22, "Zero", 25, "Gelatos Proteicos", 28, 7), 6)) + (ROUND(N490,4) &gt; INDEX('Tabela de ingredientes'!$O$1:$V$30, SWITCH(B490, "Gelatos de Leite", 8, "Sorbets", 11, "Gelatos de Leite com Fruta", 14, "Chocolate base água", 17, "Vegano", 20, "Alcoólicos", 23, "Zero", 26, "Gelatos Proteicos", 29, 8), 6)) + (ROUND(O490,4) &lt; INDEX('Tabela de ingredientes'!$O$1:$V$30, SWITCH(B490, "Gelatos de Leite", 7, "Sorbets", 10, "Gelatos de Leite com Fruta", 13, "Chocolate base água", 16, "Vegano", 19, "Alcoólicos", 22, "Zero", 25, "Gelatos Proteicos", 28, 7), 7)) + (ROUND(O490,4) &gt; INDEX('Tabela de ingredientes'!$O$1:$V$30, SWITCH(B490, "Gelatos de Leite", 8, "Sorbets", 11, "Gelatos de Leite com Fruta", 14, "Chocolate base água", 17, "Vegano", 20, "Alcoólicos", 23, "Zero", 26, "Gelatos Proteicos", 29, 8), 7)) + (ROUND(P490,4) &lt; INDEX('Tabela de ingredientes'!$O$1:$V$30, SWITCH(B490, "Gelatos de Leite", 7, "Sorbets", 10, "Gelatos de Leite com Fruta", 13, "Chocolate base água", 16, "Vegano", 19, "Alcoólicos", 22, "Zero", 25, "Gelatos Proteicos", 28, 7), 8)) + (ROUND(P490,4) &gt; INDEX('Tabela de ingredientes'!$O$1:$V$30, SWITCH(B490, "Gelatos de Leite", 8, "Sorbets", 11, "Gelatos de Leite com Fruta", 14, "Chocolate base água", 17, "Vegano", 20, "Alcoólicos", 23, "Zero", 26, "Gelatos Proteicos", 29, 8), 8)) + IF(B490="Gelatos Proteicos", (ROUND(Q490,4)&lt;'Tabela de ingredientes'!$W$28)+(ROUND(Q490,4)&gt;'Tabela de ingredientes'!$W$29), 0) = 0, "Ok", "Revisar"))</f>
        <v/>
      </c>
    </row>
    <row r="491">
      <c r="A491" s="264"/>
      <c r="B491" s="264" t="s">
        <v>187</v>
      </c>
      <c r="C491" s="264" t="s">
        <v>187</v>
      </c>
      <c r="D491" s="264" t="s">
        <v>187</v>
      </c>
      <c r="E491" s="264" t="s">
        <v>187</v>
      </c>
      <c r="F491" s="264" t="s">
        <v>187</v>
      </c>
      <c r="G491" s="264" t="s">
        <v>187</v>
      </c>
      <c r="H491" s="264" t="s">
        <v>187</v>
      </c>
      <c r="I491" s="264" t="s">
        <v>187</v>
      </c>
      <c r="J491" s="264" t="s">
        <v>187</v>
      </c>
      <c r="K491" s="264" t="s">
        <v>187</v>
      </c>
      <c r="L491" s="264" t="s">
        <v>187</v>
      </c>
      <c r="M491" s="264" t="s">
        <v>187</v>
      </c>
      <c r="N491" s="264" t="s">
        <v>187</v>
      </c>
      <c r="O491" s="264" t="s">
        <v>187</v>
      </c>
      <c r="P491" s="264" t="s">
        <v>187</v>
      </c>
      <c r="Q491" s="264" t="s">
        <v>187</v>
      </c>
      <c r="R491" s="264" t="s">
        <v>187</v>
      </c>
      <c r="S491" s="97" t="str">
        <f t="array" ref="S491">IF(A491="","", IF( (ROUND(I491,4) &lt; INDEX('Tabela de ingredientes'!$O$1:$V$30, SWITCH(B491, "Gelatos de Leite", 7, "Sorbets", 10, "Gelatos de Leite com Fruta", 13, "Chocolate base água", 16, "Vegano", 19, "Alcoólicos", 22, "Zero", 25, "Gelatos Proteicos", 28, 7), 1)) + (ROUND(I491,4) &gt; INDEX('Tabela de ingredientes'!$O$1:$V$30, SWITCH(B491, "Gelatos de Leite", 8, "Sorbets", 11, "Gelatos de Leite com Fruta", 14, "Chocolate base água", 17, "Vegano", 20, "Alcoólicos", 23, "Zero", 26, "Gelatos Proteicos", 29, 8), 1)) + (ROUND(J491,4) &lt; INDEX('Tabela de ingredientes'!$O$1:$V$30, SWITCH(B491, "Gelatos de Leite", 7, "Sorbets", 10, "Gelatos de Leite com Fruta", 13, "Chocolate base água", 16, "Vegano", 19, "Alcoólicos", 22, "Zero", 25, "Gelatos Proteicos", 28, 7), 2)) + (ROUND(J491,4) &gt; INDEX('Tabela de ingredientes'!$O$1:$V$30, SWITCH(B491, "Gelatos de Leite", 8, "Sorbets", 11, "Gelatos de Leite com Fruta", 14, "Chocolate base água", 17, "Vegano", 20, "Alcoólicos", 23, "Zero", 26, "Gelatos Proteicos", 29, 8), 2)) + (ROUND(K491,4) &lt; INDEX('Tabela de ingredientes'!$O$1:$V$30, SWITCH(B491, "Gelatos de Leite", 7, "Sorbets", 10, "Gelatos de Leite com Fruta", 13, "Chocolate base água", 16, "Vegano", 19, "Alcoólicos", 22, "Zero", 25, "Gelatos Proteicos", 28, 7), 3)) + (ROUND(K491,4) &gt; INDEX('Tabela de ingredientes'!$O$1:$V$30, SWITCH(B491, "Gelatos de Leite", 8, "Sorbets", 11, "Gelatos de Leite com Fruta", 14, "Chocolate base água", 17, "Vegano", 20, "Alcoólicos", 23, "Zero", 26, "Gelatos Proteicos", 29, 8), 3)) + (ROUND(L491,4) &lt; INDEX('Tabela de ingredientes'!$O$1:$V$30, SWITCH(B491, "Gelatos de Leite", 7, "Sorbets", 10, "Gelatos de Leite com Fruta", 13, "Chocolate base água", 16, "Vegano", 19, "Alcoólicos", 22, "Zero", 25, "Gelatos Proteicos", 28, 7), 4)) + (ROUND(L491,4) &gt; INDEX('Tabela de ingredientes'!$O$1:$V$30, SWITCH(B491, "Gelatos de Leite", 8, "Sorbets", 11, "Gelatos de Leite com Fruta", 14, "Chocolate base água", 17, "Vegano", 20, "Alcoólicos", 23, "Zero", 26, "Gelatos Proteicos", 29, 8), 4)) + (ROUND(M491,4) &lt; INDEX('Tabela de ingredientes'!$O$1:$V$30, SWITCH(B491, "Gelatos de Leite", 7, "Sorbets", 10, "Gelatos de Leite com Fruta", 13, "Chocolate base água", 16, "Vegano", 19, "Alcoólicos", 22, "Zero", 25, "Gelatos Proteicos", 28, 7), 5)) + (ROUND(M491,4) &gt; INDEX('Tabela de ingredientes'!$O$1:$V$30, SWITCH(B491, "Gelatos de Leite", 8, "Sorbets", 11, "Gelatos de Leite com Fruta", 14, "Chocolate base água", 17, "Vegano", 20, "Alcoólicos", 23, "Zero", 26, "Gelatos Proteicos", 29, 8), 5)) + (ROUND(N491,4) &lt; INDEX('Tabela de ingredientes'!$O$1:$V$30, SWITCH(B491, "Gelatos de Leite", 7, "Sorbets", 10, "Gelatos de Leite com Fruta", 13, "Chocolate base água", 16, "Vegano", 19, "Alcoólicos", 22, "Zero", 25, "Gelatos Proteicos", 28, 7), 6)) + (ROUND(N491,4) &gt; INDEX('Tabela de ingredientes'!$O$1:$V$30, SWITCH(B491, "Gelatos de Leite", 8, "Sorbets", 11, "Gelatos de Leite com Fruta", 14, "Chocolate base água", 17, "Vegano", 20, "Alcoólicos", 23, "Zero", 26, "Gelatos Proteicos", 29, 8), 6)) + (ROUND(O491,4) &lt; INDEX('Tabela de ingredientes'!$O$1:$V$30, SWITCH(B491, "Gelatos de Leite", 7, "Sorbets", 10, "Gelatos de Leite com Fruta", 13, "Chocolate base água", 16, "Vegano", 19, "Alcoólicos", 22, "Zero", 25, "Gelatos Proteicos", 28, 7), 7)) + (ROUND(O491,4) &gt; INDEX('Tabela de ingredientes'!$O$1:$V$30, SWITCH(B491, "Gelatos de Leite", 8, "Sorbets", 11, "Gelatos de Leite com Fruta", 14, "Chocolate base água", 17, "Vegano", 20, "Alcoólicos", 23, "Zero", 26, "Gelatos Proteicos", 29, 8), 7)) + (ROUND(P491,4) &lt; INDEX('Tabela de ingredientes'!$O$1:$V$30, SWITCH(B491, "Gelatos de Leite", 7, "Sorbets", 10, "Gelatos de Leite com Fruta", 13, "Chocolate base água", 16, "Vegano", 19, "Alcoólicos", 22, "Zero", 25, "Gelatos Proteicos", 28, 7), 8)) + (ROUND(P491,4) &gt; INDEX('Tabela de ingredientes'!$O$1:$V$30, SWITCH(B491, "Gelatos de Leite", 8, "Sorbets", 11, "Gelatos de Leite com Fruta", 14, "Chocolate base água", 17, "Vegano", 20, "Alcoólicos", 23, "Zero", 26, "Gelatos Proteicos", 29, 8), 8)) + IF(B491="Gelatos Proteicos", (ROUND(Q491,4)&lt;'Tabela de ingredientes'!$W$28)+(ROUND(Q491,4)&gt;'Tabela de ingredientes'!$W$29), 0) = 0, "Ok", "Revisar"))</f>
        <v/>
      </c>
    </row>
    <row r="492">
      <c r="A492" s="264"/>
      <c r="B492" s="264" t="s">
        <v>187</v>
      </c>
      <c r="C492" s="264" t="s">
        <v>187</v>
      </c>
      <c r="D492" s="264" t="s">
        <v>187</v>
      </c>
      <c r="E492" s="264" t="s">
        <v>187</v>
      </c>
      <c r="F492" s="264" t="s">
        <v>187</v>
      </c>
      <c r="G492" s="264" t="s">
        <v>187</v>
      </c>
      <c r="H492" s="264" t="s">
        <v>187</v>
      </c>
      <c r="I492" s="264" t="s">
        <v>187</v>
      </c>
      <c r="J492" s="264" t="s">
        <v>187</v>
      </c>
      <c r="K492" s="264" t="s">
        <v>187</v>
      </c>
      <c r="L492" s="264" t="s">
        <v>187</v>
      </c>
      <c r="M492" s="264" t="s">
        <v>187</v>
      </c>
      <c r="N492" s="264" t="s">
        <v>187</v>
      </c>
      <c r="O492" s="264" t="s">
        <v>187</v>
      </c>
      <c r="P492" s="264" t="s">
        <v>187</v>
      </c>
      <c r="Q492" s="264" t="s">
        <v>187</v>
      </c>
      <c r="R492" s="264" t="s">
        <v>187</v>
      </c>
      <c r="S492" s="97" t="str">
        <f t="array" ref="S492">IF(A492="","", IF( (ROUND(I492,4) &lt; INDEX('Tabela de ingredientes'!$O$1:$V$30, SWITCH(B492, "Gelatos de Leite", 7, "Sorbets", 10, "Gelatos de Leite com Fruta", 13, "Chocolate base água", 16, "Vegano", 19, "Alcoólicos", 22, "Zero", 25, "Gelatos Proteicos", 28, 7), 1)) + (ROUND(I492,4) &gt; INDEX('Tabela de ingredientes'!$O$1:$V$30, SWITCH(B492, "Gelatos de Leite", 8, "Sorbets", 11, "Gelatos de Leite com Fruta", 14, "Chocolate base água", 17, "Vegano", 20, "Alcoólicos", 23, "Zero", 26, "Gelatos Proteicos", 29, 8), 1)) + (ROUND(J492,4) &lt; INDEX('Tabela de ingredientes'!$O$1:$V$30, SWITCH(B492, "Gelatos de Leite", 7, "Sorbets", 10, "Gelatos de Leite com Fruta", 13, "Chocolate base água", 16, "Vegano", 19, "Alcoólicos", 22, "Zero", 25, "Gelatos Proteicos", 28, 7), 2)) + (ROUND(J492,4) &gt; INDEX('Tabela de ingredientes'!$O$1:$V$30, SWITCH(B492, "Gelatos de Leite", 8, "Sorbets", 11, "Gelatos de Leite com Fruta", 14, "Chocolate base água", 17, "Vegano", 20, "Alcoólicos", 23, "Zero", 26, "Gelatos Proteicos", 29, 8), 2)) + (ROUND(K492,4) &lt; INDEX('Tabela de ingredientes'!$O$1:$V$30, SWITCH(B492, "Gelatos de Leite", 7, "Sorbets", 10, "Gelatos de Leite com Fruta", 13, "Chocolate base água", 16, "Vegano", 19, "Alcoólicos", 22, "Zero", 25, "Gelatos Proteicos", 28, 7), 3)) + (ROUND(K492,4) &gt; INDEX('Tabela de ingredientes'!$O$1:$V$30, SWITCH(B492, "Gelatos de Leite", 8, "Sorbets", 11, "Gelatos de Leite com Fruta", 14, "Chocolate base água", 17, "Vegano", 20, "Alcoólicos", 23, "Zero", 26, "Gelatos Proteicos", 29, 8), 3)) + (ROUND(L492,4) &lt; INDEX('Tabela de ingredientes'!$O$1:$V$30, SWITCH(B492, "Gelatos de Leite", 7, "Sorbets", 10, "Gelatos de Leite com Fruta", 13, "Chocolate base água", 16, "Vegano", 19, "Alcoólicos", 22, "Zero", 25, "Gelatos Proteicos", 28, 7), 4)) + (ROUND(L492,4) &gt; INDEX('Tabela de ingredientes'!$O$1:$V$30, SWITCH(B492, "Gelatos de Leite", 8, "Sorbets", 11, "Gelatos de Leite com Fruta", 14, "Chocolate base água", 17, "Vegano", 20, "Alcoólicos", 23, "Zero", 26, "Gelatos Proteicos", 29, 8), 4)) + (ROUND(M492,4) &lt; INDEX('Tabela de ingredientes'!$O$1:$V$30, SWITCH(B492, "Gelatos de Leite", 7, "Sorbets", 10, "Gelatos de Leite com Fruta", 13, "Chocolate base água", 16, "Vegano", 19, "Alcoólicos", 22, "Zero", 25, "Gelatos Proteicos", 28, 7), 5)) + (ROUND(M492,4) &gt; INDEX('Tabela de ingredientes'!$O$1:$V$30, SWITCH(B492, "Gelatos de Leite", 8, "Sorbets", 11, "Gelatos de Leite com Fruta", 14, "Chocolate base água", 17, "Vegano", 20, "Alcoólicos", 23, "Zero", 26, "Gelatos Proteicos", 29, 8), 5)) + (ROUND(N492,4) &lt; INDEX('Tabela de ingredientes'!$O$1:$V$30, SWITCH(B492, "Gelatos de Leite", 7, "Sorbets", 10, "Gelatos de Leite com Fruta", 13, "Chocolate base água", 16, "Vegano", 19, "Alcoólicos", 22, "Zero", 25, "Gelatos Proteicos", 28, 7), 6)) + (ROUND(N492,4) &gt; INDEX('Tabela de ingredientes'!$O$1:$V$30, SWITCH(B492, "Gelatos de Leite", 8, "Sorbets", 11, "Gelatos de Leite com Fruta", 14, "Chocolate base água", 17, "Vegano", 20, "Alcoólicos", 23, "Zero", 26, "Gelatos Proteicos", 29, 8), 6)) + (ROUND(O492,4) &lt; INDEX('Tabela de ingredientes'!$O$1:$V$30, SWITCH(B492, "Gelatos de Leite", 7, "Sorbets", 10, "Gelatos de Leite com Fruta", 13, "Chocolate base água", 16, "Vegano", 19, "Alcoólicos", 22, "Zero", 25, "Gelatos Proteicos", 28, 7), 7)) + (ROUND(O492,4) &gt; INDEX('Tabela de ingredientes'!$O$1:$V$30, SWITCH(B492, "Gelatos de Leite", 8, "Sorbets", 11, "Gelatos de Leite com Fruta", 14, "Chocolate base água", 17, "Vegano", 20, "Alcoólicos", 23, "Zero", 26, "Gelatos Proteicos", 29, 8), 7)) + (ROUND(P492,4) &lt; INDEX('Tabela de ingredientes'!$O$1:$V$30, SWITCH(B492, "Gelatos de Leite", 7, "Sorbets", 10, "Gelatos de Leite com Fruta", 13, "Chocolate base água", 16, "Vegano", 19, "Alcoólicos", 22, "Zero", 25, "Gelatos Proteicos", 28, 7), 8)) + (ROUND(P492,4) &gt; INDEX('Tabela de ingredientes'!$O$1:$V$30, SWITCH(B492, "Gelatos de Leite", 8, "Sorbets", 11, "Gelatos de Leite com Fruta", 14, "Chocolate base água", 17, "Vegano", 20, "Alcoólicos", 23, "Zero", 26, "Gelatos Proteicos", 29, 8), 8)) + IF(B492="Gelatos Proteicos", (ROUND(Q492,4)&lt;'Tabela de ingredientes'!$W$28)+(ROUND(Q492,4)&gt;'Tabela de ingredientes'!$W$29), 0) = 0, "Ok", "Revisar"))</f>
        <v/>
      </c>
    </row>
    <row r="493">
      <c r="A493" s="264"/>
      <c r="B493" s="264" t="s">
        <v>187</v>
      </c>
      <c r="C493" s="264" t="s">
        <v>187</v>
      </c>
      <c r="D493" s="264" t="s">
        <v>187</v>
      </c>
      <c r="E493" s="264" t="s">
        <v>187</v>
      </c>
      <c r="F493" s="264" t="s">
        <v>187</v>
      </c>
      <c r="G493" s="264" t="s">
        <v>187</v>
      </c>
      <c r="H493" s="264" t="s">
        <v>187</v>
      </c>
      <c r="I493" s="264" t="s">
        <v>187</v>
      </c>
      <c r="J493" s="264" t="s">
        <v>187</v>
      </c>
      <c r="K493" s="264" t="s">
        <v>187</v>
      </c>
      <c r="L493" s="264" t="s">
        <v>187</v>
      </c>
      <c r="M493" s="264" t="s">
        <v>187</v>
      </c>
      <c r="N493" s="264" t="s">
        <v>187</v>
      </c>
      <c r="O493" s="264" t="s">
        <v>187</v>
      </c>
      <c r="P493" s="264" t="s">
        <v>187</v>
      </c>
      <c r="Q493" s="264" t="s">
        <v>187</v>
      </c>
      <c r="R493" s="264" t="s">
        <v>187</v>
      </c>
      <c r="S493" s="97" t="str">
        <f t="array" ref="S493">IF(A493="","", IF( (ROUND(I493,4) &lt; INDEX('Tabela de ingredientes'!$O$1:$V$30, SWITCH(B493, "Gelatos de Leite", 7, "Sorbets", 10, "Gelatos de Leite com Fruta", 13, "Chocolate base água", 16, "Vegano", 19, "Alcoólicos", 22, "Zero", 25, "Gelatos Proteicos", 28, 7), 1)) + (ROUND(I493,4) &gt; INDEX('Tabela de ingredientes'!$O$1:$V$30, SWITCH(B493, "Gelatos de Leite", 8, "Sorbets", 11, "Gelatos de Leite com Fruta", 14, "Chocolate base água", 17, "Vegano", 20, "Alcoólicos", 23, "Zero", 26, "Gelatos Proteicos", 29, 8), 1)) + (ROUND(J493,4) &lt; INDEX('Tabela de ingredientes'!$O$1:$V$30, SWITCH(B493, "Gelatos de Leite", 7, "Sorbets", 10, "Gelatos de Leite com Fruta", 13, "Chocolate base água", 16, "Vegano", 19, "Alcoólicos", 22, "Zero", 25, "Gelatos Proteicos", 28, 7), 2)) + (ROUND(J493,4) &gt; INDEX('Tabela de ingredientes'!$O$1:$V$30, SWITCH(B493, "Gelatos de Leite", 8, "Sorbets", 11, "Gelatos de Leite com Fruta", 14, "Chocolate base água", 17, "Vegano", 20, "Alcoólicos", 23, "Zero", 26, "Gelatos Proteicos", 29, 8), 2)) + (ROUND(K493,4) &lt; INDEX('Tabela de ingredientes'!$O$1:$V$30, SWITCH(B493, "Gelatos de Leite", 7, "Sorbets", 10, "Gelatos de Leite com Fruta", 13, "Chocolate base água", 16, "Vegano", 19, "Alcoólicos", 22, "Zero", 25, "Gelatos Proteicos", 28, 7), 3)) + (ROUND(K493,4) &gt; INDEX('Tabela de ingredientes'!$O$1:$V$30, SWITCH(B493, "Gelatos de Leite", 8, "Sorbets", 11, "Gelatos de Leite com Fruta", 14, "Chocolate base água", 17, "Vegano", 20, "Alcoólicos", 23, "Zero", 26, "Gelatos Proteicos", 29, 8), 3)) + (ROUND(L493,4) &lt; INDEX('Tabela de ingredientes'!$O$1:$V$30, SWITCH(B493, "Gelatos de Leite", 7, "Sorbets", 10, "Gelatos de Leite com Fruta", 13, "Chocolate base água", 16, "Vegano", 19, "Alcoólicos", 22, "Zero", 25, "Gelatos Proteicos", 28, 7), 4)) + (ROUND(L493,4) &gt; INDEX('Tabela de ingredientes'!$O$1:$V$30, SWITCH(B493, "Gelatos de Leite", 8, "Sorbets", 11, "Gelatos de Leite com Fruta", 14, "Chocolate base água", 17, "Vegano", 20, "Alcoólicos", 23, "Zero", 26, "Gelatos Proteicos", 29, 8), 4)) + (ROUND(M493,4) &lt; INDEX('Tabela de ingredientes'!$O$1:$V$30, SWITCH(B493, "Gelatos de Leite", 7, "Sorbets", 10, "Gelatos de Leite com Fruta", 13, "Chocolate base água", 16, "Vegano", 19, "Alcoólicos", 22, "Zero", 25, "Gelatos Proteicos", 28, 7), 5)) + (ROUND(M493,4) &gt; INDEX('Tabela de ingredientes'!$O$1:$V$30, SWITCH(B493, "Gelatos de Leite", 8, "Sorbets", 11, "Gelatos de Leite com Fruta", 14, "Chocolate base água", 17, "Vegano", 20, "Alcoólicos", 23, "Zero", 26, "Gelatos Proteicos", 29, 8), 5)) + (ROUND(N493,4) &lt; INDEX('Tabela de ingredientes'!$O$1:$V$30, SWITCH(B493, "Gelatos de Leite", 7, "Sorbets", 10, "Gelatos de Leite com Fruta", 13, "Chocolate base água", 16, "Vegano", 19, "Alcoólicos", 22, "Zero", 25, "Gelatos Proteicos", 28, 7), 6)) + (ROUND(N493,4) &gt; INDEX('Tabela de ingredientes'!$O$1:$V$30, SWITCH(B493, "Gelatos de Leite", 8, "Sorbets", 11, "Gelatos de Leite com Fruta", 14, "Chocolate base água", 17, "Vegano", 20, "Alcoólicos", 23, "Zero", 26, "Gelatos Proteicos", 29, 8), 6)) + (ROUND(O493,4) &lt; INDEX('Tabela de ingredientes'!$O$1:$V$30, SWITCH(B493, "Gelatos de Leite", 7, "Sorbets", 10, "Gelatos de Leite com Fruta", 13, "Chocolate base água", 16, "Vegano", 19, "Alcoólicos", 22, "Zero", 25, "Gelatos Proteicos", 28, 7), 7)) + (ROUND(O493,4) &gt; INDEX('Tabela de ingredientes'!$O$1:$V$30, SWITCH(B493, "Gelatos de Leite", 8, "Sorbets", 11, "Gelatos de Leite com Fruta", 14, "Chocolate base água", 17, "Vegano", 20, "Alcoólicos", 23, "Zero", 26, "Gelatos Proteicos", 29, 8), 7)) + (ROUND(P493,4) &lt; INDEX('Tabela de ingredientes'!$O$1:$V$30, SWITCH(B493, "Gelatos de Leite", 7, "Sorbets", 10, "Gelatos de Leite com Fruta", 13, "Chocolate base água", 16, "Vegano", 19, "Alcoólicos", 22, "Zero", 25, "Gelatos Proteicos", 28, 7), 8)) + (ROUND(P493,4) &gt; INDEX('Tabela de ingredientes'!$O$1:$V$30, SWITCH(B493, "Gelatos de Leite", 8, "Sorbets", 11, "Gelatos de Leite com Fruta", 14, "Chocolate base água", 17, "Vegano", 20, "Alcoólicos", 23, "Zero", 26, "Gelatos Proteicos", 29, 8), 8)) + IF(B493="Gelatos Proteicos", (ROUND(Q493,4)&lt;'Tabela de ingredientes'!$W$28)+(ROUND(Q493,4)&gt;'Tabela de ingredientes'!$W$29), 0) = 0, "Ok", "Revisar"))</f>
        <v/>
      </c>
    </row>
    <row r="494">
      <c r="A494" s="264"/>
      <c r="B494" s="264" t="s">
        <v>187</v>
      </c>
      <c r="C494" s="264" t="s">
        <v>187</v>
      </c>
      <c r="D494" s="264" t="s">
        <v>187</v>
      </c>
      <c r="E494" s="264" t="s">
        <v>187</v>
      </c>
      <c r="F494" s="264" t="s">
        <v>187</v>
      </c>
      <c r="G494" s="264" t="s">
        <v>187</v>
      </c>
      <c r="H494" s="264" t="s">
        <v>187</v>
      </c>
      <c r="I494" s="264" t="s">
        <v>187</v>
      </c>
      <c r="J494" s="264" t="s">
        <v>187</v>
      </c>
      <c r="K494" s="264" t="s">
        <v>187</v>
      </c>
      <c r="L494" s="264" t="s">
        <v>187</v>
      </c>
      <c r="M494" s="264" t="s">
        <v>187</v>
      </c>
      <c r="N494" s="264" t="s">
        <v>187</v>
      </c>
      <c r="O494" s="264" t="s">
        <v>187</v>
      </c>
      <c r="P494" s="264" t="s">
        <v>187</v>
      </c>
      <c r="Q494" s="264" t="s">
        <v>187</v>
      </c>
      <c r="R494" s="264" t="s">
        <v>187</v>
      </c>
      <c r="S494" s="97" t="str">
        <f t="array" ref="S494">IF(A494="","", IF( (ROUND(I494,4) &lt; INDEX('Tabela de ingredientes'!$O$1:$V$30, SWITCH(B494, "Gelatos de Leite", 7, "Sorbets", 10, "Gelatos de Leite com Fruta", 13, "Chocolate base água", 16, "Vegano", 19, "Alcoólicos", 22, "Zero", 25, "Gelatos Proteicos", 28, 7), 1)) + (ROUND(I494,4) &gt; INDEX('Tabela de ingredientes'!$O$1:$V$30, SWITCH(B494, "Gelatos de Leite", 8, "Sorbets", 11, "Gelatos de Leite com Fruta", 14, "Chocolate base água", 17, "Vegano", 20, "Alcoólicos", 23, "Zero", 26, "Gelatos Proteicos", 29, 8), 1)) + (ROUND(J494,4) &lt; INDEX('Tabela de ingredientes'!$O$1:$V$30, SWITCH(B494, "Gelatos de Leite", 7, "Sorbets", 10, "Gelatos de Leite com Fruta", 13, "Chocolate base água", 16, "Vegano", 19, "Alcoólicos", 22, "Zero", 25, "Gelatos Proteicos", 28, 7), 2)) + (ROUND(J494,4) &gt; INDEX('Tabela de ingredientes'!$O$1:$V$30, SWITCH(B494, "Gelatos de Leite", 8, "Sorbets", 11, "Gelatos de Leite com Fruta", 14, "Chocolate base água", 17, "Vegano", 20, "Alcoólicos", 23, "Zero", 26, "Gelatos Proteicos", 29, 8), 2)) + (ROUND(K494,4) &lt; INDEX('Tabela de ingredientes'!$O$1:$V$30, SWITCH(B494, "Gelatos de Leite", 7, "Sorbets", 10, "Gelatos de Leite com Fruta", 13, "Chocolate base água", 16, "Vegano", 19, "Alcoólicos", 22, "Zero", 25, "Gelatos Proteicos", 28, 7), 3)) + (ROUND(K494,4) &gt; INDEX('Tabela de ingredientes'!$O$1:$V$30, SWITCH(B494, "Gelatos de Leite", 8, "Sorbets", 11, "Gelatos de Leite com Fruta", 14, "Chocolate base água", 17, "Vegano", 20, "Alcoólicos", 23, "Zero", 26, "Gelatos Proteicos", 29, 8), 3)) + (ROUND(L494,4) &lt; INDEX('Tabela de ingredientes'!$O$1:$V$30, SWITCH(B494, "Gelatos de Leite", 7, "Sorbets", 10, "Gelatos de Leite com Fruta", 13, "Chocolate base água", 16, "Vegano", 19, "Alcoólicos", 22, "Zero", 25, "Gelatos Proteicos", 28, 7), 4)) + (ROUND(L494,4) &gt; INDEX('Tabela de ingredientes'!$O$1:$V$30, SWITCH(B494, "Gelatos de Leite", 8, "Sorbets", 11, "Gelatos de Leite com Fruta", 14, "Chocolate base água", 17, "Vegano", 20, "Alcoólicos", 23, "Zero", 26, "Gelatos Proteicos", 29, 8), 4)) + (ROUND(M494,4) &lt; INDEX('Tabela de ingredientes'!$O$1:$V$30, SWITCH(B494, "Gelatos de Leite", 7, "Sorbets", 10, "Gelatos de Leite com Fruta", 13, "Chocolate base água", 16, "Vegano", 19, "Alcoólicos", 22, "Zero", 25, "Gelatos Proteicos", 28, 7), 5)) + (ROUND(M494,4) &gt; INDEX('Tabela de ingredientes'!$O$1:$V$30, SWITCH(B494, "Gelatos de Leite", 8, "Sorbets", 11, "Gelatos de Leite com Fruta", 14, "Chocolate base água", 17, "Vegano", 20, "Alcoólicos", 23, "Zero", 26, "Gelatos Proteicos", 29, 8), 5)) + (ROUND(N494,4) &lt; INDEX('Tabela de ingredientes'!$O$1:$V$30, SWITCH(B494, "Gelatos de Leite", 7, "Sorbets", 10, "Gelatos de Leite com Fruta", 13, "Chocolate base água", 16, "Vegano", 19, "Alcoólicos", 22, "Zero", 25, "Gelatos Proteicos", 28, 7), 6)) + (ROUND(N494,4) &gt; INDEX('Tabela de ingredientes'!$O$1:$V$30, SWITCH(B494, "Gelatos de Leite", 8, "Sorbets", 11, "Gelatos de Leite com Fruta", 14, "Chocolate base água", 17, "Vegano", 20, "Alcoólicos", 23, "Zero", 26, "Gelatos Proteicos", 29, 8), 6)) + (ROUND(O494,4) &lt; INDEX('Tabela de ingredientes'!$O$1:$V$30, SWITCH(B494, "Gelatos de Leite", 7, "Sorbets", 10, "Gelatos de Leite com Fruta", 13, "Chocolate base água", 16, "Vegano", 19, "Alcoólicos", 22, "Zero", 25, "Gelatos Proteicos", 28, 7), 7)) + (ROUND(O494,4) &gt; INDEX('Tabela de ingredientes'!$O$1:$V$30, SWITCH(B494, "Gelatos de Leite", 8, "Sorbets", 11, "Gelatos de Leite com Fruta", 14, "Chocolate base água", 17, "Vegano", 20, "Alcoólicos", 23, "Zero", 26, "Gelatos Proteicos", 29, 8), 7)) + (ROUND(P494,4) &lt; INDEX('Tabela de ingredientes'!$O$1:$V$30, SWITCH(B494, "Gelatos de Leite", 7, "Sorbets", 10, "Gelatos de Leite com Fruta", 13, "Chocolate base água", 16, "Vegano", 19, "Alcoólicos", 22, "Zero", 25, "Gelatos Proteicos", 28, 7), 8)) + (ROUND(P494,4) &gt; INDEX('Tabela de ingredientes'!$O$1:$V$30, SWITCH(B494, "Gelatos de Leite", 8, "Sorbets", 11, "Gelatos de Leite com Fruta", 14, "Chocolate base água", 17, "Vegano", 20, "Alcoólicos", 23, "Zero", 26, "Gelatos Proteicos", 29, 8), 8)) + IF(B494="Gelatos Proteicos", (ROUND(Q494,4)&lt;'Tabela de ingredientes'!$W$28)+(ROUND(Q494,4)&gt;'Tabela de ingredientes'!$W$29), 0) = 0, "Ok", "Revisar"))</f>
        <v/>
      </c>
    </row>
    <row r="495">
      <c r="A495" s="264"/>
      <c r="B495" s="264" t="s">
        <v>187</v>
      </c>
      <c r="C495" s="264" t="s">
        <v>187</v>
      </c>
      <c r="D495" s="264" t="s">
        <v>187</v>
      </c>
      <c r="E495" s="264" t="s">
        <v>187</v>
      </c>
      <c r="F495" s="264" t="s">
        <v>187</v>
      </c>
      <c r="G495" s="264" t="s">
        <v>187</v>
      </c>
      <c r="H495" s="264" t="s">
        <v>187</v>
      </c>
      <c r="I495" s="264" t="s">
        <v>187</v>
      </c>
      <c r="J495" s="264" t="s">
        <v>187</v>
      </c>
      <c r="K495" s="264" t="s">
        <v>187</v>
      </c>
      <c r="L495" s="264" t="s">
        <v>187</v>
      </c>
      <c r="M495" s="264" t="s">
        <v>187</v>
      </c>
      <c r="N495" s="264" t="s">
        <v>187</v>
      </c>
      <c r="O495" s="264" t="s">
        <v>187</v>
      </c>
      <c r="P495" s="264" t="s">
        <v>187</v>
      </c>
      <c r="Q495" s="264" t="s">
        <v>187</v>
      </c>
      <c r="R495" s="264" t="s">
        <v>187</v>
      </c>
      <c r="S495" s="97" t="str">
        <f t="array" ref="S495">IF(A495="","", IF( (ROUND(I495,4) &lt; INDEX('Tabela de ingredientes'!$O$1:$V$30, SWITCH(B495, "Gelatos de Leite", 7, "Sorbets", 10, "Gelatos de Leite com Fruta", 13, "Chocolate base água", 16, "Vegano", 19, "Alcoólicos", 22, "Zero", 25, "Gelatos Proteicos", 28, 7), 1)) + (ROUND(I495,4) &gt; INDEX('Tabela de ingredientes'!$O$1:$V$30, SWITCH(B495, "Gelatos de Leite", 8, "Sorbets", 11, "Gelatos de Leite com Fruta", 14, "Chocolate base água", 17, "Vegano", 20, "Alcoólicos", 23, "Zero", 26, "Gelatos Proteicos", 29, 8), 1)) + (ROUND(J495,4) &lt; INDEX('Tabela de ingredientes'!$O$1:$V$30, SWITCH(B495, "Gelatos de Leite", 7, "Sorbets", 10, "Gelatos de Leite com Fruta", 13, "Chocolate base água", 16, "Vegano", 19, "Alcoólicos", 22, "Zero", 25, "Gelatos Proteicos", 28, 7), 2)) + (ROUND(J495,4) &gt; INDEX('Tabela de ingredientes'!$O$1:$V$30, SWITCH(B495, "Gelatos de Leite", 8, "Sorbets", 11, "Gelatos de Leite com Fruta", 14, "Chocolate base água", 17, "Vegano", 20, "Alcoólicos", 23, "Zero", 26, "Gelatos Proteicos", 29, 8), 2)) + (ROUND(K495,4) &lt; INDEX('Tabela de ingredientes'!$O$1:$V$30, SWITCH(B495, "Gelatos de Leite", 7, "Sorbets", 10, "Gelatos de Leite com Fruta", 13, "Chocolate base água", 16, "Vegano", 19, "Alcoólicos", 22, "Zero", 25, "Gelatos Proteicos", 28, 7), 3)) + (ROUND(K495,4) &gt; INDEX('Tabela de ingredientes'!$O$1:$V$30, SWITCH(B495, "Gelatos de Leite", 8, "Sorbets", 11, "Gelatos de Leite com Fruta", 14, "Chocolate base água", 17, "Vegano", 20, "Alcoólicos", 23, "Zero", 26, "Gelatos Proteicos", 29, 8), 3)) + (ROUND(L495,4) &lt; INDEX('Tabela de ingredientes'!$O$1:$V$30, SWITCH(B495, "Gelatos de Leite", 7, "Sorbets", 10, "Gelatos de Leite com Fruta", 13, "Chocolate base água", 16, "Vegano", 19, "Alcoólicos", 22, "Zero", 25, "Gelatos Proteicos", 28, 7), 4)) + (ROUND(L495,4) &gt; INDEX('Tabela de ingredientes'!$O$1:$V$30, SWITCH(B495, "Gelatos de Leite", 8, "Sorbets", 11, "Gelatos de Leite com Fruta", 14, "Chocolate base água", 17, "Vegano", 20, "Alcoólicos", 23, "Zero", 26, "Gelatos Proteicos", 29, 8), 4)) + (ROUND(M495,4) &lt; INDEX('Tabela de ingredientes'!$O$1:$V$30, SWITCH(B495, "Gelatos de Leite", 7, "Sorbets", 10, "Gelatos de Leite com Fruta", 13, "Chocolate base água", 16, "Vegano", 19, "Alcoólicos", 22, "Zero", 25, "Gelatos Proteicos", 28, 7), 5)) + (ROUND(M495,4) &gt; INDEX('Tabela de ingredientes'!$O$1:$V$30, SWITCH(B495, "Gelatos de Leite", 8, "Sorbets", 11, "Gelatos de Leite com Fruta", 14, "Chocolate base água", 17, "Vegano", 20, "Alcoólicos", 23, "Zero", 26, "Gelatos Proteicos", 29, 8), 5)) + (ROUND(N495,4) &lt; INDEX('Tabela de ingredientes'!$O$1:$V$30, SWITCH(B495, "Gelatos de Leite", 7, "Sorbets", 10, "Gelatos de Leite com Fruta", 13, "Chocolate base água", 16, "Vegano", 19, "Alcoólicos", 22, "Zero", 25, "Gelatos Proteicos", 28, 7), 6)) + (ROUND(N495,4) &gt; INDEX('Tabela de ingredientes'!$O$1:$V$30, SWITCH(B495, "Gelatos de Leite", 8, "Sorbets", 11, "Gelatos de Leite com Fruta", 14, "Chocolate base água", 17, "Vegano", 20, "Alcoólicos", 23, "Zero", 26, "Gelatos Proteicos", 29, 8), 6)) + (ROUND(O495,4) &lt; INDEX('Tabela de ingredientes'!$O$1:$V$30, SWITCH(B495, "Gelatos de Leite", 7, "Sorbets", 10, "Gelatos de Leite com Fruta", 13, "Chocolate base água", 16, "Vegano", 19, "Alcoólicos", 22, "Zero", 25, "Gelatos Proteicos", 28, 7), 7)) + (ROUND(O495,4) &gt; INDEX('Tabela de ingredientes'!$O$1:$V$30, SWITCH(B495, "Gelatos de Leite", 8, "Sorbets", 11, "Gelatos de Leite com Fruta", 14, "Chocolate base água", 17, "Vegano", 20, "Alcoólicos", 23, "Zero", 26, "Gelatos Proteicos", 29, 8), 7)) + (ROUND(P495,4) &lt; INDEX('Tabela de ingredientes'!$O$1:$V$30, SWITCH(B495, "Gelatos de Leite", 7, "Sorbets", 10, "Gelatos de Leite com Fruta", 13, "Chocolate base água", 16, "Vegano", 19, "Alcoólicos", 22, "Zero", 25, "Gelatos Proteicos", 28, 7), 8)) + (ROUND(P495,4) &gt; INDEX('Tabela de ingredientes'!$O$1:$V$30, SWITCH(B495, "Gelatos de Leite", 8, "Sorbets", 11, "Gelatos de Leite com Fruta", 14, "Chocolate base água", 17, "Vegano", 20, "Alcoólicos", 23, "Zero", 26, "Gelatos Proteicos", 29, 8), 8)) + IF(B495="Gelatos Proteicos", (ROUND(Q495,4)&lt;'Tabela de ingredientes'!$W$28)+(ROUND(Q495,4)&gt;'Tabela de ingredientes'!$W$29), 0) = 0, "Ok", "Revisar"))</f>
        <v/>
      </c>
    </row>
    <row r="496">
      <c r="A496" s="264"/>
      <c r="B496" s="264" t="s">
        <v>187</v>
      </c>
      <c r="C496" s="264" t="s">
        <v>187</v>
      </c>
      <c r="D496" s="264" t="s">
        <v>187</v>
      </c>
      <c r="E496" s="264" t="s">
        <v>187</v>
      </c>
      <c r="F496" s="264" t="s">
        <v>187</v>
      </c>
      <c r="G496" s="264" t="s">
        <v>187</v>
      </c>
      <c r="H496" s="264" t="s">
        <v>187</v>
      </c>
      <c r="I496" s="264" t="s">
        <v>187</v>
      </c>
      <c r="J496" s="264" t="s">
        <v>187</v>
      </c>
      <c r="K496" s="264" t="s">
        <v>187</v>
      </c>
      <c r="L496" s="264" t="s">
        <v>187</v>
      </c>
      <c r="M496" s="264" t="s">
        <v>187</v>
      </c>
      <c r="N496" s="264" t="s">
        <v>187</v>
      </c>
      <c r="O496" s="264" t="s">
        <v>187</v>
      </c>
      <c r="P496" s="264" t="s">
        <v>187</v>
      </c>
      <c r="Q496" s="264" t="s">
        <v>187</v>
      </c>
      <c r="R496" s="264" t="s">
        <v>187</v>
      </c>
      <c r="S496" s="97" t="str">
        <f t="array" ref="S496">IF(A496="","", IF( (ROUND(I496,4) &lt; INDEX('Tabela de ingredientes'!$O$1:$V$30, SWITCH(B496, "Gelatos de Leite", 7, "Sorbets", 10, "Gelatos de Leite com Fruta", 13, "Chocolate base água", 16, "Vegano", 19, "Alcoólicos", 22, "Zero", 25, "Gelatos Proteicos", 28, 7), 1)) + (ROUND(I496,4) &gt; INDEX('Tabela de ingredientes'!$O$1:$V$30, SWITCH(B496, "Gelatos de Leite", 8, "Sorbets", 11, "Gelatos de Leite com Fruta", 14, "Chocolate base água", 17, "Vegano", 20, "Alcoólicos", 23, "Zero", 26, "Gelatos Proteicos", 29, 8), 1)) + (ROUND(J496,4) &lt; INDEX('Tabela de ingredientes'!$O$1:$V$30, SWITCH(B496, "Gelatos de Leite", 7, "Sorbets", 10, "Gelatos de Leite com Fruta", 13, "Chocolate base água", 16, "Vegano", 19, "Alcoólicos", 22, "Zero", 25, "Gelatos Proteicos", 28, 7), 2)) + (ROUND(J496,4) &gt; INDEX('Tabela de ingredientes'!$O$1:$V$30, SWITCH(B496, "Gelatos de Leite", 8, "Sorbets", 11, "Gelatos de Leite com Fruta", 14, "Chocolate base água", 17, "Vegano", 20, "Alcoólicos", 23, "Zero", 26, "Gelatos Proteicos", 29, 8), 2)) + (ROUND(K496,4) &lt; INDEX('Tabela de ingredientes'!$O$1:$V$30, SWITCH(B496, "Gelatos de Leite", 7, "Sorbets", 10, "Gelatos de Leite com Fruta", 13, "Chocolate base água", 16, "Vegano", 19, "Alcoólicos", 22, "Zero", 25, "Gelatos Proteicos", 28, 7), 3)) + (ROUND(K496,4) &gt; INDEX('Tabela de ingredientes'!$O$1:$V$30, SWITCH(B496, "Gelatos de Leite", 8, "Sorbets", 11, "Gelatos de Leite com Fruta", 14, "Chocolate base água", 17, "Vegano", 20, "Alcoólicos", 23, "Zero", 26, "Gelatos Proteicos", 29, 8), 3)) + (ROUND(L496,4) &lt; INDEX('Tabela de ingredientes'!$O$1:$V$30, SWITCH(B496, "Gelatos de Leite", 7, "Sorbets", 10, "Gelatos de Leite com Fruta", 13, "Chocolate base água", 16, "Vegano", 19, "Alcoólicos", 22, "Zero", 25, "Gelatos Proteicos", 28, 7), 4)) + (ROUND(L496,4) &gt; INDEX('Tabela de ingredientes'!$O$1:$V$30, SWITCH(B496, "Gelatos de Leite", 8, "Sorbets", 11, "Gelatos de Leite com Fruta", 14, "Chocolate base água", 17, "Vegano", 20, "Alcoólicos", 23, "Zero", 26, "Gelatos Proteicos", 29, 8), 4)) + (ROUND(M496,4) &lt; INDEX('Tabela de ingredientes'!$O$1:$V$30, SWITCH(B496, "Gelatos de Leite", 7, "Sorbets", 10, "Gelatos de Leite com Fruta", 13, "Chocolate base água", 16, "Vegano", 19, "Alcoólicos", 22, "Zero", 25, "Gelatos Proteicos", 28, 7), 5)) + (ROUND(M496,4) &gt; INDEX('Tabela de ingredientes'!$O$1:$V$30, SWITCH(B496, "Gelatos de Leite", 8, "Sorbets", 11, "Gelatos de Leite com Fruta", 14, "Chocolate base água", 17, "Vegano", 20, "Alcoólicos", 23, "Zero", 26, "Gelatos Proteicos", 29, 8), 5)) + (ROUND(N496,4) &lt; INDEX('Tabela de ingredientes'!$O$1:$V$30, SWITCH(B496, "Gelatos de Leite", 7, "Sorbets", 10, "Gelatos de Leite com Fruta", 13, "Chocolate base água", 16, "Vegano", 19, "Alcoólicos", 22, "Zero", 25, "Gelatos Proteicos", 28, 7), 6)) + (ROUND(N496,4) &gt; INDEX('Tabela de ingredientes'!$O$1:$V$30, SWITCH(B496, "Gelatos de Leite", 8, "Sorbets", 11, "Gelatos de Leite com Fruta", 14, "Chocolate base água", 17, "Vegano", 20, "Alcoólicos", 23, "Zero", 26, "Gelatos Proteicos", 29, 8), 6)) + (ROUND(O496,4) &lt; INDEX('Tabela de ingredientes'!$O$1:$V$30, SWITCH(B496, "Gelatos de Leite", 7, "Sorbets", 10, "Gelatos de Leite com Fruta", 13, "Chocolate base água", 16, "Vegano", 19, "Alcoólicos", 22, "Zero", 25, "Gelatos Proteicos", 28, 7), 7)) + (ROUND(O496,4) &gt; INDEX('Tabela de ingredientes'!$O$1:$V$30, SWITCH(B496, "Gelatos de Leite", 8, "Sorbets", 11, "Gelatos de Leite com Fruta", 14, "Chocolate base água", 17, "Vegano", 20, "Alcoólicos", 23, "Zero", 26, "Gelatos Proteicos", 29, 8), 7)) + (ROUND(P496,4) &lt; INDEX('Tabela de ingredientes'!$O$1:$V$30, SWITCH(B496, "Gelatos de Leite", 7, "Sorbets", 10, "Gelatos de Leite com Fruta", 13, "Chocolate base água", 16, "Vegano", 19, "Alcoólicos", 22, "Zero", 25, "Gelatos Proteicos", 28, 7), 8)) + (ROUND(P496,4) &gt; INDEX('Tabela de ingredientes'!$O$1:$V$30, SWITCH(B496, "Gelatos de Leite", 8, "Sorbets", 11, "Gelatos de Leite com Fruta", 14, "Chocolate base água", 17, "Vegano", 20, "Alcoólicos", 23, "Zero", 26, "Gelatos Proteicos", 29, 8), 8)) + IF(B496="Gelatos Proteicos", (ROUND(Q496,4)&lt;'Tabela de ingredientes'!$W$28)+(ROUND(Q496,4)&gt;'Tabela de ingredientes'!$W$29), 0) = 0, "Ok", "Revisar"))</f>
        <v/>
      </c>
    </row>
    <row r="497">
      <c r="A497" s="264"/>
      <c r="B497" s="264" t="s">
        <v>187</v>
      </c>
      <c r="C497" s="264" t="s">
        <v>187</v>
      </c>
      <c r="D497" s="264" t="s">
        <v>187</v>
      </c>
      <c r="E497" s="264" t="s">
        <v>187</v>
      </c>
      <c r="F497" s="264" t="s">
        <v>187</v>
      </c>
      <c r="G497" s="264" t="s">
        <v>187</v>
      </c>
      <c r="H497" s="264" t="s">
        <v>187</v>
      </c>
      <c r="I497" s="264" t="s">
        <v>187</v>
      </c>
      <c r="J497" s="264" t="s">
        <v>187</v>
      </c>
      <c r="K497" s="264" t="s">
        <v>187</v>
      </c>
      <c r="L497" s="264" t="s">
        <v>187</v>
      </c>
      <c r="M497" s="264" t="s">
        <v>187</v>
      </c>
      <c r="N497" s="264" t="s">
        <v>187</v>
      </c>
      <c r="O497" s="264" t="s">
        <v>187</v>
      </c>
      <c r="P497" s="264" t="s">
        <v>187</v>
      </c>
      <c r="Q497" s="264" t="s">
        <v>187</v>
      </c>
      <c r="R497" s="264" t="s">
        <v>187</v>
      </c>
      <c r="S497" s="97" t="str">
        <f t="array" ref="S497">IF(A497="","", IF( (ROUND(I497,4) &lt; INDEX('Tabela de ingredientes'!$O$1:$V$30, SWITCH(B497, "Gelatos de Leite", 7, "Sorbets", 10, "Gelatos de Leite com Fruta", 13, "Chocolate base água", 16, "Vegano", 19, "Alcoólicos", 22, "Zero", 25, "Gelatos Proteicos", 28, 7), 1)) + (ROUND(I497,4) &gt; INDEX('Tabela de ingredientes'!$O$1:$V$30, SWITCH(B497, "Gelatos de Leite", 8, "Sorbets", 11, "Gelatos de Leite com Fruta", 14, "Chocolate base água", 17, "Vegano", 20, "Alcoólicos", 23, "Zero", 26, "Gelatos Proteicos", 29, 8), 1)) + (ROUND(J497,4) &lt; INDEX('Tabela de ingredientes'!$O$1:$V$30, SWITCH(B497, "Gelatos de Leite", 7, "Sorbets", 10, "Gelatos de Leite com Fruta", 13, "Chocolate base água", 16, "Vegano", 19, "Alcoólicos", 22, "Zero", 25, "Gelatos Proteicos", 28, 7), 2)) + (ROUND(J497,4) &gt; INDEX('Tabela de ingredientes'!$O$1:$V$30, SWITCH(B497, "Gelatos de Leite", 8, "Sorbets", 11, "Gelatos de Leite com Fruta", 14, "Chocolate base água", 17, "Vegano", 20, "Alcoólicos", 23, "Zero", 26, "Gelatos Proteicos", 29, 8), 2)) + (ROUND(K497,4) &lt; INDEX('Tabela de ingredientes'!$O$1:$V$30, SWITCH(B497, "Gelatos de Leite", 7, "Sorbets", 10, "Gelatos de Leite com Fruta", 13, "Chocolate base água", 16, "Vegano", 19, "Alcoólicos", 22, "Zero", 25, "Gelatos Proteicos", 28, 7), 3)) + (ROUND(K497,4) &gt; INDEX('Tabela de ingredientes'!$O$1:$V$30, SWITCH(B497, "Gelatos de Leite", 8, "Sorbets", 11, "Gelatos de Leite com Fruta", 14, "Chocolate base água", 17, "Vegano", 20, "Alcoólicos", 23, "Zero", 26, "Gelatos Proteicos", 29, 8), 3)) + (ROUND(L497,4) &lt; INDEX('Tabela de ingredientes'!$O$1:$V$30, SWITCH(B497, "Gelatos de Leite", 7, "Sorbets", 10, "Gelatos de Leite com Fruta", 13, "Chocolate base água", 16, "Vegano", 19, "Alcoólicos", 22, "Zero", 25, "Gelatos Proteicos", 28, 7), 4)) + (ROUND(L497,4) &gt; INDEX('Tabela de ingredientes'!$O$1:$V$30, SWITCH(B497, "Gelatos de Leite", 8, "Sorbets", 11, "Gelatos de Leite com Fruta", 14, "Chocolate base água", 17, "Vegano", 20, "Alcoólicos", 23, "Zero", 26, "Gelatos Proteicos", 29, 8), 4)) + (ROUND(M497,4) &lt; INDEX('Tabela de ingredientes'!$O$1:$V$30, SWITCH(B497, "Gelatos de Leite", 7, "Sorbets", 10, "Gelatos de Leite com Fruta", 13, "Chocolate base água", 16, "Vegano", 19, "Alcoólicos", 22, "Zero", 25, "Gelatos Proteicos", 28, 7), 5)) + (ROUND(M497,4) &gt; INDEX('Tabela de ingredientes'!$O$1:$V$30, SWITCH(B497, "Gelatos de Leite", 8, "Sorbets", 11, "Gelatos de Leite com Fruta", 14, "Chocolate base água", 17, "Vegano", 20, "Alcoólicos", 23, "Zero", 26, "Gelatos Proteicos", 29, 8), 5)) + (ROUND(N497,4) &lt; INDEX('Tabela de ingredientes'!$O$1:$V$30, SWITCH(B497, "Gelatos de Leite", 7, "Sorbets", 10, "Gelatos de Leite com Fruta", 13, "Chocolate base água", 16, "Vegano", 19, "Alcoólicos", 22, "Zero", 25, "Gelatos Proteicos", 28, 7), 6)) + (ROUND(N497,4) &gt; INDEX('Tabela de ingredientes'!$O$1:$V$30, SWITCH(B497, "Gelatos de Leite", 8, "Sorbets", 11, "Gelatos de Leite com Fruta", 14, "Chocolate base água", 17, "Vegano", 20, "Alcoólicos", 23, "Zero", 26, "Gelatos Proteicos", 29, 8), 6)) + (ROUND(O497,4) &lt; INDEX('Tabela de ingredientes'!$O$1:$V$30, SWITCH(B497, "Gelatos de Leite", 7, "Sorbets", 10, "Gelatos de Leite com Fruta", 13, "Chocolate base água", 16, "Vegano", 19, "Alcoólicos", 22, "Zero", 25, "Gelatos Proteicos", 28, 7), 7)) + (ROUND(O497,4) &gt; INDEX('Tabela de ingredientes'!$O$1:$V$30, SWITCH(B497, "Gelatos de Leite", 8, "Sorbets", 11, "Gelatos de Leite com Fruta", 14, "Chocolate base água", 17, "Vegano", 20, "Alcoólicos", 23, "Zero", 26, "Gelatos Proteicos", 29, 8), 7)) + (ROUND(P497,4) &lt; INDEX('Tabela de ingredientes'!$O$1:$V$30, SWITCH(B497, "Gelatos de Leite", 7, "Sorbets", 10, "Gelatos de Leite com Fruta", 13, "Chocolate base água", 16, "Vegano", 19, "Alcoólicos", 22, "Zero", 25, "Gelatos Proteicos", 28, 7), 8)) + (ROUND(P497,4) &gt; INDEX('Tabela de ingredientes'!$O$1:$V$30, SWITCH(B497, "Gelatos de Leite", 8, "Sorbets", 11, "Gelatos de Leite com Fruta", 14, "Chocolate base água", 17, "Vegano", 20, "Alcoólicos", 23, "Zero", 26, "Gelatos Proteicos", 29, 8), 8)) + IF(B497="Gelatos Proteicos", (ROUND(Q497,4)&lt;'Tabela de ingredientes'!$W$28)+(ROUND(Q497,4)&gt;'Tabela de ingredientes'!$W$29), 0) = 0, "Ok", "Revisar"))</f>
        <v/>
      </c>
    </row>
    <row r="498">
      <c r="A498" s="264"/>
      <c r="B498" s="264" t="s">
        <v>187</v>
      </c>
      <c r="C498" s="264" t="s">
        <v>187</v>
      </c>
      <c r="D498" s="264" t="s">
        <v>187</v>
      </c>
      <c r="E498" s="264" t="s">
        <v>187</v>
      </c>
      <c r="F498" s="264" t="s">
        <v>187</v>
      </c>
      <c r="G498" s="264" t="s">
        <v>187</v>
      </c>
      <c r="H498" s="264" t="s">
        <v>187</v>
      </c>
      <c r="I498" s="264" t="s">
        <v>187</v>
      </c>
      <c r="J498" s="264" t="s">
        <v>187</v>
      </c>
      <c r="K498" s="264" t="s">
        <v>187</v>
      </c>
      <c r="L498" s="264" t="s">
        <v>187</v>
      </c>
      <c r="M498" s="264" t="s">
        <v>187</v>
      </c>
      <c r="N498" s="264" t="s">
        <v>187</v>
      </c>
      <c r="O498" s="264" t="s">
        <v>187</v>
      </c>
      <c r="P498" s="264" t="s">
        <v>187</v>
      </c>
      <c r="Q498" s="264" t="s">
        <v>187</v>
      </c>
      <c r="R498" s="264" t="s">
        <v>187</v>
      </c>
      <c r="S498" s="97" t="str">
        <f t="array" ref="S498">IF(A498="","", IF( (ROUND(I498,4) &lt; INDEX('Tabela de ingredientes'!$O$1:$V$30, SWITCH(B498, "Gelatos de Leite", 7, "Sorbets", 10, "Gelatos de Leite com Fruta", 13, "Chocolate base água", 16, "Vegano", 19, "Alcoólicos", 22, "Zero", 25, "Gelatos Proteicos", 28, 7), 1)) + (ROUND(I498,4) &gt; INDEX('Tabela de ingredientes'!$O$1:$V$30, SWITCH(B498, "Gelatos de Leite", 8, "Sorbets", 11, "Gelatos de Leite com Fruta", 14, "Chocolate base água", 17, "Vegano", 20, "Alcoólicos", 23, "Zero", 26, "Gelatos Proteicos", 29, 8), 1)) + (ROUND(J498,4) &lt; INDEX('Tabela de ingredientes'!$O$1:$V$30, SWITCH(B498, "Gelatos de Leite", 7, "Sorbets", 10, "Gelatos de Leite com Fruta", 13, "Chocolate base água", 16, "Vegano", 19, "Alcoólicos", 22, "Zero", 25, "Gelatos Proteicos", 28, 7), 2)) + (ROUND(J498,4) &gt; INDEX('Tabela de ingredientes'!$O$1:$V$30, SWITCH(B498, "Gelatos de Leite", 8, "Sorbets", 11, "Gelatos de Leite com Fruta", 14, "Chocolate base água", 17, "Vegano", 20, "Alcoólicos", 23, "Zero", 26, "Gelatos Proteicos", 29, 8), 2)) + (ROUND(K498,4) &lt; INDEX('Tabela de ingredientes'!$O$1:$V$30, SWITCH(B498, "Gelatos de Leite", 7, "Sorbets", 10, "Gelatos de Leite com Fruta", 13, "Chocolate base água", 16, "Vegano", 19, "Alcoólicos", 22, "Zero", 25, "Gelatos Proteicos", 28, 7), 3)) + (ROUND(K498,4) &gt; INDEX('Tabela de ingredientes'!$O$1:$V$30, SWITCH(B498, "Gelatos de Leite", 8, "Sorbets", 11, "Gelatos de Leite com Fruta", 14, "Chocolate base água", 17, "Vegano", 20, "Alcoólicos", 23, "Zero", 26, "Gelatos Proteicos", 29, 8), 3)) + (ROUND(L498,4) &lt; INDEX('Tabela de ingredientes'!$O$1:$V$30, SWITCH(B498, "Gelatos de Leite", 7, "Sorbets", 10, "Gelatos de Leite com Fruta", 13, "Chocolate base água", 16, "Vegano", 19, "Alcoólicos", 22, "Zero", 25, "Gelatos Proteicos", 28, 7), 4)) + (ROUND(L498,4) &gt; INDEX('Tabela de ingredientes'!$O$1:$V$30, SWITCH(B498, "Gelatos de Leite", 8, "Sorbets", 11, "Gelatos de Leite com Fruta", 14, "Chocolate base água", 17, "Vegano", 20, "Alcoólicos", 23, "Zero", 26, "Gelatos Proteicos", 29, 8), 4)) + (ROUND(M498,4) &lt; INDEX('Tabela de ingredientes'!$O$1:$V$30, SWITCH(B498, "Gelatos de Leite", 7, "Sorbets", 10, "Gelatos de Leite com Fruta", 13, "Chocolate base água", 16, "Vegano", 19, "Alcoólicos", 22, "Zero", 25, "Gelatos Proteicos", 28, 7), 5)) + (ROUND(M498,4) &gt; INDEX('Tabela de ingredientes'!$O$1:$V$30, SWITCH(B498, "Gelatos de Leite", 8, "Sorbets", 11, "Gelatos de Leite com Fruta", 14, "Chocolate base água", 17, "Vegano", 20, "Alcoólicos", 23, "Zero", 26, "Gelatos Proteicos", 29, 8), 5)) + (ROUND(N498,4) &lt; INDEX('Tabela de ingredientes'!$O$1:$V$30, SWITCH(B498, "Gelatos de Leite", 7, "Sorbets", 10, "Gelatos de Leite com Fruta", 13, "Chocolate base água", 16, "Vegano", 19, "Alcoólicos", 22, "Zero", 25, "Gelatos Proteicos", 28, 7), 6)) + (ROUND(N498,4) &gt; INDEX('Tabela de ingredientes'!$O$1:$V$30, SWITCH(B498, "Gelatos de Leite", 8, "Sorbets", 11, "Gelatos de Leite com Fruta", 14, "Chocolate base água", 17, "Vegano", 20, "Alcoólicos", 23, "Zero", 26, "Gelatos Proteicos", 29, 8), 6)) + (ROUND(O498,4) &lt; INDEX('Tabela de ingredientes'!$O$1:$V$30, SWITCH(B498, "Gelatos de Leite", 7, "Sorbets", 10, "Gelatos de Leite com Fruta", 13, "Chocolate base água", 16, "Vegano", 19, "Alcoólicos", 22, "Zero", 25, "Gelatos Proteicos", 28, 7), 7)) + (ROUND(O498,4) &gt; INDEX('Tabela de ingredientes'!$O$1:$V$30, SWITCH(B498, "Gelatos de Leite", 8, "Sorbets", 11, "Gelatos de Leite com Fruta", 14, "Chocolate base água", 17, "Vegano", 20, "Alcoólicos", 23, "Zero", 26, "Gelatos Proteicos", 29, 8), 7)) + (ROUND(P498,4) &lt; INDEX('Tabela de ingredientes'!$O$1:$V$30, SWITCH(B498, "Gelatos de Leite", 7, "Sorbets", 10, "Gelatos de Leite com Fruta", 13, "Chocolate base água", 16, "Vegano", 19, "Alcoólicos", 22, "Zero", 25, "Gelatos Proteicos", 28, 7), 8)) + (ROUND(P498,4) &gt; INDEX('Tabela de ingredientes'!$O$1:$V$30, SWITCH(B498, "Gelatos de Leite", 8, "Sorbets", 11, "Gelatos de Leite com Fruta", 14, "Chocolate base água", 17, "Vegano", 20, "Alcoólicos", 23, "Zero", 26, "Gelatos Proteicos", 29, 8), 8)) + IF(B498="Gelatos Proteicos", (ROUND(Q498,4)&lt;'Tabela de ingredientes'!$W$28)+(ROUND(Q498,4)&gt;'Tabela de ingredientes'!$W$29), 0) = 0, "Ok", "Revisar"))</f>
        <v/>
      </c>
    </row>
    <row r="499">
      <c r="A499" s="264"/>
      <c r="B499" s="264" t="s">
        <v>187</v>
      </c>
      <c r="C499" s="264" t="s">
        <v>187</v>
      </c>
      <c r="D499" s="264" t="s">
        <v>187</v>
      </c>
      <c r="E499" s="264" t="s">
        <v>187</v>
      </c>
      <c r="F499" s="264" t="s">
        <v>187</v>
      </c>
      <c r="G499" s="264" t="s">
        <v>187</v>
      </c>
      <c r="H499" s="264" t="s">
        <v>187</v>
      </c>
      <c r="I499" s="264" t="s">
        <v>187</v>
      </c>
      <c r="J499" s="264" t="s">
        <v>187</v>
      </c>
      <c r="K499" s="264" t="s">
        <v>187</v>
      </c>
      <c r="L499" s="264" t="s">
        <v>187</v>
      </c>
      <c r="M499" s="264" t="s">
        <v>187</v>
      </c>
      <c r="N499" s="264" t="s">
        <v>187</v>
      </c>
      <c r="O499" s="264" t="s">
        <v>187</v>
      </c>
      <c r="P499" s="264" t="s">
        <v>187</v>
      </c>
      <c r="Q499" s="264" t="s">
        <v>187</v>
      </c>
      <c r="R499" s="264" t="s">
        <v>187</v>
      </c>
      <c r="S499" s="97" t="str">
        <f t="array" ref="S499">IF(A499="","", IF( (ROUND(I499,4) &lt; INDEX('Tabela de ingredientes'!$O$1:$V$30, SWITCH(B499, "Gelatos de Leite", 7, "Sorbets", 10, "Gelatos de Leite com Fruta", 13, "Chocolate base água", 16, "Vegano", 19, "Alcoólicos", 22, "Zero", 25, "Gelatos Proteicos", 28, 7), 1)) + (ROUND(I499,4) &gt; INDEX('Tabela de ingredientes'!$O$1:$V$30, SWITCH(B499, "Gelatos de Leite", 8, "Sorbets", 11, "Gelatos de Leite com Fruta", 14, "Chocolate base água", 17, "Vegano", 20, "Alcoólicos", 23, "Zero", 26, "Gelatos Proteicos", 29, 8), 1)) + (ROUND(J499,4) &lt; INDEX('Tabela de ingredientes'!$O$1:$V$30, SWITCH(B499, "Gelatos de Leite", 7, "Sorbets", 10, "Gelatos de Leite com Fruta", 13, "Chocolate base água", 16, "Vegano", 19, "Alcoólicos", 22, "Zero", 25, "Gelatos Proteicos", 28, 7), 2)) + (ROUND(J499,4) &gt; INDEX('Tabela de ingredientes'!$O$1:$V$30, SWITCH(B499, "Gelatos de Leite", 8, "Sorbets", 11, "Gelatos de Leite com Fruta", 14, "Chocolate base água", 17, "Vegano", 20, "Alcoólicos", 23, "Zero", 26, "Gelatos Proteicos", 29, 8), 2)) + (ROUND(K499,4) &lt; INDEX('Tabela de ingredientes'!$O$1:$V$30, SWITCH(B499, "Gelatos de Leite", 7, "Sorbets", 10, "Gelatos de Leite com Fruta", 13, "Chocolate base água", 16, "Vegano", 19, "Alcoólicos", 22, "Zero", 25, "Gelatos Proteicos", 28, 7), 3)) + (ROUND(K499,4) &gt; INDEX('Tabela de ingredientes'!$O$1:$V$30, SWITCH(B499, "Gelatos de Leite", 8, "Sorbets", 11, "Gelatos de Leite com Fruta", 14, "Chocolate base água", 17, "Vegano", 20, "Alcoólicos", 23, "Zero", 26, "Gelatos Proteicos", 29, 8), 3)) + (ROUND(L499,4) &lt; INDEX('Tabela de ingredientes'!$O$1:$V$30, SWITCH(B499, "Gelatos de Leite", 7, "Sorbets", 10, "Gelatos de Leite com Fruta", 13, "Chocolate base água", 16, "Vegano", 19, "Alcoólicos", 22, "Zero", 25, "Gelatos Proteicos", 28, 7), 4)) + (ROUND(L499,4) &gt; INDEX('Tabela de ingredientes'!$O$1:$V$30, SWITCH(B499, "Gelatos de Leite", 8, "Sorbets", 11, "Gelatos de Leite com Fruta", 14, "Chocolate base água", 17, "Vegano", 20, "Alcoólicos", 23, "Zero", 26, "Gelatos Proteicos", 29, 8), 4)) + (ROUND(M499,4) &lt; INDEX('Tabela de ingredientes'!$O$1:$V$30, SWITCH(B499, "Gelatos de Leite", 7, "Sorbets", 10, "Gelatos de Leite com Fruta", 13, "Chocolate base água", 16, "Vegano", 19, "Alcoólicos", 22, "Zero", 25, "Gelatos Proteicos", 28, 7), 5)) + (ROUND(M499,4) &gt; INDEX('Tabela de ingredientes'!$O$1:$V$30, SWITCH(B499, "Gelatos de Leite", 8, "Sorbets", 11, "Gelatos de Leite com Fruta", 14, "Chocolate base água", 17, "Vegano", 20, "Alcoólicos", 23, "Zero", 26, "Gelatos Proteicos", 29, 8), 5)) + (ROUND(N499,4) &lt; INDEX('Tabela de ingredientes'!$O$1:$V$30, SWITCH(B499, "Gelatos de Leite", 7, "Sorbets", 10, "Gelatos de Leite com Fruta", 13, "Chocolate base água", 16, "Vegano", 19, "Alcoólicos", 22, "Zero", 25, "Gelatos Proteicos", 28, 7), 6)) + (ROUND(N499,4) &gt; INDEX('Tabela de ingredientes'!$O$1:$V$30, SWITCH(B499, "Gelatos de Leite", 8, "Sorbets", 11, "Gelatos de Leite com Fruta", 14, "Chocolate base água", 17, "Vegano", 20, "Alcoólicos", 23, "Zero", 26, "Gelatos Proteicos", 29, 8), 6)) + (ROUND(O499,4) &lt; INDEX('Tabela de ingredientes'!$O$1:$V$30, SWITCH(B499, "Gelatos de Leite", 7, "Sorbets", 10, "Gelatos de Leite com Fruta", 13, "Chocolate base água", 16, "Vegano", 19, "Alcoólicos", 22, "Zero", 25, "Gelatos Proteicos", 28, 7), 7)) + (ROUND(O499,4) &gt; INDEX('Tabela de ingredientes'!$O$1:$V$30, SWITCH(B499, "Gelatos de Leite", 8, "Sorbets", 11, "Gelatos de Leite com Fruta", 14, "Chocolate base água", 17, "Vegano", 20, "Alcoólicos", 23, "Zero", 26, "Gelatos Proteicos", 29, 8), 7)) + (ROUND(P499,4) &lt; INDEX('Tabela de ingredientes'!$O$1:$V$30, SWITCH(B499, "Gelatos de Leite", 7, "Sorbets", 10, "Gelatos de Leite com Fruta", 13, "Chocolate base água", 16, "Vegano", 19, "Alcoólicos", 22, "Zero", 25, "Gelatos Proteicos", 28, 7), 8)) + (ROUND(P499,4) &gt; INDEX('Tabela de ingredientes'!$O$1:$V$30, SWITCH(B499, "Gelatos de Leite", 8, "Sorbets", 11, "Gelatos de Leite com Fruta", 14, "Chocolate base água", 17, "Vegano", 20, "Alcoólicos", 23, "Zero", 26, "Gelatos Proteicos", 29, 8), 8)) + IF(B499="Gelatos Proteicos", (ROUND(Q499,4)&lt;'Tabela de ingredientes'!$W$28)+(ROUND(Q499,4)&gt;'Tabela de ingredientes'!$W$29), 0) = 0, "Ok", "Revisar"))</f>
        <v/>
      </c>
    </row>
    <row r="500">
      <c r="A500" s="264"/>
      <c r="B500" s="264" t="s">
        <v>187</v>
      </c>
      <c r="C500" s="264" t="s">
        <v>187</v>
      </c>
      <c r="D500" s="264" t="s">
        <v>187</v>
      </c>
      <c r="E500" s="264" t="s">
        <v>187</v>
      </c>
      <c r="F500" s="264" t="s">
        <v>187</v>
      </c>
      <c r="G500" s="264" t="s">
        <v>187</v>
      </c>
      <c r="H500" s="264" t="s">
        <v>187</v>
      </c>
      <c r="I500" s="264" t="s">
        <v>187</v>
      </c>
      <c r="J500" s="264" t="s">
        <v>187</v>
      </c>
      <c r="K500" s="264" t="s">
        <v>187</v>
      </c>
      <c r="L500" s="264" t="s">
        <v>187</v>
      </c>
      <c r="M500" s="264" t="s">
        <v>187</v>
      </c>
      <c r="N500" s="264" t="s">
        <v>187</v>
      </c>
      <c r="O500" s="264" t="s">
        <v>187</v>
      </c>
      <c r="P500" s="264" t="s">
        <v>187</v>
      </c>
      <c r="Q500" s="264" t="s">
        <v>187</v>
      </c>
      <c r="R500" s="264" t="s">
        <v>187</v>
      </c>
      <c r="S500" s="97" t="str">
        <f t="array" ref="S500">IF(A500="","", IF( (ROUND(I500,4) &lt; INDEX('Tabela de ingredientes'!$O$1:$V$30, SWITCH(B500, "Gelatos de Leite", 7, "Sorbets", 10, "Gelatos de Leite com Fruta", 13, "Chocolate base água", 16, "Vegano", 19, "Alcoólicos", 22, "Zero", 25, "Gelatos Proteicos", 28, 7), 1)) + (ROUND(I500,4) &gt; INDEX('Tabela de ingredientes'!$O$1:$V$30, SWITCH(B500, "Gelatos de Leite", 8, "Sorbets", 11, "Gelatos de Leite com Fruta", 14, "Chocolate base água", 17, "Vegano", 20, "Alcoólicos", 23, "Zero", 26, "Gelatos Proteicos", 29, 8), 1)) + (ROUND(J500,4) &lt; INDEX('Tabela de ingredientes'!$O$1:$V$30, SWITCH(B500, "Gelatos de Leite", 7, "Sorbets", 10, "Gelatos de Leite com Fruta", 13, "Chocolate base água", 16, "Vegano", 19, "Alcoólicos", 22, "Zero", 25, "Gelatos Proteicos", 28, 7), 2)) + (ROUND(J500,4) &gt; INDEX('Tabela de ingredientes'!$O$1:$V$30, SWITCH(B500, "Gelatos de Leite", 8, "Sorbets", 11, "Gelatos de Leite com Fruta", 14, "Chocolate base água", 17, "Vegano", 20, "Alcoólicos", 23, "Zero", 26, "Gelatos Proteicos", 29, 8), 2)) + (ROUND(K500,4) &lt; INDEX('Tabela de ingredientes'!$O$1:$V$30, SWITCH(B500, "Gelatos de Leite", 7, "Sorbets", 10, "Gelatos de Leite com Fruta", 13, "Chocolate base água", 16, "Vegano", 19, "Alcoólicos", 22, "Zero", 25, "Gelatos Proteicos", 28, 7), 3)) + (ROUND(K500,4) &gt; INDEX('Tabela de ingredientes'!$O$1:$V$30, SWITCH(B500, "Gelatos de Leite", 8, "Sorbets", 11, "Gelatos de Leite com Fruta", 14, "Chocolate base água", 17, "Vegano", 20, "Alcoólicos", 23, "Zero", 26, "Gelatos Proteicos", 29, 8), 3)) + (ROUND(L500,4) &lt; INDEX('Tabela de ingredientes'!$O$1:$V$30, SWITCH(B500, "Gelatos de Leite", 7, "Sorbets", 10, "Gelatos de Leite com Fruta", 13, "Chocolate base água", 16, "Vegano", 19, "Alcoólicos", 22, "Zero", 25, "Gelatos Proteicos", 28, 7), 4)) + (ROUND(L500,4) &gt; INDEX('Tabela de ingredientes'!$O$1:$V$30, SWITCH(B500, "Gelatos de Leite", 8, "Sorbets", 11, "Gelatos de Leite com Fruta", 14, "Chocolate base água", 17, "Vegano", 20, "Alcoólicos", 23, "Zero", 26, "Gelatos Proteicos", 29, 8), 4)) + (ROUND(M500,4) &lt; INDEX('Tabela de ingredientes'!$O$1:$V$30, SWITCH(B500, "Gelatos de Leite", 7, "Sorbets", 10, "Gelatos de Leite com Fruta", 13, "Chocolate base água", 16, "Vegano", 19, "Alcoólicos", 22, "Zero", 25, "Gelatos Proteicos", 28, 7), 5)) + (ROUND(M500,4) &gt; INDEX('Tabela de ingredientes'!$O$1:$V$30, SWITCH(B500, "Gelatos de Leite", 8, "Sorbets", 11, "Gelatos de Leite com Fruta", 14, "Chocolate base água", 17, "Vegano", 20, "Alcoólicos", 23, "Zero", 26, "Gelatos Proteicos", 29, 8), 5)) + (ROUND(N500,4) &lt; INDEX('Tabela de ingredientes'!$O$1:$V$30, SWITCH(B500, "Gelatos de Leite", 7, "Sorbets", 10, "Gelatos de Leite com Fruta", 13, "Chocolate base água", 16, "Vegano", 19, "Alcoólicos", 22, "Zero", 25, "Gelatos Proteicos", 28, 7), 6)) + (ROUND(N500,4) &gt; INDEX('Tabela de ingredientes'!$O$1:$V$30, SWITCH(B500, "Gelatos de Leite", 8, "Sorbets", 11, "Gelatos de Leite com Fruta", 14, "Chocolate base água", 17, "Vegano", 20, "Alcoólicos", 23, "Zero", 26, "Gelatos Proteicos", 29, 8), 6)) + (ROUND(O500,4) &lt; INDEX('Tabela de ingredientes'!$O$1:$V$30, SWITCH(B500, "Gelatos de Leite", 7, "Sorbets", 10, "Gelatos de Leite com Fruta", 13, "Chocolate base água", 16, "Vegano", 19, "Alcoólicos", 22, "Zero", 25, "Gelatos Proteicos", 28, 7), 7)) + (ROUND(O500,4) &gt; INDEX('Tabela de ingredientes'!$O$1:$V$30, SWITCH(B500, "Gelatos de Leite", 8, "Sorbets", 11, "Gelatos de Leite com Fruta", 14, "Chocolate base água", 17, "Vegano", 20, "Alcoólicos", 23, "Zero", 26, "Gelatos Proteicos", 29, 8), 7)) + (ROUND(P500,4) &lt; INDEX('Tabela de ingredientes'!$O$1:$V$30, SWITCH(B500, "Gelatos de Leite", 7, "Sorbets", 10, "Gelatos de Leite com Fruta", 13, "Chocolate base água", 16, "Vegano", 19, "Alcoólicos", 22, "Zero", 25, "Gelatos Proteicos", 28, 7), 8)) + (ROUND(P500,4) &gt; INDEX('Tabela de ingredientes'!$O$1:$V$30, SWITCH(B500, "Gelatos de Leite", 8, "Sorbets", 11, "Gelatos de Leite com Fruta", 14, "Chocolate base água", 17, "Vegano", 20, "Alcoólicos", 23, "Zero", 26, "Gelatos Proteicos", 29, 8), 8)) + IF(B500="Gelatos Proteicos", (ROUND(Q500,4)&lt;'Tabela de ingredientes'!$W$28)+(ROUND(Q500,4)&gt;'Tabela de ingredientes'!$W$29), 0) = 0, "Ok", "Revisar"))</f>
        <v/>
      </c>
    </row>
  </sheetData>
  <mergeCells count="1">
    <mergeCell ref="A1:J1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71"/>
    <col customWidth="1" min="2" max="2" width="32.71"/>
    <col customWidth="1" min="3" max="3" width="17.71"/>
    <col customWidth="1" min="4" max="4" width="15.14"/>
    <col customWidth="1" min="5" max="5" width="40.0"/>
    <col customWidth="1" min="7" max="8" width="31.57"/>
    <col customWidth="1" min="9" max="10" width="15.86"/>
    <col customWidth="1" min="11" max="11" width="81.71"/>
    <col customWidth="1" min="13" max="13" width="39.43"/>
    <col customWidth="1" min="14" max="14" width="19.71"/>
    <col customWidth="1" min="15" max="15" width="26.57"/>
    <col customWidth="1" min="16" max="16" width="19.14"/>
    <col customWidth="1" min="17" max="17" width="24.57"/>
  </cols>
  <sheetData>
    <row r="1" ht="22.5" customHeight="1">
      <c r="A1" s="20" t="s">
        <v>1</v>
      </c>
      <c r="B1" s="20" t="s">
        <v>24</v>
      </c>
      <c r="C1" s="20" t="s">
        <v>26</v>
      </c>
      <c r="D1" s="20" t="s">
        <v>28</v>
      </c>
      <c r="E1" s="29" t="s">
        <v>29</v>
      </c>
      <c r="F1" s="31"/>
      <c r="G1" s="20" t="s">
        <v>31</v>
      </c>
      <c r="H1" s="20" t="s">
        <v>24</v>
      </c>
      <c r="I1" s="20" t="s">
        <v>34</v>
      </c>
      <c r="J1" s="20" t="s">
        <v>28</v>
      </c>
      <c r="K1" s="38" t="s">
        <v>29</v>
      </c>
      <c r="L1" s="31"/>
      <c r="M1" s="44" t="s">
        <v>35</v>
      </c>
      <c r="N1" s="44" t="s">
        <v>39</v>
      </c>
      <c r="O1" s="44" t="s">
        <v>43</v>
      </c>
      <c r="P1" s="44" t="s">
        <v>47</v>
      </c>
      <c r="Q1" s="44" t="s">
        <v>49</v>
      </c>
      <c r="R1" s="31"/>
      <c r="S1" s="31"/>
      <c r="T1" s="31"/>
      <c r="U1" s="31"/>
      <c r="V1" s="31"/>
      <c r="W1" s="31"/>
      <c r="X1" s="31"/>
      <c r="Y1" s="31"/>
      <c r="Z1" s="31"/>
      <c r="AA1" s="31"/>
    </row>
    <row r="2" ht="22.5" customHeight="1">
      <c r="A2" s="55" t="s">
        <v>57</v>
      </c>
      <c r="B2" s="55" t="s">
        <v>60</v>
      </c>
      <c r="C2" s="64">
        <v>350.0</v>
      </c>
      <c r="D2" s="66" t="s">
        <v>1</v>
      </c>
      <c r="E2" s="68" t="s">
        <v>67</v>
      </c>
      <c r="G2" s="70" t="s">
        <v>69</v>
      </c>
      <c r="H2" s="70" t="s">
        <v>71</v>
      </c>
      <c r="I2" s="73">
        <v>500.0</v>
      </c>
      <c r="J2" s="77" t="s">
        <v>31</v>
      </c>
      <c r="M2" s="79" t="s">
        <v>57</v>
      </c>
      <c r="N2" s="82">
        <f t="shared" ref="N2:N50" si="1">IF(M2="", "", SUMIF($A$2:$A$1000, M2, $C$2:$C$1000) + SUMIF($G$2:$G$1000, M2, $I$2:$I$1000))</f>
        <v>2110</v>
      </c>
      <c r="O2" s="84">
        <v>0.0</v>
      </c>
      <c r="P2" s="82">
        <f t="shared" ref="P2:P50" si="2">IF(M2="","", N2*(1-O2))</f>
        <v>2110</v>
      </c>
      <c r="Q2" s="82">
        <f t="shared" ref="Q2:Q50" si="3">IF(M2="","", IFERROR(N2/P2, 1))</f>
        <v>1</v>
      </c>
    </row>
    <row r="3" ht="22.5" customHeight="1">
      <c r="A3" s="55" t="s">
        <v>57</v>
      </c>
      <c r="B3" s="55" t="s">
        <v>71</v>
      </c>
      <c r="C3" s="64">
        <v>800.0</v>
      </c>
      <c r="D3" s="66" t="s">
        <v>1</v>
      </c>
      <c r="E3" s="64"/>
      <c r="G3" s="70" t="s">
        <v>69</v>
      </c>
      <c r="H3" s="70" t="s">
        <v>99</v>
      </c>
      <c r="I3" s="73">
        <v>250.0</v>
      </c>
      <c r="J3" s="77" t="s">
        <v>31</v>
      </c>
      <c r="M3" s="79" t="s">
        <v>103</v>
      </c>
      <c r="N3" s="82">
        <f t="shared" si="1"/>
        <v>1000</v>
      </c>
      <c r="O3" s="84">
        <v>0.0</v>
      </c>
      <c r="P3" s="82">
        <f t="shared" si="2"/>
        <v>1000</v>
      </c>
      <c r="Q3" s="82">
        <f t="shared" si="3"/>
        <v>1</v>
      </c>
    </row>
    <row r="4" ht="22.5" customHeight="1">
      <c r="A4" s="55" t="s">
        <v>57</v>
      </c>
      <c r="B4" s="55" t="s">
        <v>58</v>
      </c>
      <c r="C4" s="64">
        <v>800.0</v>
      </c>
      <c r="D4" s="66" t="s">
        <v>1</v>
      </c>
      <c r="E4" s="64"/>
      <c r="G4" s="70" t="s">
        <v>69</v>
      </c>
      <c r="H4" s="70" t="s">
        <v>76</v>
      </c>
      <c r="I4" s="73">
        <v>100.0</v>
      </c>
      <c r="J4" s="77" t="s">
        <v>31</v>
      </c>
      <c r="M4" s="79" t="s">
        <v>108</v>
      </c>
      <c r="N4" s="82">
        <f t="shared" si="1"/>
        <v>910</v>
      </c>
      <c r="O4" s="84">
        <v>0.0</v>
      </c>
      <c r="P4" s="82">
        <f t="shared" si="2"/>
        <v>910</v>
      </c>
      <c r="Q4" s="82">
        <f t="shared" si="3"/>
        <v>1</v>
      </c>
    </row>
    <row r="5" ht="22.5" customHeight="1">
      <c r="A5" s="55" t="s">
        <v>57</v>
      </c>
      <c r="B5" s="55" t="s">
        <v>94</v>
      </c>
      <c r="C5" s="64">
        <v>160.0</v>
      </c>
      <c r="D5" s="66" t="s">
        <v>1</v>
      </c>
      <c r="E5" s="64"/>
      <c r="G5" s="70" t="s">
        <v>69</v>
      </c>
      <c r="H5" s="70" t="s">
        <v>111</v>
      </c>
      <c r="I5" s="73">
        <v>25.0</v>
      </c>
      <c r="J5" s="77" t="s">
        <v>31</v>
      </c>
      <c r="M5" s="79" t="s">
        <v>112</v>
      </c>
      <c r="N5" s="82">
        <f t="shared" si="1"/>
        <v>1334.4</v>
      </c>
      <c r="O5" s="84">
        <v>0.0</v>
      </c>
      <c r="P5" s="82">
        <f t="shared" si="2"/>
        <v>1334.4</v>
      </c>
      <c r="Q5" s="82">
        <f t="shared" si="3"/>
        <v>1</v>
      </c>
    </row>
    <row r="6" ht="22.5" customHeight="1">
      <c r="A6" s="55" t="s">
        <v>103</v>
      </c>
      <c r="B6" s="55" t="s">
        <v>113</v>
      </c>
      <c r="C6" s="64">
        <v>730.0</v>
      </c>
      <c r="D6" s="66" t="s">
        <v>1</v>
      </c>
      <c r="E6" s="64"/>
      <c r="G6" s="70" t="s">
        <v>69</v>
      </c>
      <c r="H6" s="70" t="s">
        <v>124</v>
      </c>
      <c r="I6" s="73">
        <v>50.0</v>
      </c>
      <c r="J6" s="77" t="s">
        <v>31</v>
      </c>
      <c r="M6" s="79" t="s">
        <v>130</v>
      </c>
      <c r="N6" s="82">
        <f t="shared" si="1"/>
        <v>375</v>
      </c>
      <c r="O6" s="84">
        <v>0.0</v>
      </c>
      <c r="P6" s="82">
        <f t="shared" si="2"/>
        <v>375</v>
      </c>
      <c r="Q6" s="82">
        <f t="shared" si="3"/>
        <v>1</v>
      </c>
    </row>
    <row r="7" ht="22.5" customHeight="1">
      <c r="A7" s="55" t="s">
        <v>103</v>
      </c>
      <c r="B7" s="55" t="s">
        <v>131</v>
      </c>
      <c r="C7" s="64">
        <v>245.0</v>
      </c>
      <c r="D7" s="66" t="s">
        <v>1</v>
      </c>
      <c r="E7" s="64"/>
      <c r="G7" s="70" t="s">
        <v>69</v>
      </c>
      <c r="H7" s="70" t="s">
        <v>132</v>
      </c>
      <c r="I7" s="73">
        <v>30.0</v>
      </c>
      <c r="J7" s="77" t="s">
        <v>31</v>
      </c>
      <c r="M7" s="79" t="s">
        <v>133</v>
      </c>
      <c r="N7" s="82">
        <f t="shared" si="1"/>
        <v>1010</v>
      </c>
      <c r="O7" s="84">
        <v>0.0</v>
      </c>
      <c r="P7" s="82">
        <f t="shared" si="2"/>
        <v>1010</v>
      </c>
      <c r="Q7" s="82">
        <f t="shared" si="3"/>
        <v>1</v>
      </c>
    </row>
    <row r="8" ht="22.5" customHeight="1">
      <c r="A8" s="55" t="s">
        <v>103</v>
      </c>
      <c r="B8" s="55" t="s">
        <v>136</v>
      </c>
      <c r="C8" s="64">
        <v>20.0</v>
      </c>
      <c r="D8" s="66" t="s">
        <v>1</v>
      </c>
      <c r="E8" s="64"/>
      <c r="G8" s="70" t="s">
        <v>137</v>
      </c>
      <c r="H8" s="70" t="s">
        <v>94</v>
      </c>
      <c r="I8" s="73">
        <v>279.0</v>
      </c>
      <c r="J8" s="77" t="s">
        <v>31</v>
      </c>
      <c r="M8" s="79" t="s">
        <v>138</v>
      </c>
      <c r="N8" s="82">
        <f t="shared" si="1"/>
        <v>530</v>
      </c>
      <c r="O8" s="84">
        <v>0.0</v>
      </c>
      <c r="P8" s="82">
        <f t="shared" si="2"/>
        <v>530</v>
      </c>
      <c r="Q8" s="82">
        <f t="shared" si="3"/>
        <v>1</v>
      </c>
    </row>
    <row r="9" ht="22.5" customHeight="1">
      <c r="A9" s="55" t="s">
        <v>103</v>
      </c>
      <c r="B9" s="55" t="s">
        <v>140</v>
      </c>
      <c r="C9" s="64">
        <v>5.0</v>
      </c>
      <c r="D9" s="66" t="s">
        <v>1</v>
      </c>
      <c r="E9" s="64"/>
      <c r="G9" s="70" t="s">
        <v>137</v>
      </c>
      <c r="H9" s="70" t="s">
        <v>14</v>
      </c>
      <c r="I9" s="73">
        <v>118.8</v>
      </c>
      <c r="J9" s="77" t="s">
        <v>31</v>
      </c>
      <c r="M9" s="79" t="s">
        <v>142</v>
      </c>
      <c r="N9" s="82">
        <f t="shared" si="1"/>
        <v>240</v>
      </c>
      <c r="O9" s="84">
        <v>0.0</v>
      </c>
      <c r="P9" s="82">
        <f t="shared" si="2"/>
        <v>240</v>
      </c>
      <c r="Q9" s="82">
        <f t="shared" si="3"/>
        <v>1</v>
      </c>
    </row>
    <row r="10" ht="22.5" customHeight="1">
      <c r="A10" s="55" t="s">
        <v>108</v>
      </c>
      <c r="B10" s="55" t="s">
        <v>71</v>
      </c>
      <c r="C10" s="64">
        <v>395.0</v>
      </c>
      <c r="D10" s="66" t="s">
        <v>1</v>
      </c>
      <c r="E10" s="64"/>
      <c r="G10" s="70" t="s">
        <v>137</v>
      </c>
      <c r="H10" s="70" t="s">
        <v>134</v>
      </c>
      <c r="I10" s="73">
        <v>202.5</v>
      </c>
      <c r="J10" s="77" t="s">
        <v>31</v>
      </c>
      <c r="M10" s="79" t="s">
        <v>106</v>
      </c>
      <c r="N10" s="82">
        <f t="shared" si="1"/>
        <v>991</v>
      </c>
      <c r="O10" s="84">
        <v>0.0</v>
      </c>
      <c r="P10" s="82">
        <f t="shared" si="2"/>
        <v>991</v>
      </c>
      <c r="Q10" s="82">
        <f t="shared" si="3"/>
        <v>1</v>
      </c>
    </row>
    <row r="11" ht="22.5" customHeight="1">
      <c r="A11" s="55" t="s">
        <v>108</v>
      </c>
      <c r="B11" s="55" t="s">
        <v>144</v>
      </c>
      <c r="C11" s="64">
        <v>200.0</v>
      </c>
      <c r="D11" s="66" t="s">
        <v>1</v>
      </c>
      <c r="E11" s="64"/>
      <c r="G11" s="70" t="s">
        <v>137</v>
      </c>
      <c r="H11" s="70" t="s">
        <v>71</v>
      </c>
      <c r="I11" s="73">
        <v>81.0</v>
      </c>
      <c r="J11" s="77" t="s">
        <v>31</v>
      </c>
      <c r="M11" s="79" t="s">
        <v>145</v>
      </c>
      <c r="N11" s="82">
        <f t="shared" si="1"/>
        <v>1002</v>
      </c>
      <c r="O11" s="84">
        <v>0.0</v>
      </c>
      <c r="P11" s="82">
        <f t="shared" si="2"/>
        <v>1002</v>
      </c>
      <c r="Q11" s="82">
        <f t="shared" si="3"/>
        <v>1</v>
      </c>
    </row>
    <row r="12" ht="22.5" customHeight="1">
      <c r="A12" s="55" t="s">
        <v>108</v>
      </c>
      <c r="B12" s="55" t="s">
        <v>132</v>
      </c>
      <c r="C12" s="64">
        <v>160.0</v>
      </c>
      <c r="D12" s="66" t="s">
        <v>1</v>
      </c>
      <c r="E12" s="64"/>
      <c r="G12" s="70" t="s">
        <v>137</v>
      </c>
      <c r="H12" s="70" t="s">
        <v>124</v>
      </c>
      <c r="I12" s="73">
        <v>17.1</v>
      </c>
      <c r="J12" s="77" t="s">
        <v>31</v>
      </c>
      <c r="M12" s="79" t="s">
        <v>146</v>
      </c>
      <c r="N12" s="82">
        <f t="shared" si="1"/>
        <v>1000</v>
      </c>
      <c r="O12" s="84">
        <v>0.0</v>
      </c>
      <c r="P12" s="82">
        <f t="shared" si="2"/>
        <v>1000</v>
      </c>
      <c r="Q12" s="82">
        <f t="shared" si="3"/>
        <v>1</v>
      </c>
    </row>
    <row r="13" ht="22.5" customHeight="1">
      <c r="A13" s="55" t="s">
        <v>108</v>
      </c>
      <c r="B13" s="55" t="s">
        <v>14</v>
      </c>
      <c r="C13" s="64">
        <v>155.0</v>
      </c>
      <c r="D13" s="66" t="s">
        <v>1</v>
      </c>
      <c r="E13" s="64"/>
      <c r="G13" s="70" t="s">
        <v>148</v>
      </c>
      <c r="H13" s="70" t="s">
        <v>149</v>
      </c>
      <c r="I13" s="73">
        <v>300.0</v>
      </c>
      <c r="J13" s="77" t="s">
        <v>31</v>
      </c>
      <c r="K13" s="93" t="s">
        <v>150</v>
      </c>
      <c r="M13" s="79" t="s">
        <v>151</v>
      </c>
      <c r="N13" s="82">
        <f t="shared" si="1"/>
        <v>1001</v>
      </c>
      <c r="O13" s="84">
        <v>0.0</v>
      </c>
      <c r="P13" s="82">
        <f t="shared" si="2"/>
        <v>1001</v>
      </c>
      <c r="Q13" s="82">
        <f t="shared" si="3"/>
        <v>1</v>
      </c>
    </row>
    <row r="14" ht="22.5" customHeight="1">
      <c r="A14" s="55" t="s">
        <v>112</v>
      </c>
      <c r="B14" s="55" t="s">
        <v>152</v>
      </c>
      <c r="C14" s="64">
        <v>500.0</v>
      </c>
      <c r="D14" s="66" t="s">
        <v>1</v>
      </c>
      <c r="E14" s="64"/>
      <c r="G14" s="70" t="s">
        <v>148</v>
      </c>
      <c r="H14" s="70" t="s">
        <v>153</v>
      </c>
      <c r="I14" s="73">
        <v>100.0</v>
      </c>
      <c r="J14" s="77" t="s">
        <v>31</v>
      </c>
      <c r="M14" s="79" t="s">
        <v>154</v>
      </c>
      <c r="N14" s="82">
        <f t="shared" si="1"/>
        <v>1670.4</v>
      </c>
      <c r="O14" s="84">
        <v>0.0</v>
      </c>
      <c r="P14" s="82">
        <f t="shared" si="2"/>
        <v>1670.4</v>
      </c>
      <c r="Q14" s="82">
        <f t="shared" si="3"/>
        <v>1</v>
      </c>
    </row>
    <row r="15" ht="22.5" customHeight="1">
      <c r="A15" s="55" t="s">
        <v>112</v>
      </c>
      <c r="B15" s="55" t="s">
        <v>124</v>
      </c>
      <c r="C15" s="64">
        <v>250.0</v>
      </c>
      <c r="D15" s="66" t="s">
        <v>1</v>
      </c>
      <c r="E15" s="64"/>
      <c r="G15" s="70" t="s">
        <v>148</v>
      </c>
      <c r="H15" s="70" t="s">
        <v>94</v>
      </c>
      <c r="I15" s="73">
        <v>300.0</v>
      </c>
      <c r="J15" s="77" t="s">
        <v>31</v>
      </c>
      <c r="M15" s="79" t="s">
        <v>69</v>
      </c>
      <c r="N15" s="82">
        <f t="shared" si="1"/>
        <v>955</v>
      </c>
      <c r="O15" s="84">
        <v>0.0</v>
      </c>
      <c r="P15" s="82">
        <f t="shared" si="2"/>
        <v>955</v>
      </c>
      <c r="Q15" s="82">
        <f t="shared" si="3"/>
        <v>1</v>
      </c>
    </row>
    <row r="16" ht="22.5" customHeight="1">
      <c r="A16" s="55" t="s">
        <v>112</v>
      </c>
      <c r="B16" s="55" t="s">
        <v>58</v>
      </c>
      <c r="C16" s="64">
        <v>250.0</v>
      </c>
      <c r="D16" s="66" t="s">
        <v>1</v>
      </c>
      <c r="E16" s="64"/>
      <c r="G16" s="70" t="s">
        <v>148</v>
      </c>
      <c r="H16" s="70" t="s">
        <v>76</v>
      </c>
      <c r="I16" s="73">
        <v>150.0</v>
      </c>
      <c r="J16" s="77" t="s">
        <v>31</v>
      </c>
      <c r="M16" s="79" t="s">
        <v>137</v>
      </c>
      <c r="N16" s="82">
        <f t="shared" si="1"/>
        <v>698.4</v>
      </c>
      <c r="O16" s="84">
        <v>0.0</v>
      </c>
      <c r="P16" s="82">
        <f t="shared" si="2"/>
        <v>698.4</v>
      </c>
      <c r="Q16" s="82">
        <f t="shared" si="3"/>
        <v>1</v>
      </c>
    </row>
    <row r="17" ht="22.5" customHeight="1">
      <c r="A17" s="55" t="s">
        <v>112</v>
      </c>
      <c r="B17" s="55" t="s">
        <v>94</v>
      </c>
      <c r="C17" s="64">
        <v>50.0</v>
      </c>
      <c r="D17" s="66" t="s">
        <v>1</v>
      </c>
      <c r="E17" s="64"/>
      <c r="G17" s="70" t="s">
        <v>148</v>
      </c>
      <c r="H17" s="70" t="s">
        <v>14</v>
      </c>
      <c r="I17" s="73">
        <v>100.0</v>
      </c>
      <c r="J17" s="77" t="s">
        <v>31</v>
      </c>
      <c r="M17" s="79" t="s">
        <v>148</v>
      </c>
      <c r="N17" s="82">
        <f t="shared" si="1"/>
        <v>1137</v>
      </c>
      <c r="O17" s="84">
        <v>0.0</v>
      </c>
      <c r="P17" s="82">
        <f t="shared" si="2"/>
        <v>1137</v>
      </c>
      <c r="Q17" s="82">
        <f t="shared" si="3"/>
        <v>1</v>
      </c>
    </row>
    <row r="18" ht="22.5" customHeight="1">
      <c r="A18" s="55" t="s">
        <v>112</v>
      </c>
      <c r="B18" s="55" t="s">
        <v>60</v>
      </c>
      <c r="C18" s="64">
        <v>50.0</v>
      </c>
      <c r="D18" s="66" t="s">
        <v>1</v>
      </c>
      <c r="E18" s="64"/>
      <c r="G18" s="70" t="s">
        <v>148</v>
      </c>
      <c r="H18" s="70" t="s">
        <v>71</v>
      </c>
      <c r="I18" s="73">
        <v>100.0</v>
      </c>
      <c r="J18" s="77" t="s">
        <v>31</v>
      </c>
      <c r="M18" s="79" t="s">
        <v>157</v>
      </c>
      <c r="N18" s="82">
        <f t="shared" si="1"/>
        <v>1298</v>
      </c>
      <c r="O18" s="84">
        <v>0.0</v>
      </c>
      <c r="P18" s="82">
        <f t="shared" si="2"/>
        <v>1298</v>
      </c>
      <c r="Q18" s="82">
        <f t="shared" si="3"/>
        <v>1</v>
      </c>
    </row>
    <row r="19" ht="22.5" customHeight="1">
      <c r="A19" s="55" t="s">
        <v>112</v>
      </c>
      <c r="B19" s="55" t="s">
        <v>141</v>
      </c>
      <c r="C19" s="64">
        <v>12.0</v>
      </c>
      <c r="D19" s="66" t="s">
        <v>1</v>
      </c>
      <c r="E19" s="64"/>
      <c r="G19" s="70" t="s">
        <v>148</v>
      </c>
      <c r="H19" s="70" t="s">
        <v>63</v>
      </c>
      <c r="I19" s="73">
        <v>50.0</v>
      </c>
      <c r="J19" s="77" t="s">
        <v>31</v>
      </c>
      <c r="M19" s="94"/>
      <c r="N19" s="95" t="str">
        <f t="shared" si="1"/>
        <v/>
      </c>
      <c r="O19" s="96">
        <v>0.0</v>
      </c>
      <c r="P19" s="95" t="str">
        <f t="shared" si="2"/>
        <v/>
      </c>
      <c r="Q19" s="95" t="str">
        <f t="shared" si="3"/>
        <v/>
      </c>
    </row>
    <row r="20" ht="22.5" customHeight="1">
      <c r="A20" s="55" t="s">
        <v>112</v>
      </c>
      <c r="B20" s="55" t="s">
        <v>14</v>
      </c>
      <c r="C20" s="64">
        <v>222.4</v>
      </c>
      <c r="D20" s="66" t="s">
        <v>1</v>
      </c>
      <c r="E20" s="64"/>
      <c r="G20" s="70" t="s">
        <v>148</v>
      </c>
      <c r="H20" s="70" t="s">
        <v>124</v>
      </c>
      <c r="I20" s="73">
        <v>15.0</v>
      </c>
      <c r="J20" s="77" t="s">
        <v>31</v>
      </c>
      <c r="M20" s="94"/>
      <c r="N20" s="95" t="str">
        <f t="shared" si="1"/>
        <v/>
      </c>
      <c r="O20" s="96">
        <v>0.0</v>
      </c>
      <c r="P20" s="95" t="str">
        <f t="shared" si="2"/>
        <v/>
      </c>
      <c r="Q20" s="95" t="str">
        <f t="shared" si="3"/>
        <v/>
      </c>
    </row>
    <row r="21" ht="22.5" customHeight="1">
      <c r="A21" s="55" t="s">
        <v>130</v>
      </c>
      <c r="B21" s="55" t="s">
        <v>94</v>
      </c>
      <c r="C21" s="64">
        <v>170.0</v>
      </c>
      <c r="D21" s="66" t="s">
        <v>1</v>
      </c>
      <c r="E21" s="64"/>
      <c r="G21" s="70" t="s">
        <v>148</v>
      </c>
      <c r="H21" s="70" t="s">
        <v>141</v>
      </c>
      <c r="I21" s="73">
        <v>2.0</v>
      </c>
      <c r="J21" s="77" t="s">
        <v>31</v>
      </c>
      <c r="M21" s="94"/>
      <c r="N21" s="95" t="str">
        <f t="shared" si="1"/>
        <v/>
      </c>
      <c r="O21" s="96">
        <v>0.0</v>
      </c>
      <c r="P21" s="95" t="str">
        <f t="shared" si="2"/>
        <v/>
      </c>
      <c r="Q21" s="95" t="str">
        <f t="shared" si="3"/>
        <v/>
      </c>
    </row>
    <row r="22" ht="22.5" customHeight="1">
      <c r="A22" s="55" t="s">
        <v>130</v>
      </c>
      <c r="B22" s="55" t="s">
        <v>14</v>
      </c>
      <c r="C22" s="64">
        <v>100.0</v>
      </c>
      <c r="D22" s="66" t="s">
        <v>1</v>
      </c>
      <c r="E22" s="64"/>
      <c r="G22" s="70" t="s">
        <v>148</v>
      </c>
      <c r="H22" s="70" t="s">
        <v>162</v>
      </c>
      <c r="I22" s="73">
        <v>20.0</v>
      </c>
      <c r="J22" s="77" t="s">
        <v>31</v>
      </c>
      <c r="M22" s="94"/>
      <c r="N22" s="95" t="str">
        <f t="shared" si="1"/>
        <v/>
      </c>
      <c r="O22" s="96">
        <v>0.0</v>
      </c>
      <c r="P22" s="95" t="str">
        <f t="shared" si="2"/>
        <v/>
      </c>
      <c r="Q22" s="95" t="str">
        <f t="shared" si="3"/>
        <v/>
      </c>
    </row>
    <row r="23" ht="22.5" customHeight="1">
      <c r="A23" s="55" t="s">
        <v>130</v>
      </c>
      <c r="B23" s="55" t="s">
        <v>163</v>
      </c>
      <c r="C23" s="64">
        <v>85.0</v>
      </c>
      <c r="D23" s="66" t="s">
        <v>1</v>
      </c>
      <c r="E23" s="64"/>
      <c r="G23" s="70" t="s">
        <v>157</v>
      </c>
      <c r="H23" s="70" t="s">
        <v>164</v>
      </c>
      <c r="I23" s="73">
        <v>750.0</v>
      </c>
      <c r="J23" s="77" t="s">
        <v>31</v>
      </c>
      <c r="K23" s="93" t="s">
        <v>165</v>
      </c>
      <c r="M23" s="94"/>
      <c r="N23" s="95" t="str">
        <f t="shared" si="1"/>
        <v/>
      </c>
      <c r="O23" s="96">
        <v>0.0</v>
      </c>
      <c r="P23" s="95" t="str">
        <f t="shared" si="2"/>
        <v/>
      </c>
      <c r="Q23" s="95" t="str">
        <f t="shared" si="3"/>
        <v/>
      </c>
    </row>
    <row r="24" ht="22.5" customHeight="1">
      <c r="A24" s="55" t="s">
        <v>130</v>
      </c>
      <c r="B24" s="55" t="s">
        <v>167</v>
      </c>
      <c r="C24" s="64">
        <v>20.0</v>
      </c>
      <c r="D24" s="66" t="s">
        <v>1</v>
      </c>
      <c r="E24" s="64"/>
      <c r="G24" s="70" t="s">
        <v>157</v>
      </c>
      <c r="H24" s="70" t="s">
        <v>134</v>
      </c>
      <c r="I24" s="73">
        <v>400.0</v>
      </c>
      <c r="J24" s="77" t="s">
        <v>31</v>
      </c>
      <c r="M24" s="94"/>
      <c r="N24" s="95" t="str">
        <f t="shared" si="1"/>
        <v/>
      </c>
      <c r="O24" s="96">
        <v>0.0</v>
      </c>
      <c r="P24" s="95" t="str">
        <f t="shared" si="2"/>
        <v/>
      </c>
      <c r="Q24" s="95" t="str">
        <f t="shared" si="3"/>
        <v/>
      </c>
    </row>
    <row r="25" ht="22.5" customHeight="1">
      <c r="A25" s="55" t="s">
        <v>133</v>
      </c>
      <c r="B25" s="55" t="s">
        <v>14</v>
      </c>
      <c r="C25" s="64">
        <v>840.0</v>
      </c>
      <c r="D25" s="66" t="s">
        <v>1</v>
      </c>
      <c r="E25" s="64"/>
      <c r="G25" s="70" t="s">
        <v>157</v>
      </c>
      <c r="H25" s="70" t="s">
        <v>76</v>
      </c>
      <c r="I25" s="73">
        <v>80.0</v>
      </c>
      <c r="J25" s="77" t="s">
        <v>31</v>
      </c>
      <c r="M25" s="94"/>
      <c r="N25" s="95" t="str">
        <f t="shared" si="1"/>
        <v/>
      </c>
      <c r="O25" s="96">
        <v>0.0</v>
      </c>
      <c r="P25" s="95" t="str">
        <f t="shared" si="2"/>
        <v/>
      </c>
      <c r="Q25" s="95" t="str">
        <f t="shared" si="3"/>
        <v/>
      </c>
    </row>
    <row r="26" ht="22.5" customHeight="1">
      <c r="A26" s="55" t="s">
        <v>133</v>
      </c>
      <c r="B26" s="55" t="s">
        <v>163</v>
      </c>
      <c r="C26" s="64">
        <v>170.0</v>
      </c>
      <c r="D26" s="66" t="s">
        <v>1</v>
      </c>
      <c r="E26" s="64"/>
      <c r="G26" s="70" t="s">
        <v>157</v>
      </c>
      <c r="H26" s="70" t="s">
        <v>87</v>
      </c>
      <c r="I26" s="73">
        <v>60.0</v>
      </c>
      <c r="J26" s="77" t="s">
        <v>31</v>
      </c>
      <c r="M26" s="94"/>
      <c r="N26" s="95" t="str">
        <f t="shared" si="1"/>
        <v/>
      </c>
      <c r="O26" s="96">
        <v>0.0</v>
      </c>
      <c r="P26" s="95" t="str">
        <f t="shared" si="2"/>
        <v/>
      </c>
      <c r="Q26" s="95" t="str">
        <f t="shared" si="3"/>
        <v/>
      </c>
    </row>
    <row r="27" ht="22.5" customHeight="1">
      <c r="A27" s="55" t="s">
        <v>138</v>
      </c>
      <c r="B27" s="55" t="s">
        <v>100</v>
      </c>
      <c r="C27" s="64">
        <v>300.0</v>
      </c>
      <c r="D27" s="66" t="s">
        <v>1</v>
      </c>
      <c r="E27" s="64"/>
      <c r="G27" s="70" t="s">
        <v>157</v>
      </c>
      <c r="H27" s="70" t="s">
        <v>141</v>
      </c>
      <c r="I27" s="73">
        <v>3.0</v>
      </c>
      <c r="J27" s="77" t="s">
        <v>31</v>
      </c>
      <c r="M27" s="94"/>
      <c r="N27" s="95" t="str">
        <f t="shared" si="1"/>
        <v/>
      </c>
      <c r="O27" s="96">
        <v>0.0</v>
      </c>
      <c r="P27" s="95" t="str">
        <f t="shared" si="2"/>
        <v/>
      </c>
      <c r="Q27" s="95" t="str">
        <f t="shared" si="3"/>
        <v/>
      </c>
    </row>
    <row r="28" ht="22.5" customHeight="1">
      <c r="A28" s="55" t="s">
        <v>138</v>
      </c>
      <c r="B28" s="55" t="s">
        <v>94</v>
      </c>
      <c r="C28" s="64">
        <v>200.0</v>
      </c>
      <c r="D28" s="66" t="s">
        <v>1</v>
      </c>
      <c r="E28" s="64"/>
      <c r="G28" s="70" t="s">
        <v>157</v>
      </c>
      <c r="H28" s="70" t="s">
        <v>111</v>
      </c>
      <c r="I28" s="73">
        <v>5.0</v>
      </c>
      <c r="J28" s="77" t="s">
        <v>31</v>
      </c>
      <c r="M28" s="94"/>
      <c r="N28" s="95" t="str">
        <f t="shared" si="1"/>
        <v/>
      </c>
      <c r="O28" s="96">
        <v>0.0</v>
      </c>
      <c r="P28" s="95" t="str">
        <f t="shared" si="2"/>
        <v/>
      </c>
      <c r="Q28" s="95" t="str">
        <f t="shared" si="3"/>
        <v/>
      </c>
    </row>
    <row r="29" ht="22.5" customHeight="1">
      <c r="A29" s="55" t="s">
        <v>138</v>
      </c>
      <c r="B29" s="55" t="s">
        <v>167</v>
      </c>
      <c r="C29" s="64">
        <v>30.0</v>
      </c>
      <c r="D29" s="66" t="s">
        <v>1</v>
      </c>
      <c r="E29" s="64"/>
      <c r="I29" s="100"/>
      <c r="M29" s="94"/>
      <c r="N29" s="95" t="str">
        <f t="shared" si="1"/>
        <v/>
      </c>
      <c r="O29" s="96">
        <v>0.0</v>
      </c>
      <c r="P29" s="95" t="str">
        <f t="shared" si="2"/>
        <v/>
      </c>
      <c r="Q29" s="95" t="str">
        <f t="shared" si="3"/>
        <v/>
      </c>
    </row>
    <row r="30" ht="22.5" customHeight="1">
      <c r="A30" s="55" t="s">
        <v>142</v>
      </c>
      <c r="B30" s="55" t="s">
        <v>14</v>
      </c>
      <c r="C30" s="64">
        <v>130.0</v>
      </c>
      <c r="D30" s="66" t="s">
        <v>1</v>
      </c>
      <c r="E30" s="64"/>
      <c r="I30" s="100"/>
      <c r="M30" s="94"/>
      <c r="N30" s="95" t="str">
        <f t="shared" si="1"/>
        <v/>
      </c>
      <c r="O30" s="96">
        <v>0.0</v>
      </c>
      <c r="P30" s="95" t="str">
        <f t="shared" si="2"/>
        <v/>
      </c>
      <c r="Q30" s="95" t="str">
        <f t="shared" si="3"/>
        <v/>
      </c>
    </row>
    <row r="31" ht="22.5" customHeight="1">
      <c r="A31" s="55" t="s">
        <v>142</v>
      </c>
      <c r="B31" s="55" t="s">
        <v>174</v>
      </c>
      <c r="C31" s="64">
        <v>70.0</v>
      </c>
      <c r="D31" s="66" t="s">
        <v>1</v>
      </c>
      <c r="E31" s="64"/>
      <c r="I31" s="100"/>
      <c r="M31" s="94"/>
      <c r="N31" s="95" t="str">
        <f t="shared" si="1"/>
        <v/>
      </c>
      <c r="O31" s="96">
        <v>0.0</v>
      </c>
      <c r="P31" s="95" t="str">
        <f t="shared" si="2"/>
        <v/>
      </c>
      <c r="Q31" s="95" t="str">
        <f t="shared" si="3"/>
        <v/>
      </c>
    </row>
    <row r="32" ht="22.5" customHeight="1">
      <c r="A32" s="55" t="s">
        <v>142</v>
      </c>
      <c r="B32" s="55" t="s">
        <v>111</v>
      </c>
      <c r="C32" s="64">
        <v>40.0</v>
      </c>
      <c r="D32" s="66" t="s">
        <v>1</v>
      </c>
      <c r="E32" s="64"/>
      <c r="I32" s="100"/>
      <c r="M32" s="94"/>
      <c r="N32" s="95" t="str">
        <f t="shared" si="1"/>
        <v/>
      </c>
      <c r="O32" s="96">
        <v>0.0</v>
      </c>
      <c r="P32" s="95" t="str">
        <f t="shared" si="2"/>
        <v/>
      </c>
      <c r="Q32" s="95" t="str">
        <f t="shared" si="3"/>
        <v/>
      </c>
    </row>
    <row r="33" ht="22.5" customHeight="1">
      <c r="A33" s="55" t="s">
        <v>106</v>
      </c>
      <c r="B33" s="55" t="s">
        <v>14</v>
      </c>
      <c r="C33" s="64">
        <v>485.0</v>
      </c>
      <c r="D33" s="66" t="s">
        <v>1</v>
      </c>
      <c r="E33" s="64"/>
      <c r="I33" s="100"/>
      <c r="M33" s="94"/>
      <c r="N33" s="95" t="str">
        <f t="shared" si="1"/>
        <v/>
      </c>
      <c r="O33" s="96">
        <v>0.0</v>
      </c>
      <c r="P33" s="95" t="str">
        <f t="shared" si="2"/>
        <v/>
      </c>
      <c r="Q33" s="95" t="str">
        <f t="shared" si="3"/>
        <v/>
      </c>
    </row>
    <row r="34" ht="22.5" customHeight="1">
      <c r="A34" s="55" t="s">
        <v>106</v>
      </c>
      <c r="B34" s="55" t="s">
        <v>94</v>
      </c>
      <c r="C34" s="64">
        <v>300.0</v>
      </c>
      <c r="D34" s="66" t="s">
        <v>1</v>
      </c>
      <c r="E34" s="64"/>
      <c r="I34" s="100"/>
      <c r="M34" s="94"/>
      <c r="N34" s="95" t="str">
        <f t="shared" si="1"/>
        <v/>
      </c>
      <c r="O34" s="96">
        <v>0.0</v>
      </c>
      <c r="P34" s="95" t="str">
        <f t="shared" si="2"/>
        <v/>
      </c>
      <c r="Q34" s="95" t="str">
        <f t="shared" si="3"/>
        <v/>
      </c>
    </row>
    <row r="35" ht="22.5" customHeight="1">
      <c r="A35" s="55" t="s">
        <v>106</v>
      </c>
      <c r="B35" s="55" t="s">
        <v>74</v>
      </c>
      <c r="C35" s="64">
        <v>104.0</v>
      </c>
      <c r="D35" s="66" t="s">
        <v>1</v>
      </c>
      <c r="E35" s="64"/>
      <c r="I35" s="100"/>
      <c r="M35" s="94"/>
      <c r="N35" s="95" t="str">
        <f t="shared" si="1"/>
        <v/>
      </c>
      <c r="O35" s="96">
        <v>0.0</v>
      </c>
      <c r="P35" s="95" t="str">
        <f t="shared" si="2"/>
        <v/>
      </c>
      <c r="Q35" s="95" t="str">
        <f t="shared" si="3"/>
        <v/>
      </c>
    </row>
    <row r="36" ht="22.5" customHeight="1">
      <c r="A36" s="55" t="s">
        <v>106</v>
      </c>
      <c r="B36" s="55" t="s">
        <v>63</v>
      </c>
      <c r="C36" s="64">
        <v>55.0</v>
      </c>
      <c r="D36" s="66" t="s">
        <v>1</v>
      </c>
      <c r="E36" s="64"/>
      <c r="I36" s="100"/>
      <c r="M36" s="94"/>
      <c r="N36" s="95" t="str">
        <f t="shared" si="1"/>
        <v/>
      </c>
      <c r="O36" s="96">
        <v>0.0</v>
      </c>
      <c r="P36" s="95" t="str">
        <f t="shared" si="2"/>
        <v/>
      </c>
      <c r="Q36" s="95" t="str">
        <f t="shared" si="3"/>
        <v/>
      </c>
    </row>
    <row r="37" ht="22.5" customHeight="1">
      <c r="A37" s="55" t="s">
        <v>106</v>
      </c>
      <c r="B37" s="55" t="s">
        <v>87</v>
      </c>
      <c r="C37" s="64">
        <v>30.0</v>
      </c>
      <c r="D37" s="66" t="s">
        <v>1</v>
      </c>
      <c r="E37" s="64"/>
      <c r="I37" s="100"/>
      <c r="M37" s="94"/>
      <c r="N37" s="95" t="str">
        <f t="shared" si="1"/>
        <v/>
      </c>
      <c r="O37" s="96">
        <v>0.0</v>
      </c>
      <c r="P37" s="95" t="str">
        <f t="shared" si="2"/>
        <v/>
      </c>
      <c r="Q37" s="95" t="str">
        <f t="shared" si="3"/>
        <v/>
      </c>
    </row>
    <row r="38" ht="22.5" customHeight="1">
      <c r="A38" s="55" t="s">
        <v>106</v>
      </c>
      <c r="B38" s="55" t="s">
        <v>170</v>
      </c>
      <c r="C38" s="64">
        <v>10.0</v>
      </c>
      <c r="D38" s="66" t="s">
        <v>1</v>
      </c>
      <c r="E38" s="64"/>
      <c r="I38" s="100"/>
      <c r="M38" s="94"/>
      <c r="N38" s="95" t="str">
        <f t="shared" si="1"/>
        <v/>
      </c>
      <c r="O38" s="96">
        <v>0.0</v>
      </c>
      <c r="P38" s="95" t="str">
        <f t="shared" si="2"/>
        <v/>
      </c>
      <c r="Q38" s="95" t="str">
        <f t="shared" si="3"/>
        <v/>
      </c>
    </row>
    <row r="39" ht="22.5" customHeight="1">
      <c r="A39" s="55" t="s">
        <v>106</v>
      </c>
      <c r="B39" s="55" t="s">
        <v>139</v>
      </c>
      <c r="C39" s="64">
        <v>7.0</v>
      </c>
      <c r="D39" s="66" t="s">
        <v>1</v>
      </c>
      <c r="E39" s="64"/>
      <c r="I39" s="100"/>
      <c r="M39" s="94"/>
      <c r="N39" s="95" t="str">
        <f t="shared" si="1"/>
        <v/>
      </c>
      <c r="O39" s="96">
        <v>0.0</v>
      </c>
      <c r="P39" s="95" t="str">
        <f t="shared" si="2"/>
        <v/>
      </c>
      <c r="Q39" s="95" t="str">
        <f t="shared" si="3"/>
        <v/>
      </c>
    </row>
    <row r="40" ht="22.5" customHeight="1">
      <c r="A40" s="55" t="s">
        <v>145</v>
      </c>
      <c r="B40" s="55" t="s">
        <v>58</v>
      </c>
      <c r="C40" s="64">
        <v>580.0</v>
      </c>
      <c r="D40" s="66" t="s">
        <v>1</v>
      </c>
      <c r="E40" s="64"/>
      <c r="I40" s="100"/>
      <c r="M40" s="94"/>
      <c r="N40" s="95" t="str">
        <f t="shared" si="1"/>
        <v/>
      </c>
      <c r="O40" s="96">
        <v>0.0</v>
      </c>
      <c r="P40" s="95" t="str">
        <f t="shared" si="2"/>
        <v/>
      </c>
      <c r="Q40" s="95" t="str">
        <f t="shared" si="3"/>
        <v/>
      </c>
    </row>
    <row r="41" ht="22.5" customHeight="1">
      <c r="A41" s="55" t="s">
        <v>145</v>
      </c>
      <c r="B41" s="55" t="s">
        <v>134</v>
      </c>
      <c r="C41" s="64">
        <v>165.0</v>
      </c>
      <c r="D41" s="66" t="s">
        <v>1</v>
      </c>
      <c r="E41" s="64"/>
      <c r="I41" s="100"/>
      <c r="M41" s="94"/>
      <c r="N41" s="95" t="str">
        <f t="shared" si="1"/>
        <v/>
      </c>
      <c r="O41" s="96">
        <v>0.0</v>
      </c>
      <c r="P41" s="95" t="str">
        <f t="shared" si="2"/>
        <v/>
      </c>
      <c r="Q41" s="95" t="str">
        <f t="shared" si="3"/>
        <v/>
      </c>
    </row>
    <row r="42" ht="22.5" customHeight="1">
      <c r="A42" s="55" t="s">
        <v>145</v>
      </c>
      <c r="B42" s="55" t="s">
        <v>135</v>
      </c>
      <c r="C42" s="64">
        <v>45.0</v>
      </c>
      <c r="D42" s="66" t="s">
        <v>1</v>
      </c>
      <c r="E42" s="64"/>
      <c r="I42" s="100"/>
      <c r="M42" s="94"/>
      <c r="N42" s="95" t="str">
        <f t="shared" si="1"/>
        <v/>
      </c>
      <c r="O42" s="96">
        <v>0.0</v>
      </c>
      <c r="P42" s="95" t="str">
        <f t="shared" si="2"/>
        <v/>
      </c>
      <c r="Q42" s="95" t="str">
        <f t="shared" si="3"/>
        <v/>
      </c>
    </row>
    <row r="43" ht="22.5" customHeight="1">
      <c r="A43" s="55" t="s">
        <v>145</v>
      </c>
      <c r="B43" s="55" t="s">
        <v>94</v>
      </c>
      <c r="C43" s="64">
        <v>110.0</v>
      </c>
      <c r="D43" s="66" t="s">
        <v>1</v>
      </c>
      <c r="E43" s="64"/>
      <c r="I43" s="100"/>
      <c r="M43" s="94"/>
      <c r="N43" s="95" t="str">
        <f t="shared" si="1"/>
        <v/>
      </c>
      <c r="O43" s="96">
        <v>0.0</v>
      </c>
      <c r="P43" s="95" t="str">
        <f t="shared" si="2"/>
        <v/>
      </c>
      <c r="Q43" s="95" t="str">
        <f t="shared" si="3"/>
        <v/>
      </c>
    </row>
    <row r="44" ht="22.5" customHeight="1">
      <c r="A44" s="55" t="s">
        <v>145</v>
      </c>
      <c r="B44" s="55" t="s">
        <v>63</v>
      </c>
      <c r="C44" s="64">
        <v>35.0</v>
      </c>
      <c r="D44" s="66" t="s">
        <v>1</v>
      </c>
      <c r="E44" s="64"/>
      <c r="I44" s="100"/>
      <c r="M44" s="94"/>
      <c r="N44" s="95" t="str">
        <f t="shared" si="1"/>
        <v/>
      </c>
      <c r="O44" s="96">
        <v>0.0</v>
      </c>
      <c r="P44" s="95" t="str">
        <f t="shared" si="2"/>
        <v/>
      </c>
      <c r="Q44" s="95" t="str">
        <f t="shared" si="3"/>
        <v/>
      </c>
    </row>
    <row r="45" ht="22.5" customHeight="1">
      <c r="A45" s="55" t="s">
        <v>145</v>
      </c>
      <c r="B45" s="55" t="s">
        <v>74</v>
      </c>
      <c r="C45" s="64">
        <v>30.0</v>
      </c>
      <c r="D45" s="66" t="s">
        <v>1</v>
      </c>
      <c r="E45" s="64"/>
      <c r="I45" s="100"/>
      <c r="M45" s="94"/>
      <c r="N45" s="95" t="str">
        <f t="shared" si="1"/>
        <v/>
      </c>
      <c r="O45" s="96">
        <v>0.0</v>
      </c>
      <c r="P45" s="95" t="str">
        <f t="shared" si="2"/>
        <v/>
      </c>
      <c r="Q45" s="95" t="str">
        <f t="shared" si="3"/>
        <v/>
      </c>
    </row>
    <row r="46" ht="22.5" customHeight="1">
      <c r="A46" s="55" t="s">
        <v>145</v>
      </c>
      <c r="B46" s="55" t="s">
        <v>170</v>
      </c>
      <c r="C46" s="64">
        <v>33.0</v>
      </c>
      <c r="D46" s="66" t="s">
        <v>1</v>
      </c>
      <c r="E46" s="64"/>
      <c r="I46" s="100"/>
      <c r="M46" s="94"/>
      <c r="N46" s="95" t="str">
        <f t="shared" si="1"/>
        <v/>
      </c>
      <c r="O46" s="96">
        <v>0.0</v>
      </c>
      <c r="P46" s="95" t="str">
        <f t="shared" si="2"/>
        <v/>
      </c>
      <c r="Q46" s="95" t="str">
        <f t="shared" si="3"/>
        <v/>
      </c>
    </row>
    <row r="47" ht="22.5" customHeight="1">
      <c r="A47" s="55" t="s">
        <v>145</v>
      </c>
      <c r="B47" s="55" t="s">
        <v>139</v>
      </c>
      <c r="C47" s="64">
        <v>4.0</v>
      </c>
      <c r="D47" s="66" t="s">
        <v>1</v>
      </c>
      <c r="E47" s="64"/>
      <c r="I47" s="100"/>
      <c r="M47" s="94"/>
      <c r="N47" s="95" t="str">
        <f t="shared" si="1"/>
        <v/>
      </c>
      <c r="O47" s="96">
        <v>0.0</v>
      </c>
      <c r="P47" s="95" t="str">
        <f t="shared" si="2"/>
        <v/>
      </c>
      <c r="Q47" s="95" t="str">
        <f t="shared" si="3"/>
        <v/>
      </c>
    </row>
    <row r="48" ht="22.5" customHeight="1">
      <c r="A48" s="55" t="s">
        <v>146</v>
      </c>
      <c r="B48" s="55" t="s">
        <v>58</v>
      </c>
      <c r="C48" s="64">
        <v>489.0</v>
      </c>
      <c r="D48" s="66" t="s">
        <v>1</v>
      </c>
      <c r="E48" s="64"/>
      <c r="I48" s="100"/>
      <c r="M48" s="94"/>
      <c r="N48" s="95" t="str">
        <f t="shared" si="1"/>
        <v/>
      </c>
      <c r="O48" s="96">
        <v>0.0</v>
      </c>
      <c r="P48" s="95" t="str">
        <f t="shared" si="2"/>
        <v/>
      </c>
      <c r="Q48" s="95" t="str">
        <f t="shared" si="3"/>
        <v/>
      </c>
    </row>
    <row r="49" ht="22.5" customHeight="1">
      <c r="A49" s="55" t="s">
        <v>146</v>
      </c>
      <c r="B49" s="55" t="s">
        <v>99</v>
      </c>
      <c r="C49" s="64">
        <v>240.0</v>
      </c>
      <c r="D49" s="66" t="s">
        <v>1</v>
      </c>
      <c r="E49" s="64"/>
      <c r="I49" s="100"/>
      <c r="M49" s="94"/>
      <c r="N49" s="95" t="str">
        <f t="shared" si="1"/>
        <v/>
      </c>
      <c r="O49" s="96">
        <v>0.0</v>
      </c>
      <c r="P49" s="95" t="str">
        <f t="shared" si="2"/>
        <v/>
      </c>
      <c r="Q49" s="95" t="str">
        <f t="shared" si="3"/>
        <v/>
      </c>
    </row>
    <row r="50" ht="22.5" customHeight="1">
      <c r="A50" s="55" t="s">
        <v>146</v>
      </c>
      <c r="B50" s="55" t="s">
        <v>135</v>
      </c>
      <c r="C50" s="64">
        <v>50.0</v>
      </c>
      <c r="D50" s="66" t="s">
        <v>1</v>
      </c>
      <c r="E50" s="64"/>
      <c r="I50" s="100"/>
      <c r="M50" s="94"/>
      <c r="N50" s="95" t="str">
        <f t="shared" si="1"/>
        <v/>
      </c>
      <c r="O50" s="96">
        <v>0.0</v>
      </c>
      <c r="P50" s="95" t="str">
        <f t="shared" si="2"/>
        <v/>
      </c>
      <c r="Q50" s="95" t="str">
        <f t="shared" si="3"/>
        <v/>
      </c>
    </row>
    <row r="51" ht="22.5" customHeight="1">
      <c r="A51" s="55" t="s">
        <v>146</v>
      </c>
      <c r="B51" s="55" t="s">
        <v>94</v>
      </c>
      <c r="C51" s="64">
        <v>120.0</v>
      </c>
      <c r="D51" s="66" t="s">
        <v>1</v>
      </c>
      <c r="E51" s="64"/>
      <c r="I51" s="100"/>
    </row>
    <row r="52" ht="22.5" customHeight="1">
      <c r="A52" s="55" t="s">
        <v>146</v>
      </c>
      <c r="B52" s="55" t="s">
        <v>63</v>
      </c>
      <c r="C52" s="64">
        <v>30.0</v>
      </c>
      <c r="D52" s="66" t="s">
        <v>1</v>
      </c>
      <c r="E52" s="64"/>
      <c r="I52" s="100"/>
    </row>
    <row r="53" ht="22.5" customHeight="1">
      <c r="A53" s="55" t="s">
        <v>146</v>
      </c>
      <c r="B53" s="55" t="s">
        <v>74</v>
      </c>
      <c r="C53" s="64">
        <v>25.0</v>
      </c>
      <c r="D53" s="66" t="s">
        <v>1</v>
      </c>
      <c r="E53" s="64"/>
      <c r="I53" s="100"/>
    </row>
    <row r="54" ht="22.5" customHeight="1">
      <c r="A54" s="55" t="s">
        <v>146</v>
      </c>
      <c r="B54" s="55" t="s">
        <v>170</v>
      </c>
      <c r="C54" s="64">
        <v>40.0</v>
      </c>
      <c r="D54" s="66" t="s">
        <v>1</v>
      </c>
      <c r="E54" s="64"/>
      <c r="I54" s="100"/>
    </row>
    <row r="55" ht="22.5" customHeight="1">
      <c r="A55" s="55" t="s">
        <v>146</v>
      </c>
      <c r="B55" s="55" t="s">
        <v>139</v>
      </c>
      <c r="C55" s="64">
        <v>5.0</v>
      </c>
      <c r="D55" s="66" t="s">
        <v>1</v>
      </c>
      <c r="E55" s="64"/>
      <c r="I55" s="100"/>
    </row>
    <row r="56" ht="22.5" customHeight="1">
      <c r="A56" s="55" t="s">
        <v>146</v>
      </c>
      <c r="B56" s="55" t="s">
        <v>141</v>
      </c>
      <c r="C56" s="64">
        <v>1.0</v>
      </c>
      <c r="D56" s="66" t="s">
        <v>1</v>
      </c>
      <c r="E56" s="64"/>
      <c r="I56" s="100"/>
    </row>
    <row r="57" ht="22.5" customHeight="1">
      <c r="A57" s="55" t="s">
        <v>151</v>
      </c>
      <c r="B57" s="55" t="s">
        <v>58</v>
      </c>
      <c r="C57" s="64">
        <v>620.0</v>
      </c>
      <c r="D57" s="66" t="s">
        <v>1</v>
      </c>
      <c r="E57" s="64"/>
      <c r="I57" s="100"/>
    </row>
    <row r="58" ht="22.5" customHeight="1">
      <c r="A58" s="55" t="s">
        <v>151</v>
      </c>
      <c r="B58" s="55" t="s">
        <v>134</v>
      </c>
      <c r="C58" s="64">
        <v>150.0</v>
      </c>
      <c r="D58" s="66" t="s">
        <v>1</v>
      </c>
      <c r="E58" s="64"/>
      <c r="I58" s="100"/>
    </row>
    <row r="59" ht="22.5" customHeight="1">
      <c r="A59" s="55" t="s">
        <v>151</v>
      </c>
      <c r="B59" s="55" t="s">
        <v>135</v>
      </c>
      <c r="C59" s="64">
        <v>45.0</v>
      </c>
      <c r="D59" s="66" t="s">
        <v>1</v>
      </c>
      <c r="E59" s="64"/>
      <c r="I59" s="100"/>
    </row>
    <row r="60" ht="22.5" customHeight="1">
      <c r="A60" s="55" t="s">
        <v>151</v>
      </c>
      <c r="B60" s="55" t="s">
        <v>94</v>
      </c>
      <c r="C60" s="64">
        <v>120.0</v>
      </c>
      <c r="D60" s="66" t="s">
        <v>1</v>
      </c>
      <c r="E60" s="64"/>
      <c r="I60" s="100"/>
    </row>
    <row r="61" ht="22.5" customHeight="1">
      <c r="A61" s="55" t="s">
        <v>151</v>
      </c>
      <c r="B61" s="55" t="s">
        <v>63</v>
      </c>
      <c r="C61" s="64">
        <v>30.0</v>
      </c>
      <c r="D61" s="66" t="s">
        <v>1</v>
      </c>
      <c r="E61" s="64"/>
      <c r="I61" s="100"/>
    </row>
    <row r="62" ht="22.5" customHeight="1">
      <c r="A62" s="55" t="s">
        <v>151</v>
      </c>
      <c r="B62" s="55" t="s">
        <v>74</v>
      </c>
      <c r="C62" s="64">
        <v>30.0</v>
      </c>
      <c r="D62" s="66" t="s">
        <v>1</v>
      </c>
      <c r="E62" s="64"/>
      <c r="I62" s="100"/>
    </row>
    <row r="63" ht="22.5" customHeight="1">
      <c r="A63" s="55" t="s">
        <v>151</v>
      </c>
      <c r="B63" s="55" t="s">
        <v>139</v>
      </c>
      <c r="C63" s="64">
        <v>5.0</v>
      </c>
      <c r="D63" s="66" t="s">
        <v>1</v>
      </c>
      <c r="E63" s="64"/>
      <c r="I63" s="100"/>
    </row>
    <row r="64" ht="22.5" customHeight="1">
      <c r="A64" s="55" t="s">
        <v>151</v>
      </c>
      <c r="B64" s="55" t="s">
        <v>141</v>
      </c>
      <c r="C64" s="64">
        <v>1.0</v>
      </c>
      <c r="D64" s="66" t="s">
        <v>1</v>
      </c>
      <c r="E64" s="64"/>
      <c r="I64" s="100"/>
    </row>
    <row r="65" ht="22.5" customHeight="1">
      <c r="A65" s="55" t="s">
        <v>154</v>
      </c>
      <c r="B65" s="55" t="s">
        <v>94</v>
      </c>
      <c r="C65" s="64">
        <v>669.6</v>
      </c>
      <c r="D65" s="66" t="s">
        <v>1</v>
      </c>
      <c r="E65" s="64" t="s">
        <v>187</v>
      </c>
      <c r="I65" s="100"/>
    </row>
    <row r="66" ht="22.5" customHeight="1">
      <c r="A66" s="55" t="s">
        <v>154</v>
      </c>
      <c r="B66" s="55" t="s">
        <v>14</v>
      </c>
      <c r="C66" s="64">
        <v>288.0</v>
      </c>
      <c r="D66" s="66" t="s">
        <v>1</v>
      </c>
      <c r="E66" s="64" t="s">
        <v>187</v>
      </c>
      <c r="I66" s="100"/>
    </row>
    <row r="67" ht="22.5" customHeight="1">
      <c r="A67" s="55" t="s">
        <v>154</v>
      </c>
      <c r="B67" s="55" t="s">
        <v>58</v>
      </c>
      <c r="C67" s="64">
        <v>481.5</v>
      </c>
      <c r="D67" s="66" t="s">
        <v>1</v>
      </c>
      <c r="E67" s="64" t="s">
        <v>187</v>
      </c>
      <c r="I67" s="100"/>
    </row>
    <row r="68" ht="22.5" customHeight="1">
      <c r="A68" s="55" t="s">
        <v>154</v>
      </c>
      <c r="B68" s="55" t="s">
        <v>71</v>
      </c>
      <c r="C68" s="64">
        <v>192.6</v>
      </c>
      <c r="D68" s="66" t="s">
        <v>1</v>
      </c>
      <c r="E68" s="64" t="s">
        <v>187</v>
      </c>
      <c r="I68" s="100"/>
    </row>
    <row r="69" ht="22.5" customHeight="1">
      <c r="A69" s="55" t="s">
        <v>154</v>
      </c>
      <c r="B69" s="55" t="s">
        <v>124</v>
      </c>
      <c r="C69" s="64">
        <v>38.7</v>
      </c>
      <c r="D69" s="66" t="s">
        <v>1</v>
      </c>
      <c r="E69" s="64" t="s">
        <v>187</v>
      </c>
      <c r="I69" s="100"/>
    </row>
    <row r="70" ht="134.25" customHeight="1">
      <c r="A70" s="55"/>
      <c r="B70" s="101"/>
      <c r="C70" s="102"/>
      <c r="D70" s="66"/>
      <c r="E70" s="103"/>
      <c r="I70" s="100"/>
    </row>
    <row r="71" ht="22.5" customHeight="1">
      <c r="A71" s="55"/>
      <c r="B71" s="101"/>
      <c r="C71" s="102"/>
      <c r="D71" s="66"/>
      <c r="E71" s="102"/>
      <c r="I71" s="100"/>
    </row>
    <row r="72" ht="22.5" customHeight="1">
      <c r="A72" s="55"/>
      <c r="B72" s="101"/>
      <c r="C72" s="102"/>
      <c r="D72" s="66"/>
      <c r="E72" s="102"/>
      <c r="I72" s="100"/>
    </row>
    <row r="73" ht="22.5" customHeight="1">
      <c r="A73" s="55"/>
      <c r="B73" s="101"/>
      <c r="C73" s="102"/>
      <c r="D73" s="66"/>
      <c r="E73" s="102"/>
      <c r="I73" s="100"/>
    </row>
    <row r="74">
      <c r="C74" s="100"/>
      <c r="E74" s="100"/>
      <c r="I74" s="100"/>
    </row>
    <row r="75">
      <c r="C75" s="100"/>
      <c r="E75" s="100"/>
      <c r="I75" s="100"/>
    </row>
    <row r="76">
      <c r="C76" s="100"/>
      <c r="E76" s="100"/>
      <c r="I76" s="100"/>
    </row>
    <row r="77">
      <c r="C77" s="100"/>
      <c r="E77" s="100"/>
      <c r="I77" s="100"/>
    </row>
    <row r="78">
      <c r="C78" s="100"/>
      <c r="E78" s="100"/>
      <c r="I78" s="100"/>
    </row>
    <row r="79">
      <c r="C79" s="100"/>
      <c r="E79" s="100"/>
      <c r="I79" s="100"/>
    </row>
    <row r="80">
      <c r="C80" s="100"/>
      <c r="E80" s="100"/>
      <c r="I80" s="100"/>
    </row>
    <row r="81">
      <c r="C81" s="100"/>
      <c r="E81" s="100"/>
      <c r="I81" s="100"/>
    </row>
    <row r="82">
      <c r="C82" s="100"/>
      <c r="E82" s="100"/>
      <c r="I82" s="100"/>
    </row>
    <row r="83">
      <c r="C83" s="100"/>
      <c r="E83" s="100"/>
      <c r="I83" s="100"/>
    </row>
    <row r="84">
      <c r="C84" s="100"/>
      <c r="E84" s="100"/>
      <c r="I84" s="100"/>
    </row>
    <row r="85">
      <c r="C85" s="100"/>
      <c r="E85" s="100"/>
      <c r="I85" s="100"/>
    </row>
    <row r="86">
      <c r="C86" s="100"/>
      <c r="E86" s="100"/>
      <c r="I86" s="100"/>
    </row>
    <row r="87">
      <c r="C87" s="100"/>
      <c r="E87" s="100"/>
      <c r="I87" s="100"/>
    </row>
    <row r="88">
      <c r="C88" s="100"/>
      <c r="E88" s="100"/>
      <c r="I88" s="100"/>
    </row>
    <row r="89">
      <c r="C89" s="100"/>
      <c r="E89" s="100"/>
      <c r="I89" s="100"/>
    </row>
    <row r="90">
      <c r="C90" s="100"/>
      <c r="E90" s="100"/>
      <c r="I90" s="100"/>
    </row>
    <row r="91">
      <c r="C91" s="100"/>
      <c r="E91" s="100"/>
      <c r="I91" s="100"/>
    </row>
    <row r="92">
      <c r="C92" s="100"/>
      <c r="E92" s="100"/>
      <c r="I92" s="100"/>
    </row>
    <row r="93">
      <c r="C93" s="100"/>
      <c r="E93" s="100"/>
      <c r="I93" s="100"/>
    </row>
    <row r="94">
      <c r="C94" s="100"/>
      <c r="E94" s="100"/>
      <c r="I94" s="100"/>
    </row>
    <row r="95">
      <c r="C95" s="100"/>
      <c r="E95" s="100"/>
      <c r="I95" s="100"/>
    </row>
    <row r="96">
      <c r="C96" s="100"/>
      <c r="E96" s="100"/>
      <c r="I96" s="100"/>
    </row>
    <row r="97">
      <c r="C97" s="100"/>
      <c r="E97" s="100"/>
      <c r="I97" s="100"/>
    </row>
    <row r="98">
      <c r="C98" s="100"/>
      <c r="E98" s="100"/>
      <c r="I98" s="100"/>
    </row>
    <row r="99">
      <c r="C99" s="100"/>
      <c r="E99" s="100"/>
      <c r="I99" s="100"/>
    </row>
    <row r="100">
      <c r="C100" s="100"/>
      <c r="E100" s="100"/>
      <c r="I100" s="100"/>
    </row>
    <row r="101">
      <c r="C101" s="100"/>
      <c r="E101" s="100"/>
      <c r="I101" s="100"/>
    </row>
    <row r="102">
      <c r="C102" s="100"/>
      <c r="E102" s="100"/>
      <c r="I102" s="100"/>
    </row>
    <row r="103">
      <c r="C103" s="100"/>
      <c r="E103" s="100"/>
      <c r="I103" s="100"/>
    </row>
    <row r="104">
      <c r="C104" s="100"/>
      <c r="E104" s="100"/>
      <c r="I104" s="100"/>
    </row>
    <row r="105">
      <c r="C105" s="100"/>
      <c r="E105" s="100"/>
      <c r="I105" s="100"/>
    </row>
    <row r="106">
      <c r="C106" s="100"/>
      <c r="E106" s="100"/>
      <c r="I106" s="100"/>
    </row>
    <row r="107">
      <c r="C107" s="100"/>
      <c r="E107" s="100"/>
      <c r="I107" s="100"/>
    </row>
    <row r="108">
      <c r="C108" s="100"/>
      <c r="E108" s="100"/>
      <c r="I108" s="100"/>
    </row>
    <row r="109">
      <c r="C109" s="100"/>
      <c r="E109" s="100"/>
      <c r="I109" s="100"/>
    </row>
    <row r="110">
      <c r="C110" s="100"/>
      <c r="E110" s="100"/>
      <c r="I110" s="100"/>
    </row>
    <row r="111">
      <c r="C111" s="100"/>
      <c r="E111" s="100"/>
      <c r="I111" s="100"/>
    </row>
    <row r="112">
      <c r="C112" s="100"/>
      <c r="E112" s="100"/>
      <c r="I112" s="100"/>
    </row>
    <row r="113">
      <c r="C113" s="100"/>
      <c r="E113" s="100"/>
      <c r="I113" s="100"/>
    </row>
    <row r="114">
      <c r="C114" s="100"/>
      <c r="E114" s="100"/>
      <c r="I114" s="100"/>
    </row>
    <row r="115">
      <c r="C115" s="100"/>
      <c r="E115" s="100"/>
      <c r="I115" s="100"/>
    </row>
    <row r="116">
      <c r="C116" s="100"/>
      <c r="E116" s="100"/>
      <c r="I116" s="100"/>
    </row>
    <row r="117">
      <c r="C117" s="100"/>
      <c r="E117" s="100"/>
      <c r="I117" s="100"/>
    </row>
    <row r="118">
      <c r="C118" s="100"/>
      <c r="E118" s="100"/>
      <c r="I118" s="100"/>
    </row>
    <row r="119">
      <c r="C119" s="100"/>
      <c r="E119" s="100"/>
      <c r="I119" s="100"/>
    </row>
    <row r="120">
      <c r="C120" s="100"/>
      <c r="E120" s="100"/>
      <c r="I120" s="100"/>
    </row>
    <row r="121">
      <c r="C121" s="100"/>
      <c r="E121" s="100"/>
      <c r="I121" s="100"/>
    </row>
    <row r="122">
      <c r="C122" s="100"/>
      <c r="E122" s="100"/>
      <c r="I122" s="100"/>
    </row>
    <row r="123">
      <c r="C123" s="100"/>
      <c r="E123" s="100"/>
      <c r="I123" s="100"/>
    </row>
    <row r="124">
      <c r="C124" s="100"/>
      <c r="E124" s="100"/>
      <c r="I124" s="100"/>
    </row>
    <row r="125">
      <c r="C125" s="100"/>
      <c r="E125" s="100"/>
      <c r="I125" s="100"/>
    </row>
    <row r="126">
      <c r="C126" s="100"/>
      <c r="E126" s="100"/>
      <c r="I126" s="100"/>
    </row>
    <row r="127">
      <c r="C127" s="100"/>
      <c r="E127" s="100"/>
      <c r="I127" s="100"/>
    </row>
    <row r="128">
      <c r="C128" s="100"/>
      <c r="E128" s="100"/>
      <c r="I128" s="100"/>
    </row>
    <row r="129">
      <c r="C129" s="100"/>
      <c r="E129" s="100"/>
      <c r="I129" s="100"/>
    </row>
    <row r="130">
      <c r="C130" s="100"/>
      <c r="E130" s="100"/>
      <c r="I130" s="100"/>
    </row>
    <row r="131">
      <c r="C131" s="100"/>
      <c r="E131" s="100"/>
      <c r="I131" s="100"/>
    </row>
    <row r="132">
      <c r="C132" s="100"/>
      <c r="E132" s="100"/>
      <c r="I132" s="100"/>
    </row>
    <row r="133">
      <c r="C133" s="100"/>
      <c r="E133" s="100"/>
      <c r="I133" s="100"/>
    </row>
    <row r="134">
      <c r="C134" s="100"/>
      <c r="E134" s="100"/>
      <c r="I134" s="100"/>
    </row>
    <row r="135">
      <c r="C135" s="100"/>
      <c r="E135" s="100"/>
      <c r="I135" s="100"/>
    </row>
    <row r="136">
      <c r="C136" s="100"/>
      <c r="E136" s="100"/>
      <c r="I136" s="100"/>
    </row>
    <row r="137">
      <c r="C137" s="100"/>
      <c r="E137" s="100"/>
      <c r="I137" s="100"/>
    </row>
    <row r="138">
      <c r="C138" s="100"/>
      <c r="E138" s="100"/>
      <c r="I138" s="100"/>
    </row>
    <row r="139">
      <c r="C139" s="100"/>
      <c r="E139" s="100"/>
      <c r="I139" s="100"/>
    </row>
    <row r="140">
      <c r="C140" s="100"/>
      <c r="E140" s="100"/>
      <c r="I140" s="100"/>
    </row>
    <row r="141">
      <c r="C141" s="100"/>
      <c r="E141" s="100"/>
      <c r="I141" s="100"/>
    </row>
    <row r="142">
      <c r="C142" s="100"/>
      <c r="E142" s="100"/>
      <c r="I142" s="100"/>
    </row>
    <row r="143">
      <c r="C143" s="100"/>
      <c r="E143" s="100"/>
      <c r="I143" s="100"/>
    </row>
    <row r="144">
      <c r="C144" s="100"/>
      <c r="E144" s="100"/>
      <c r="I144" s="100"/>
    </row>
    <row r="145">
      <c r="C145" s="100"/>
      <c r="E145" s="100"/>
      <c r="I145" s="100"/>
    </row>
    <row r="146">
      <c r="C146" s="100"/>
      <c r="E146" s="100"/>
      <c r="I146" s="100"/>
    </row>
    <row r="147">
      <c r="C147" s="100"/>
      <c r="E147" s="100"/>
      <c r="I147" s="100"/>
    </row>
    <row r="148">
      <c r="C148" s="100"/>
      <c r="E148" s="100"/>
      <c r="I148" s="100"/>
    </row>
    <row r="149">
      <c r="C149" s="100"/>
      <c r="E149" s="100"/>
      <c r="I149" s="100"/>
    </row>
    <row r="150">
      <c r="C150" s="100"/>
      <c r="E150" s="100"/>
      <c r="I150" s="100"/>
    </row>
    <row r="151">
      <c r="C151" s="100"/>
      <c r="E151" s="100"/>
      <c r="I151" s="100"/>
    </row>
    <row r="152">
      <c r="C152" s="100"/>
      <c r="E152" s="100"/>
      <c r="I152" s="100"/>
    </row>
    <row r="153">
      <c r="C153" s="100"/>
      <c r="E153" s="100"/>
      <c r="I153" s="100"/>
    </row>
    <row r="154">
      <c r="C154" s="100"/>
      <c r="E154" s="100"/>
      <c r="I154" s="100"/>
    </row>
    <row r="155">
      <c r="C155" s="100"/>
      <c r="E155" s="100"/>
      <c r="I155" s="100"/>
    </row>
    <row r="156">
      <c r="C156" s="100"/>
      <c r="E156" s="100"/>
      <c r="I156" s="100"/>
    </row>
    <row r="157">
      <c r="C157" s="100"/>
      <c r="E157" s="100"/>
      <c r="I157" s="100"/>
    </row>
    <row r="158">
      <c r="C158" s="100"/>
      <c r="E158" s="100"/>
      <c r="I158" s="100"/>
    </row>
    <row r="159">
      <c r="C159" s="100"/>
      <c r="E159" s="100"/>
      <c r="I159" s="100"/>
    </row>
    <row r="160">
      <c r="C160" s="100"/>
      <c r="E160" s="100"/>
      <c r="I160" s="100"/>
    </row>
    <row r="161">
      <c r="C161" s="100"/>
      <c r="E161" s="100"/>
      <c r="I161" s="100"/>
    </row>
    <row r="162">
      <c r="C162" s="100"/>
      <c r="E162" s="100"/>
      <c r="I162" s="100"/>
    </row>
    <row r="163">
      <c r="C163" s="100"/>
      <c r="E163" s="100"/>
      <c r="I163" s="100"/>
    </row>
    <row r="164">
      <c r="C164" s="100"/>
      <c r="E164" s="100"/>
      <c r="I164" s="100"/>
    </row>
    <row r="165">
      <c r="C165" s="100"/>
      <c r="E165" s="100"/>
      <c r="I165" s="100"/>
    </row>
    <row r="166">
      <c r="C166" s="100"/>
      <c r="E166" s="100"/>
      <c r="I166" s="100"/>
    </row>
    <row r="167">
      <c r="C167" s="100"/>
      <c r="E167" s="100"/>
      <c r="I167" s="100"/>
    </row>
    <row r="168">
      <c r="C168" s="100"/>
      <c r="E168" s="100"/>
      <c r="I168" s="100"/>
    </row>
    <row r="169">
      <c r="C169" s="100"/>
      <c r="E169" s="100"/>
      <c r="I169" s="100"/>
    </row>
    <row r="170">
      <c r="C170" s="100"/>
      <c r="E170" s="100"/>
      <c r="I170" s="100"/>
    </row>
    <row r="171">
      <c r="C171" s="100"/>
      <c r="E171" s="100"/>
      <c r="I171" s="100"/>
    </row>
    <row r="172">
      <c r="C172" s="100"/>
      <c r="E172" s="100"/>
      <c r="I172" s="100"/>
    </row>
    <row r="173">
      <c r="C173" s="100"/>
      <c r="E173" s="100"/>
      <c r="I173" s="100"/>
    </row>
    <row r="174">
      <c r="C174" s="100"/>
      <c r="E174" s="100"/>
      <c r="I174" s="100"/>
    </row>
    <row r="175">
      <c r="C175" s="100"/>
      <c r="E175" s="100"/>
      <c r="I175" s="100"/>
    </row>
    <row r="176">
      <c r="C176" s="100"/>
      <c r="E176" s="100"/>
      <c r="I176" s="100"/>
    </row>
    <row r="177">
      <c r="C177" s="100"/>
      <c r="E177" s="100"/>
      <c r="I177" s="100"/>
    </row>
    <row r="178">
      <c r="C178" s="100"/>
      <c r="E178" s="100"/>
      <c r="I178" s="100"/>
    </row>
    <row r="179">
      <c r="C179" s="100"/>
      <c r="E179" s="100"/>
      <c r="I179" s="100"/>
    </row>
    <row r="180">
      <c r="C180" s="100"/>
      <c r="E180" s="100"/>
      <c r="I180" s="100"/>
    </row>
    <row r="181">
      <c r="C181" s="100"/>
      <c r="E181" s="100"/>
      <c r="I181" s="100"/>
    </row>
    <row r="182">
      <c r="C182" s="100"/>
      <c r="E182" s="100"/>
      <c r="I182" s="100"/>
    </row>
    <row r="183">
      <c r="C183" s="100"/>
      <c r="E183" s="100"/>
      <c r="I183" s="100"/>
    </row>
    <row r="184">
      <c r="C184" s="100"/>
      <c r="E184" s="100"/>
      <c r="I184" s="100"/>
    </row>
    <row r="185">
      <c r="C185" s="100"/>
      <c r="E185" s="100"/>
      <c r="I185" s="100"/>
    </row>
    <row r="186">
      <c r="C186" s="100"/>
      <c r="E186" s="100"/>
      <c r="I186" s="100"/>
    </row>
    <row r="187">
      <c r="C187" s="100"/>
      <c r="E187" s="100"/>
      <c r="I187" s="100"/>
    </row>
    <row r="188">
      <c r="C188" s="100"/>
      <c r="E188" s="100"/>
      <c r="I188" s="100"/>
    </row>
    <row r="189">
      <c r="C189" s="100"/>
      <c r="E189" s="100"/>
      <c r="I189" s="100"/>
    </row>
    <row r="190">
      <c r="C190" s="100"/>
      <c r="E190" s="100"/>
      <c r="I190" s="100"/>
    </row>
    <row r="191">
      <c r="C191" s="100"/>
      <c r="E191" s="100"/>
      <c r="I191" s="100"/>
    </row>
    <row r="192">
      <c r="C192" s="100"/>
      <c r="E192" s="100"/>
      <c r="I192" s="100"/>
    </row>
    <row r="193">
      <c r="C193" s="100"/>
      <c r="E193" s="100"/>
      <c r="I193" s="100"/>
    </row>
    <row r="194">
      <c r="C194" s="100"/>
      <c r="E194" s="100"/>
      <c r="I194" s="100"/>
    </row>
    <row r="195">
      <c r="C195" s="100"/>
      <c r="E195" s="100"/>
      <c r="I195" s="100"/>
    </row>
    <row r="196">
      <c r="C196" s="100"/>
      <c r="E196" s="100"/>
      <c r="I196" s="100"/>
    </row>
    <row r="197">
      <c r="C197" s="100"/>
      <c r="E197" s="100"/>
      <c r="I197" s="100"/>
    </row>
    <row r="198">
      <c r="C198" s="100"/>
      <c r="E198" s="100"/>
      <c r="I198" s="100"/>
    </row>
    <row r="199">
      <c r="C199" s="100"/>
      <c r="E199" s="100"/>
      <c r="I199" s="100"/>
    </row>
    <row r="200">
      <c r="C200" s="100"/>
      <c r="E200" s="100"/>
      <c r="I200" s="100"/>
    </row>
    <row r="201">
      <c r="C201" s="100"/>
      <c r="E201" s="100"/>
      <c r="I201" s="100"/>
    </row>
    <row r="202">
      <c r="C202" s="100"/>
      <c r="E202" s="100"/>
      <c r="I202" s="100"/>
    </row>
    <row r="203">
      <c r="C203" s="100"/>
      <c r="E203" s="100"/>
      <c r="I203" s="100"/>
    </row>
    <row r="204">
      <c r="C204" s="100"/>
      <c r="E204" s="100"/>
      <c r="I204" s="100"/>
    </row>
    <row r="205">
      <c r="C205" s="100"/>
      <c r="E205" s="100"/>
      <c r="I205" s="100"/>
    </row>
    <row r="206">
      <c r="C206" s="100"/>
      <c r="E206" s="100"/>
      <c r="I206" s="100"/>
    </row>
    <row r="207">
      <c r="C207" s="100"/>
      <c r="E207" s="100"/>
      <c r="I207" s="100"/>
    </row>
    <row r="208">
      <c r="C208" s="100"/>
      <c r="E208" s="100"/>
      <c r="I208" s="100"/>
    </row>
    <row r="209">
      <c r="C209" s="100"/>
      <c r="E209" s="100"/>
      <c r="I209" s="100"/>
    </row>
    <row r="210">
      <c r="C210" s="100"/>
      <c r="E210" s="100"/>
      <c r="I210" s="100"/>
    </row>
    <row r="211">
      <c r="C211" s="100"/>
      <c r="E211" s="100"/>
      <c r="I211" s="100"/>
    </row>
    <row r="212">
      <c r="C212" s="100"/>
      <c r="E212" s="100"/>
      <c r="I212" s="100"/>
    </row>
    <row r="213">
      <c r="C213" s="100"/>
      <c r="E213" s="100"/>
      <c r="I213" s="100"/>
    </row>
    <row r="214">
      <c r="C214" s="100"/>
      <c r="E214" s="100"/>
      <c r="I214" s="100"/>
    </row>
    <row r="215">
      <c r="C215" s="100"/>
      <c r="E215" s="100"/>
      <c r="I215" s="100"/>
    </row>
    <row r="216">
      <c r="C216" s="100"/>
      <c r="E216" s="100"/>
      <c r="I216" s="100"/>
    </row>
    <row r="217">
      <c r="C217" s="100"/>
      <c r="E217" s="100"/>
      <c r="I217" s="100"/>
    </row>
    <row r="218">
      <c r="C218" s="100"/>
      <c r="E218" s="100"/>
      <c r="I218" s="100"/>
    </row>
    <row r="219">
      <c r="C219" s="100"/>
      <c r="E219" s="100"/>
      <c r="I219" s="100"/>
    </row>
    <row r="220">
      <c r="C220" s="100"/>
      <c r="E220" s="100"/>
      <c r="I220" s="100"/>
    </row>
    <row r="221">
      <c r="C221" s="100"/>
      <c r="E221" s="100"/>
      <c r="I221" s="100"/>
    </row>
    <row r="222">
      <c r="C222" s="100"/>
      <c r="E222" s="100"/>
      <c r="I222" s="100"/>
    </row>
    <row r="223">
      <c r="C223" s="100"/>
      <c r="E223" s="100"/>
      <c r="I223" s="100"/>
    </row>
    <row r="224">
      <c r="C224" s="100"/>
      <c r="E224" s="100"/>
      <c r="I224" s="100"/>
    </row>
    <row r="225">
      <c r="C225" s="100"/>
      <c r="E225" s="100"/>
      <c r="I225" s="100"/>
    </row>
    <row r="226">
      <c r="C226" s="100"/>
      <c r="E226" s="100"/>
      <c r="I226" s="100"/>
    </row>
    <row r="227">
      <c r="C227" s="100"/>
      <c r="E227" s="100"/>
      <c r="I227" s="100"/>
    </row>
    <row r="228">
      <c r="C228" s="100"/>
      <c r="E228" s="100"/>
      <c r="I228" s="100"/>
    </row>
    <row r="229">
      <c r="C229" s="100"/>
      <c r="E229" s="100"/>
      <c r="I229" s="100"/>
    </row>
    <row r="230">
      <c r="C230" s="100"/>
      <c r="E230" s="100"/>
      <c r="I230" s="100"/>
    </row>
    <row r="231">
      <c r="C231" s="100"/>
      <c r="E231" s="100"/>
      <c r="I231" s="100"/>
    </row>
    <row r="232">
      <c r="C232" s="100"/>
      <c r="E232" s="100"/>
      <c r="I232" s="100"/>
    </row>
    <row r="233">
      <c r="C233" s="100"/>
      <c r="E233" s="100"/>
      <c r="I233" s="100"/>
    </row>
    <row r="234">
      <c r="C234" s="100"/>
      <c r="E234" s="100"/>
      <c r="I234" s="100"/>
    </row>
    <row r="235">
      <c r="C235" s="100"/>
      <c r="E235" s="100"/>
      <c r="I235" s="100"/>
    </row>
    <row r="236">
      <c r="C236" s="100"/>
      <c r="E236" s="100"/>
      <c r="I236" s="100"/>
    </row>
    <row r="237">
      <c r="C237" s="100"/>
      <c r="E237" s="100"/>
      <c r="I237" s="100"/>
    </row>
    <row r="238">
      <c r="C238" s="100"/>
      <c r="E238" s="100"/>
      <c r="I238" s="100"/>
    </row>
    <row r="239">
      <c r="C239" s="100"/>
      <c r="E239" s="100"/>
      <c r="I239" s="100"/>
    </row>
    <row r="240">
      <c r="C240" s="100"/>
      <c r="E240" s="100"/>
      <c r="I240" s="100"/>
    </row>
    <row r="241">
      <c r="C241" s="100"/>
      <c r="E241" s="100"/>
      <c r="I241" s="100"/>
    </row>
    <row r="242">
      <c r="C242" s="100"/>
      <c r="E242" s="100"/>
      <c r="I242" s="100"/>
    </row>
    <row r="243">
      <c r="C243" s="100"/>
      <c r="E243" s="100"/>
      <c r="I243" s="100"/>
    </row>
    <row r="244">
      <c r="C244" s="100"/>
      <c r="E244" s="100"/>
      <c r="I244" s="100"/>
    </row>
    <row r="245">
      <c r="C245" s="100"/>
      <c r="E245" s="100"/>
      <c r="I245" s="100"/>
    </row>
    <row r="246">
      <c r="C246" s="100"/>
      <c r="E246" s="100"/>
      <c r="I246" s="100"/>
    </row>
    <row r="247">
      <c r="C247" s="100"/>
      <c r="E247" s="100"/>
      <c r="I247" s="100"/>
    </row>
    <row r="248">
      <c r="C248" s="100"/>
      <c r="E248" s="100"/>
      <c r="I248" s="100"/>
    </row>
    <row r="249">
      <c r="C249" s="100"/>
      <c r="E249" s="100"/>
      <c r="I249" s="100"/>
    </row>
    <row r="250">
      <c r="C250" s="100"/>
      <c r="E250" s="100"/>
      <c r="I250" s="100"/>
    </row>
    <row r="251">
      <c r="C251" s="100"/>
      <c r="E251" s="100"/>
      <c r="I251" s="100"/>
    </row>
    <row r="252">
      <c r="C252" s="100"/>
      <c r="E252" s="100"/>
      <c r="I252" s="100"/>
    </row>
    <row r="253">
      <c r="C253" s="100"/>
      <c r="E253" s="100"/>
      <c r="I253" s="100"/>
    </row>
    <row r="254">
      <c r="C254" s="100"/>
      <c r="E254" s="100"/>
      <c r="I254" s="100"/>
    </row>
    <row r="255">
      <c r="C255" s="100"/>
      <c r="E255" s="100"/>
      <c r="I255" s="100"/>
    </row>
    <row r="256">
      <c r="C256" s="100"/>
      <c r="E256" s="100"/>
      <c r="I256" s="100"/>
    </row>
    <row r="257">
      <c r="C257" s="100"/>
      <c r="E257" s="100"/>
      <c r="I257" s="100"/>
    </row>
    <row r="258">
      <c r="C258" s="100"/>
      <c r="E258" s="100"/>
      <c r="I258" s="100"/>
    </row>
    <row r="259">
      <c r="C259" s="100"/>
      <c r="E259" s="100"/>
      <c r="I259" s="100"/>
    </row>
    <row r="260">
      <c r="C260" s="100"/>
      <c r="E260" s="100"/>
      <c r="I260" s="100"/>
    </row>
    <row r="261">
      <c r="C261" s="100"/>
      <c r="E261" s="100"/>
      <c r="I261" s="100"/>
    </row>
    <row r="262">
      <c r="C262" s="100"/>
      <c r="E262" s="100"/>
      <c r="I262" s="100"/>
    </row>
    <row r="263">
      <c r="C263" s="100"/>
      <c r="E263" s="100"/>
      <c r="I263" s="100"/>
    </row>
    <row r="264">
      <c r="C264" s="100"/>
      <c r="E264" s="100"/>
      <c r="I264" s="100"/>
    </row>
    <row r="265">
      <c r="C265" s="100"/>
      <c r="E265" s="100"/>
      <c r="I265" s="100"/>
    </row>
    <row r="266">
      <c r="C266" s="100"/>
      <c r="E266" s="100"/>
      <c r="I266" s="100"/>
    </row>
    <row r="267">
      <c r="C267" s="100"/>
      <c r="E267" s="100"/>
      <c r="I267" s="100"/>
    </row>
    <row r="268">
      <c r="C268" s="100"/>
      <c r="E268" s="100"/>
      <c r="I268" s="100"/>
    </row>
    <row r="269">
      <c r="C269" s="100"/>
      <c r="E269" s="100"/>
      <c r="I269" s="100"/>
    </row>
    <row r="270">
      <c r="C270" s="100"/>
      <c r="E270" s="100"/>
      <c r="I270" s="100"/>
    </row>
    <row r="271">
      <c r="C271" s="100"/>
      <c r="E271" s="100"/>
      <c r="I271" s="100"/>
    </row>
    <row r="272">
      <c r="C272" s="100"/>
      <c r="E272" s="100"/>
      <c r="I272" s="100"/>
    </row>
    <row r="273">
      <c r="C273" s="100"/>
      <c r="E273" s="100"/>
      <c r="I273" s="100"/>
    </row>
    <row r="274">
      <c r="C274" s="100"/>
      <c r="E274" s="100"/>
      <c r="I274" s="100"/>
    </row>
    <row r="275">
      <c r="C275" s="100"/>
      <c r="E275" s="100"/>
      <c r="I275" s="100"/>
    </row>
    <row r="276">
      <c r="C276" s="100"/>
      <c r="E276" s="100"/>
      <c r="I276" s="100"/>
    </row>
    <row r="277">
      <c r="C277" s="100"/>
      <c r="E277" s="100"/>
      <c r="I277" s="100"/>
    </row>
    <row r="278">
      <c r="C278" s="100"/>
      <c r="E278" s="100"/>
      <c r="I278" s="100"/>
    </row>
    <row r="279">
      <c r="C279" s="100"/>
      <c r="E279" s="100"/>
      <c r="I279" s="100"/>
    </row>
    <row r="280">
      <c r="C280" s="100"/>
      <c r="E280" s="100"/>
      <c r="I280" s="100"/>
    </row>
    <row r="281">
      <c r="C281" s="100"/>
      <c r="E281" s="100"/>
      <c r="I281" s="100"/>
    </row>
    <row r="282">
      <c r="C282" s="100"/>
      <c r="E282" s="100"/>
      <c r="I282" s="100"/>
    </row>
    <row r="283">
      <c r="C283" s="100"/>
      <c r="E283" s="100"/>
      <c r="I283" s="100"/>
    </row>
    <row r="284">
      <c r="C284" s="100"/>
      <c r="E284" s="100"/>
      <c r="I284" s="100"/>
    </row>
    <row r="285">
      <c r="C285" s="100"/>
      <c r="E285" s="100"/>
      <c r="I285" s="100"/>
    </row>
    <row r="286">
      <c r="C286" s="100"/>
      <c r="E286" s="100"/>
      <c r="I286" s="100"/>
    </row>
    <row r="287">
      <c r="C287" s="100"/>
      <c r="E287" s="100"/>
      <c r="I287" s="100"/>
    </row>
    <row r="288">
      <c r="C288" s="100"/>
      <c r="E288" s="100"/>
      <c r="I288" s="100"/>
    </row>
    <row r="289">
      <c r="C289" s="100"/>
      <c r="E289" s="100"/>
      <c r="I289" s="100"/>
    </row>
    <row r="290">
      <c r="C290" s="100"/>
      <c r="E290" s="100"/>
      <c r="I290" s="100"/>
    </row>
    <row r="291">
      <c r="C291" s="100"/>
      <c r="E291" s="100"/>
      <c r="I291" s="100"/>
    </row>
    <row r="292">
      <c r="C292" s="100"/>
      <c r="E292" s="100"/>
      <c r="I292" s="100"/>
    </row>
    <row r="293">
      <c r="C293" s="100"/>
      <c r="E293" s="100"/>
      <c r="I293" s="100"/>
    </row>
    <row r="294">
      <c r="C294" s="100"/>
      <c r="E294" s="100"/>
      <c r="I294" s="100"/>
    </row>
    <row r="295">
      <c r="C295" s="100"/>
      <c r="E295" s="100"/>
      <c r="I295" s="100"/>
    </row>
    <row r="296">
      <c r="C296" s="100"/>
      <c r="E296" s="100"/>
      <c r="I296" s="100"/>
    </row>
    <row r="297">
      <c r="C297" s="100"/>
      <c r="E297" s="100"/>
      <c r="I297" s="100"/>
    </row>
    <row r="298">
      <c r="C298" s="100"/>
      <c r="E298" s="100"/>
      <c r="I298" s="100"/>
    </row>
    <row r="299">
      <c r="C299" s="100"/>
      <c r="E299" s="100"/>
      <c r="I299" s="100"/>
    </row>
    <row r="300">
      <c r="C300" s="100"/>
      <c r="E300" s="100"/>
      <c r="I300" s="100"/>
    </row>
    <row r="301">
      <c r="C301" s="100"/>
      <c r="E301" s="100"/>
      <c r="I301" s="100"/>
    </row>
    <row r="302">
      <c r="C302" s="100"/>
      <c r="E302" s="100"/>
      <c r="I302" s="100"/>
    </row>
    <row r="303">
      <c r="C303" s="100"/>
      <c r="E303" s="100"/>
      <c r="I303" s="100"/>
    </row>
    <row r="304">
      <c r="C304" s="100"/>
      <c r="E304" s="100"/>
      <c r="I304" s="100"/>
    </row>
    <row r="305">
      <c r="C305" s="100"/>
      <c r="E305" s="100"/>
      <c r="I305" s="100"/>
    </row>
    <row r="306">
      <c r="C306" s="100"/>
      <c r="E306" s="100"/>
      <c r="I306" s="100"/>
    </row>
    <row r="307">
      <c r="C307" s="100"/>
      <c r="E307" s="100"/>
      <c r="I307" s="100"/>
    </row>
    <row r="308">
      <c r="C308" s="100"/>
      <c r="E308" s="100"/>
      <c r="I308" s="100"/>
    </row>
    <row r="309">
      <c r="C309" s="100"/>
      <c r="E309" s="100"/>
      <c r="I309" s="100"/>
    </row>
    <row r="310">
      <c r="C310" s="100"/>
      <c r="E310" s="100"/>
      <c r="I310" s="100"/>
    </row>
    <row r="311">
      <c r="C311" s="100"/>
      <c r="E311" s="100"/>
      <c r="I311" s="100"/>
    </row>
    <row r="312">
      <c r="C312" s="100"/>
      <c r="E312" s="100"/>
      <c r="I312" s="100"/>
    </row>
    <row r="313">
      <c r="C313" s="100"/>
      <c r="E313" s="100"/>
      <c r="I313" s="100"/>
    </row>
    <row r="314">
      <c r="C314" s="100"/>
      <c r="E314" s="100"/>
      <c r="I314" s="100"/>
    </row>
    <row r="315">
      <c r="C315" s="100"/>
      <c r="E315" s="100"/>
      <c r="I315" s="100"/>
    </row>
    <row r="316">
      <c r="C316" s="100"/>
      <c r="E316" s="100"/>
      <c r="I316" s="100"/>
    </row>
    <row r="317">
      <c r="C317" s="100"/>
      <c r="E317" s="100"/>
      <c r="I317" s="100"/>
    </row>
    <row r="318">
      <c r="C318" s="100"/>
      <c r="E318" s="100"/>
      <c r="I318" s="100"/>
    </row>
    <row r="319">
      <c r="C319" s="100"/>
      <c r="E319" s="100"/>
      <c r="I319" s="100"/>
    </row>
    <row r="320">
      <c r="C320" s="100"/>
      <c r="E320" s="100"/>
      <c r="I320" s="100"/>
    </row>
    <row r="321">
      <c r="C321" s="100"/>
      <c r="E321" s="100"/>
      <c r="I321" s="100"/>
    </row>
    <row r="322">
      <c r="C322" s="100"/>
      <c r="E322" s="100"/>
      <c r="I322" s="100"/>
    </row>
    <row r="323">
      <c r="C323" s="100"/>
      <c r="E323" s="100"/>
      <c r="I323" s="100"/>
    </row>
    <row r="324">
      <c r="C324" s="100"/>
      <c r="E324" s="100"/>
      <c r="I324" s="100"/>
    </row>
    <row r="325">
      <c r="C325" s="100"/>
      <c r="E325" s="100"/>
      <c r="I325" s="100"/>
    </row>
    <row r="326">
      <c r="C326" s="100"/>
      <c r="E326" s="100"/>
      <c r="I326" s="100"/>
    </row>
    <row r="327">
      <c r="C327" s="100"/>
      <c r="E327" s="100"/>
      <c r="I327" s="100"/>
    </row>
    <row r="328">
      <c r="C328" s="100"/>
      <c r="E328" s="100"/>
      <c r="I328" s="100"/>
    </row>
    <row r="329">
      <c r="C329" s="100"/>
      <c r="E329" s="100"/>
      <c r="I329" s="100"/>
    </row>
    <row r="330">
      <c r="C330" s="100"/>
      <c r="E330" s="100"/>
      <c r="I330" s="100"/>
    </row>
    <row r="331">
      <c r="C331" s="100"/>
      <c r="E331" s="100"/>
      <c r="I331" s="100"/>
    </row>
    <row r="332">
      <c r="C332" s="100"/>
      <c r="E332" s="100"/>
      <c r="I332" s="100"/>
    </row>
    <row r="333">
      <c r="C333" s="100"/>
      <c r="E333" s="100"/>
      <c r="I333" s="100"/>
    </row>
    <row r="334">
      <c r="C334" s="100"/>
      <c r="E334" s="100"/>
      <c r="I334" s="100"/>
    </row>
    <row r="335">
      <c r="C335" s="100"/>
      <c r="E335" s="100"/>
      <c r="I335" s="100"/>
    </row>
    <row r="336">
      <c r="C336" s="100"/>
      <c r="E336" s="100"/>
      <c r="I336" s="100"/>
    </row>
    <row r="337">
      <c r="C337" s="100"/>
      <c r="E337" s="100"/>
      <c r="I337" s="100"/>
    </row>
    <row r="338">
      <c r="C338" s="100"/>
      <c r="E338" s="100"/>
      <c r="I338" s="100"/>
    </row>
    <row r="339">
      <c r="C339" s="100"/>
      <c r="E339" s="100"/>
      <c r="I339" s="100"/>
    </row>
    <row r="340">
      <c r="C340" s="100"/>
      <c r="E340" s="100"/>
      <c r="I340" s="100"/>
    </row>
    <row r="341">
      <c r="C341" s="100"/>
      <c r="E341" s="100"/>
      <c r="I341" s="100"/>
    </row>
    <row r="342">
      <c r="C342" s="100"/>
      <c r="E342" s="100"/>
      <c r="I342" s="100"/>
    </row>
    <row r="343">
      <c r="C343" s="100"/>
      <c r="E343" s="100"/>
      <c r="I343" s="100"/>
    </row>
    <row r="344">
      <c r="C344" s="100"/>
      <c r="E344" s="100"/>
      <c r="I344" s="100"/>
    </row>
    <row r="345">
      <c r="C345" s="100"/>
      <c r="E345" s="100"/>
      <c r="I345" s="100"/>
    </row>
    <row r="346">
      <c r="C346" s="100"/>
      <c r="E346" s="100"/>
      <c r="I346" s="100"/>
    </row>
    <row r="347">
      <c r="C347" s="100"/>
      <c r="E347" s="100"/>
      <c r="I347" s="100"/>
    </row>
    <row r="348">
      <c r="C348" s="100"/>
      <c r="E348" s="100"/>
      <c r="I348" s="100"/>
    </row>
    <row r="349">
      <c r="C349" s="100"/>
      <c r="E349" s="100"/>
      <c r="I349" s="100"/>
    </row>
    <row r="350">
      <c r="C350" s="100"/>
      <c r="E350" s="100"/>
      <c r="I350" s="100"/>
    </row>
    <row r="351">
      <c r="C351" s="100"/>
      <c r="E351" s="100"/>
      <c r="I351" s="100"/>
    </row>
    <row r="352">
      <c r="C352" s="100"/>
      <c r="E352" s="100"/>
      <c r="I352" s="100"/>
    </row>
    <row r="353">
      <c r="C353" s="100"/>
      <c r="E353" s="100"/>
      <c r="I353" s="100"/>
    </row>
    <row r="354">
      <c r="C354" s="100"/>
      <c r="E354" s="100"/>
      <c r="I354" s="100"/>
    </row>
    <row r="355">
      <c r="C355" s="100"/>
      <c r="E355" s="100"/>
      <c r="I355" s="100"/>
    </row>
    <row r="356">
      <c r="C356" s="100"/>
      <c r="E356" s="100"/>
      <c r="I356" s="100"/>
    </row>
    <row r="357">
      <c r="C357" s="100"/>
      <c r="E357" s="100"/>
      <c r="I357" s="100"/>
    </row>
    <row r="358">
      <c r="C358" s="100"/>
      <c r="E358" s="100"/>
      <c r="I358" s="100"/>
    </row>
    <row r="359">
      <c r="C359" s="100"/>
      <c r="E359" s="100"/>
      <c r="I359" s="100"/>
    </row>
    <row r="360">
      <c r="C360" s="100"/>
      <c r="E360" s="100"/>
      <c r="I360" s="100"/>
    </row>
    <row r="361">
      <c r="C361" s="100"/>
      <c r="E361" s="100"/>
      <c r="I361" s="100"/>
    </row>
    <row r="362">
      <c r="C362" s="100"/>
      <c r="E362" s="100"/>
      <c r="I362" s="100"/>
    </row>
    <row r="363">
      <c r="C363" s="100"/>
      <c r="E363" s="100"/>
      <c r="I363" s="100"/>
    </row>
    <row r="364">
      <c r="C364" s="100"/>
      <c r="E364" s="100"/>
      <c r="I364" s="100"/>
    </row>
    <row r="365">
      <c r="C365" s="100"/>
      <c r="E365" s="100"/>
      <c r="I365" s="100"/>
    </row>
    <row r="366">
      <c r="C366" s="100"/>
      <c r="E366" s="100"/>
      <c r="I366" s="100"/>
    </row>
    <row r="367">
      <c r="C367" s="100"/>
      <c r="E367" s="100"/>
      <c r="I367" s="100"/>
    </row>
    <row r="368">
      <c r="C368" s="100"/>
      <c r="E368" s="100"/>
      <c r="I368" s="100"/>
    </row>
    <row r="369">
      <c r="C369" s="100"/>
      <c r="E369" s="100"/>
      <c r="I369" s="100"/>
    </row>
    <row r="370">
      <c r="C370" s="100"/>
      <c r="E370" s="100"/>
      <c r="I370" s="100"/>
    </row>
    <row r="371">
      <c r="C371" s="100"/>
      <c r="E371" s="100"/>
      <c r="I371" s="100"/>
    </row>
    <row r="372">
      <c r="C372" s="100"/>
      <c r="E372" s="100"/>
      <c r="I372" s="100"/>
    </row>
    <row r="373">
      <c r="C373" s="100"/>
      <c r="E373" s="100"/>
      <c r="I373" s="100"/>
    </row>
    <row r="374">
      <c r="C374" s="100"/>
      <c r="E374" s="100"/>
      <c r="I374" s="100"/>
    </row>
    <row r="375">
      <c r="C375" s="100"/>
      <c r="E375" s="100"/>
      <c r="I375" s="100"/>
    </row>
    <row r="376">
      <c r="C376" s="100"/>
      <c r="E376" s="100"/>
      <c r="I376" s="100"/>
    </row>
    <row r="377">
      <c r="C377" s="100"/>
      <c r="E377" s="100"/>
      <c r="I377" s="100"/>
    </row>
    <row r="378">
      <c r="C378" s="100"/>
      <c r="E378" s="100"/>
      <c r="I378" s="100"/>
    </row>
    <row r="379">
      <c r="C379" s="100"/>
      <c r="E379" s="100"/>
      <c r="I379" s="100"/>
    </row>
    <row r="380">
      <c r="C380" s="100"/>
      <c r="E380" s="100"/>
      <c r="I380" s="100"/>
    </row>
    <row r="381">
      <c r="C381" s="100"/>
      <c r="E381" s="100"/>
      <c r="I381" s="100"/>
    </row>
    <row r="382">
      <c r="C382" s="100"/>
      <c r="E382" s="100"/>
      <c r="I382" s="100"/>
    </row>
    <row r="383">
      <c r="C383" s="100"/>
      <c r="E383" s="100"/>
      <c r="I383" s="100"/>
    </row>
    <row r="384">
      <c r="C384" s="100"/>
      <c r="E384" s="100"/>
      <c r="I384" s="100"/>
    </row>
    <row r="385">
      <c r="C385" s="100"/>
      <c r="E385" s="100"/>
      <c r="I385" s="100"/>
    </row>
    <row r="386">
      <c r="C386" s="100"/>
      <c r="E386" s="100"/>
      <c r="I386" s="100"/>
    </row>
    <row r="387">
      <c r="C387" s="100"/>
      <c r="E387" s="100"/>
      <c r="I387" s="100"/>
    </row>
    <row r="388">
      <c r="C388" s="100"/>
      <c r="E388" s="100"/>
      <c r="I388" s="100"/>
    </row>
    <row r="389">
      <c r="C389" s="100"/>
      <c r="E389" s="100"/>
      <c r="I389" s="100"/>
    </row>
    <row r="390">
      <c r="C390" s="100"/>
      <c r="E390" s="100"/>
      <c r="I390" s="100"/>
    </row>
    <row r="391">
      <c r="C391" s="100"/>
      <c r="E391" s="100"/>
      <c r="I391" s="100"/>
    </row>
    <row r="392">
      <c r="C392" s="100"/>
      <c r="E392" s="100"/>
      <c r="I392" s="100"/>
    </row>
    <row r="393">
      <c r="C393" s="100"/>
      <c r="E393" s="100"/>
      <c r="I393" s="100"/>
    </row>
    <row r="394">
      <c r="C394" s="100"/>
      <c r="E394" s="100"/>
      <c r="I394" s="100"/>
    </row>
    <row r="395">
      <c r="C395" s="100"/>
      <c r="E395" s="100"/>
      <c r="I395" s="100"/>
    </row>
    <row r="396">
      <c r="C396" s="100"/>
      <c r="E396" s="100"/>
      <c r="I396" s="100"/>
    </row>
    <row r="397">
      <c r="C397" s="100"/>
      <c r="E397" s="100"/>
      <c r="I397" s="100"/>
    </row>
    <row r="398">
      <c r="C398" s="100"/>
      <c r="E398" s="100"/>
      <c r="I398" s="100"/>
    </row>
    <row r="399">
      <c r="C399" s="100"/>
      <c r="E399" s="100"/>
      <c r="I399" s="100"/>
    </row>
    <row r="400">
      <c r="C400" s="100"/>
      <c r="E400" s="100"/>
      <c r="I400" s="100"/>
    </row>
    <row r="401">
      <c r="C401" s="100"/>
      <c r="E401" s="100"/>
      <c r="I401" s="100"/>
    </row>
    <row r="402">
      <c r="C402" s="100"/>
      <c r="E402" s="100"/>
      <c r="I402" s="100"/>
    </row>
    <row r="403">
      <c r="C403" s="100"/>
      <c r="E403" s="100"/>
      <c r="I403" s="100"/>
    </row>
    <row r="404">
      <c r="C404" s="100"/>
      <c r="E404" s="100"/>
      <c r="I404" s="100"/>
    </row>
    <row r="405">
      <c r="C405" s="100"/>
      <c r="E405" s="100"/>
      <c r="I405" s="100"/>
    </row>
    <row r="406">
      <c r="C406" s="100"/>
      <c r="E406" s="100"/>
      <c r="I406" s="100"/>
    </row>
    <row r="407">
      <c r="C407" s="100"/>
      <c r="E407" s="100"/>
      <c r="I407" s="100"/>
    </row>
    <row r="408">
      <c r="C408" s="100"/>
      <c r="E408" s="100"/>
      <c r="I408" s="100"/>
    </row>
    <row r="409">
      <c r="C409" s="100"/>
      <c r="E409" s="100"/>
      <c r="I409" s="100"/>
    </row>
    <row r="410">
      <c r="C410" s="100"/>
      <c r="E410" s="100"/>
      <c r="I410" s="100"/>
    </row>
    <row r="411">
      <c r="C411" s="100"/>
      <c r="E411" s="100"/>
      <c r="I411" s="100"/>
    </row>
    <row r="412">
      <c r="C412" s="100"/>
      <c r="E412" s="100"/>
      <c r="I412" s="100"/>
    </row>
    <row r="413">
      <c r="C413" s="100"/>
      <c r="E413" s="100"/>
      <c r="I413" s="100"/>
    </row>
    <row r="414">
      <c r="C414" s="100"/>
      <c r="E414" s="100"/>
      <c r="I414" s="100"/>
    </row>
    <row r="415">
      <c r="C415" s="100"/>
      <c r="E415" s="100"/>
      <c r="I415" s="100"/>
    </row>
    <row r="416">
      <c r="C416" s="100"/>
      <c r="E416" s="100"/>
      <c r="I416" s="100"/>
    </row>
    <row r="417">
      <c r="C417" s="100"/>
      <c r="E417" s="100"/>
      <c r="I417" s="100"/>
    </row>
    <row r="418">
      <c r="C418" s="100"/>
      <c r="E418" s="100"/>
      <c r="I418" s="100"/>
    </row>
    <row r="419">
      <c r="C419" s="100"/>
      <c r="E419" s="100"/>
      <c r="I419" s="100"/>
    </row>
    <row r="420">
      <c r="C420" s="100"/>
      <c r="E420" s="100"/>
      <c r="I420" s="100"/>
    </row>
    <row r="421">
      <c r="C421" s="100"/>
      <c r="E421" s="100"/>
      <c r="I421" s="100"/>
    </row>
    <row r="422">
      <c r="C422" s="100"/>
      <c r="E422" s="100"/>
      <c r="I422" s="100"/>
    </row>
    <row r="423">
      <c r="C423" s="100"/>
      <c r="E423" s="100"/>
      <c r="I423" s="100"/>
    </row>
    <row r="424">
      <c r="C424" s="100"/>
      <c r="E424" s="100"/>
      <c r="I424" s="100"/>
    </row>
    <row r="425">
      <c r="C425" s="100"/>
      <c r="E425" s="100"/>
      <c r="I425" s="100"/>
    </row>
    <row r="426">
      <c r="C426" s="100"/>
      <c r="E426" s="100"/>
      <c r="I426" s="100"/>
    </row>
    <row r="427">
      <c r="C427" s="100"/>
      <c r="E427" s="100"/>
      <c r="I427" s="100"/>
    </row>
    <row r="428">
      <c r="C428" s="100"/>
      <c r="E428" s="100"/>
      <c r="I428" s="100"/>
    </row>
    <row r="429">
      <c r="C429" s="100"/>
      <c r="E429" s="100"/>
      <c r="I429" s="100"/>
    </row>
    <row r="430">
      <c r="C430" s="100"/>
      <c r="E430" s="100"/>
      <c r="I430" s="100"/>
    </row>
    <row r="431">
      <c r="C431" s="100"/>
      <c r="E431" s="100"/>
      <c r="I431" s="100"/>
    </row>
    <row r="432">
      <c r="C432" s="100"/>
      <c r="E432" s="100"/>
      <c r="I432" s="100"/>
    </row>
    <row r="433">
      <c r="C433" s="100"/>
      <c r="E433" s="100"/>
      <c r="I433" s="100"/>
    </row>
    <row r="434">
      <c r="C434" s="100"/>
      <c r="E434" s="100"/>
      <c r="I434" s="100"/>
    </row>
    <row r="435">
      <c r="C435" s="100"/>
      <c r="E435" s="100"/>
      <c r="I435" s="100"/>
    </row>
    <row r="436">
      <c r="C436" s="100"/>
      <c r="E436" s="100"/>
      <c r="I436" s="100"/>
    </row>
    <row r="437">
      <c r="C437" s="100"/>
      <c r="E437" s="100"/>
      <c r="I437" s="100"/>
    </row>
    <row r="438">
      <c r="C438" s="100"/>
      <c r="E438" s="100"/>
      <c r="I438" s="100"/>
    </row>
    <row r="439">
      <c r="C439" s="100"/>
      <c r="E439" s="100"/>
      <c r="I439" s="100"/>
    </row>
    <row r="440">
      <c r="C440" s="100"/>
      <c r="E440" s="100"/>
      <c r="I440" s="100"/>
    </row>
    <row r="441">
      <c r="C441" s="100"/>
      <c r="E441" s="100"/>
      <c r="I441" s="100"/>
    </row>
    <row r="442">
      <c r="C442" s="100"/>
      <c r="E442" s="100"/>
      <c r="I442" s="100"/>
    </row>
    <row r="443">
      <c r="C443" s="100"/>
      <c r="E443" s="100"/>
      <c r="I443" s="100"/>
    </row>
    <row r="444">
      <c r="C444" s="100"/>
      <c r="E444" s="100"/>
      <c r="I444" s="100"/>
    </row>
    <row r="445">
      <c r="C445" s="100"/>
      <c r="E445" s="100"/>
      <c r="I445" s="100"/>
    </row>
    <row r="446">
      <c r="C446" s="100"/>
      <c r="E446" s="100"/>
      <c r="I446" s="100"/>
    </row>
    <row r="447">
      <c r="C447" s="100"/>
      <c r="E447" s="100"/>
      <c r="I447" s="100"/>
    </row>
    <row r="448">
      <c r="C448" s="100"/>
      <c r="E448" s="100"/>
      <c r="I448" s="100"/>
    </row>
    <row r="449">
      <c r="C449" s="100"/>
      <c r="E449" s="100"/>
      <c r="I449" s="100"/>
    </row>
    <row r="450">
      <c r="C450" s="100"/>
      <c r="E450" s="100"/>
      <c r="I450" s="100"/>
    </row>
    <row r="451">
      <c r="C451" s="100"/>
      <c r="E451" s="100"/>
      <c r="I451" s="100"/>
    </row>
    <row r="452">
      <c r="C452" s="100"/>
      <c r="E452" s="100"/>
      <c r="I452" s="100"/>
    </row>
    <row r="453">
      <c r="C453" s="100"/>
      <c r="E453" s="100"/>
      <c r="I453" s="100"/>
    </row>
    <row r="454">
      <c r="C454" s="100"/>
      <c r="E454" s="100"/>
      <c r="I454" s="100"/>
    </row>
    <row r="455">
      <c r="C455" s="100"/>
      <c r="E455" s="100"/>
      <c r="I455" s="100"/>
    </row>
    <row r="456">
      <c r="C456" s="100"/>
      <c r="E456" s="100"/>
      <c r="I456" s="100"/>
    </row>
    <row r="457">
      <c r="C457" s="100"/>
      <c r="E457" s="100"/>
      <c r="I457" s="100"/>
    </row>
    <row r="458">
      <c r="C458" s="100"/>
      <c r="E458" s="100"/>
      <c r="I458" s="100"/>
    </row>
    <row r="459">
      <c r="C459" s="100"/>
      <c r="E459" s="100"/>
      <c r="I459" s="100"/>
    </row>
    <row r="460">
      <c r="C460" s="100"/>
      <c r="E460" s="100"/>
      <c r="I460" s="100"/>
    </row>
    <row r="461">
      <c r="C461" s="100"/>
      <c r="E461" s="100"/>
      <c r="I461" s="100"/>
    </row>
    <row r="462">
      <c r="C462" s="100"/>
      <c r="E462" s="100"/>
      <c r="I462" s="100"/>
    </row>
    <row r="463">
      <c r="C463" s="100"/>
      <c r="E463" s="100"/>
      <c r="I463" s="100"/>
    </row>
    <row r="464">
      <c r="C464" s="100"/>
      <c r="E464" s="100"/>
      <c r="I464" s="100"/>
    </row>
    <row r="465">
      <c r="C465" s="100"/>
      <c r="E465" s="100"/>
      <c r="I465" s="100"/>
    </row>
    <row r="466">
      <c r="C466" s="100"/>
      <c r="E466" s="100"/>
      <c r="I466" s="100"/>
    </row>
    <row r="467">
      <c r="C467" s="100"/>
      <c r="E467" s="100"/>
      <c r="I467" s="100"/>
    </row>
    <row r="468">
      <c r="C468" s="100"/>
      <c r="E468" s="100"/>
      <c r="I468" s="100"/>
    </row>
    <row r="469">
      <c r="C469" s="100"/>
      <c r="E469" s="100"/>
      <c r="I469" s="100"/>
    </row>
    <row r="470">
      <c r="C470" s="100"/>
      <c r="E470" s="100"/>
      <c r="I470" s="100"/>
    </row>
    <row r="471">
      <c r="C471" s="100"/>
      <c r="E471" s="100"/>
      <c r="I471" s="100"/>
    </row>
    <row r="472">
      <c r="C472" s="100"/>
      <c r="E472" s="100"/>
      <c r="I472" s="100"/>
    </row>
    <row r="473">
      <c r="C473" s="100"/>
      <c r="E473" s="100"/>
      <c r="I473" s="100"/>
    </row>
    <row r="474">
      <c r="C474" s="100"/>
      <c r="E474" s="100"/>
      <c r="I474" s="100"/>
    </row>
    <row r="475">
      <c r="C475" s="100"/>
      <c r="E475" s="100"/>
      <c r="I475" s="100"/>
    </row>
    <row r="476">
      <c r="C476" s="100"/>
      <c r="E476" s="100"/>
      <c r="I476" s="100"/>
    </row>
    <row r="477">
      <c r="C477" s="100"/>
      <c r="E477" s="100"/>
      <c r="I477" s="100"/>
    </row>
    <row r="478">
      <c r="C478" s="100"/>
      <c r="E478" s="100"/>
      <c r="I478" s="100"/>
    </row>
    <row r="479">
      <c r="C479" s="100"/>
      <c r="E479" s="100"/>
      <c r="I479" s="100"/>
    </row>
    <row r="480">
      <c r="C480" s="100"/>
      <c r="E480" s="100"/>
      <c r="I480" s="100"/>
    </row>
    <row r="481">
      <c r="C481" s="100"/>
      <c r="E481" s="100"/>
      <c r="I481" s="100"/>
    </row>
    <row r="482">
      <c r="C482" s="100"/>
      <c r="E482" s="100"/>
      <c r="I482" s="100"/>
    </row>
    <row r="483">
      <c r="C483" s="100"/>
      <c r="E483" s="100"/>
      <c r="I483" s="100"/>
    </row>
    <row r="484">
      <c r="C484" s="100"/>
      <c r="E484" s="100"/>
      <c r="I484" s="100"/>
    </row>
    <row r="485">
      <c r="C485" s="100"/>
      <c r="E485" s="100"/>
      <c r="I485" s="100"/>
    </row>
    <row r="486">
      <c r="C486" s="100"/>
      <c r="E486" s="100"/>
      <c r="I486" s="100"/>
    </row>
    <row r="487">
      <c r="C487" s="100"/>
      <c r="E487" s="100"/>
      <c r="I487" s="100"/>
    </row>
    <row r="488">
      <c r="C488" s="100"/>
      <c r="E488" s="100"/>
      <c r="I488" s="100"/>
    </row>
    <row r="489">
      <c r="C489" s="100"/>
      <c r="E489" s="100"/>
      <c r="I489" s="100"/>
    </row>
    <row r="490">
      <c r="C490" s="100"/>
      <c r="E490" s="100"/>
      <c r="I490" s="100"/>
    </row>
    <row r="491">
      <c r="C491" s="100"/>
      <c r="E491" s="100"/>
      <c r="I491" s="100"/>
    </row>
    <row r="492">
      <c r="C492" s="100"/>
      <c r="E492" s="100"/>
      <c r="I492" s="100"/>
    </row>
    <row r="493">
      <c r="C493" s="100"/>
      <c r="E493" s="100"/>
      <c r="I493" s="100"/>
    </row>
    <row r="494">
      <c r="C494" s="100"/>
      <c r="E494" s="100"/>
      <c r="I494" s="100"/>
    </row>
    <row r="495">
      <c r="C495" s="100"/>
      <c r="E495" s="100"/>
      <c r="I495" s="100"/>
    </row>
    <row r="496">
      <c r="C496" s="100"/>
      <c r="E496" s="100"/>
      <c r="I496" s="100"/>
    </row>
    <row r="497">
      <c r="C497" s="100"/>
      <c r="E497" s="100"/>
      <c r="I497" s="100"/>
    </row>
    <row r="498">
      <c r="C498" s="100"/>
      <c r="E498" s="100"/>
      <c r="I498" s="100"/>
    </row>
    <row r="499">
      <c r="C499" s="100"/>
      <c r="E499" s="100"/>
      <c r="I499" s="100"/>
    </row>
    <row r="500">
      <c r="C500" s="100"/>
      <c r="E500" s="100"/>
      <c r="I500" s="100"/>
    </row>
    <row r="501">
      <c r="C501" s="100"/>
      <c r="E501" s="100"/>
      <c r="I501" s="100"/>
    </row>
    <row r="502">
      <c r="C502" s="100"/>
      <c r="E502" s="100"/>
      <c r="I502" s="100"/>
    </row>
    <row r="503">
      <c r="C503" s="100"/>
      <c r="E503" s="100"/>
      <c r="I503" s="100"/>
    </row>
    <row r="504">
      <c r="C504" s="100"/>
      <c r="E504" s="100"/>
      <c r="I504" s="100"/>
    </row>
    <row r="505">
      <c r="C505" s="100"/>
      <c r="E505" s="100"/>
      <c r="I505" s="100"/>
    </row>
    <row r="506">
      <c r="C506" s="100"/>
      <c r="E506" s="100"/>
      <c r="I506" s="100"/>
    </row>
    <row r="507">
      <c r="C507" s="100"/>
      <c r="E507" s="100"/>
      <c r="I507" s="100"/>
    </row>
    <row r="508">
      <c r="C508" s="100"/>
      <c r="E508" s="100"/>
      <c r="I508" s="100"/>
    </row>
    <row r="509">
      <c r="C509" s="100"/>
      <c r="E509" s="100"/>
      <c r="I509" s="100"/>
    </row>
    <row r="510">
      <c r="C510" s="100"/>
      <c r="E510" s="100"/>
      <c r="I510" s="100"/>
    </row>
    <row r="511">
      <c r="C511" s="100"/>
      <c r="E511" s="100"/>
      <c r="I511" s="100"/>
    </row>
    <row r="512">
      <c r="C512" s="100"/>
      <c r="E512" s="100"/>
      <c r="I512" s="100"/>
    </row>
    <row r="513">
      <c r="C513" s="100"/>
      <c r="E513" s="100"/>
      <c r="I513" s="100"/>
    </row>
    <row r="514">
      <c r="C514" s="100"/>
      <c r="E514" s="100"/>
      <c r="I514" s="100"/>
    </row>
    <row r="515">
      <c r="C515" s="100"/>
      <c r="E515" s="100"/>
      <c r="I515" s="100"/>
    </row>
    <row r="516">
      <c r="C516" s="100"/>
      <c r="E516" s="100"/>
      <c r="I516" s="100"/>
    </row>
    <row r="517">
      <c r="C517" s="100"/>
      <c r="E517" s="100"/>
      <c r="I517" s="100"/>
    </row>
    <row r="518">
      <c r="C518" s="100"/>
      <c r="E518" s="100"/>
      <c r="I518" s="100"/>
    </row>
    <row r="519">
      <c r="C519" s="100"/>
      <c r="E519" s="100"/>
      <c r="I519" s="100"/>
    </row>
    <row r="520">
      <c r="C520" s="100"/>
      <c r="E520" s="100"/>
      <c r="I520" s="100"/>
    </row>
    <row r="521">
      <c r="C521" s="100"/>
      <c r="E521" s="100"/>
      <c r="I521" s="100"/>
    </row>
    <row r="522">
      <c r="C522" s="100"/>
      <c r="E522" s="100"/>
      <c r="I522" s="100"/>
    </row>
    <row r="523">
      <c r="C523" s="100"/>
      <c r="E523" s="100"/>
      <c r="I523" s="100"/>
    </row>
    <row r="524">
      <c r="C524" s="100"/>
      <c r="E524" s="100"/>
      <c r="I524" s="100"/>
    </row>
    <row r="525">
      <c r="C525" s="100"/>
      <c r="E525" s="100"/>
      <c r="I525" s="100"/>
    </row>
    <row r="526">
      <c r="C526" s="100"/>
      <c r="E526" s="100"/>
      <c r="I526" s="100"/>
    </row>
    <row r="527">
      <c r="C527" s="100"/>
      <c r="E527" s="100"/>
      <c r="I527" s="100"/>
    </row>
    <row r="528">
      <c r="C528" s="100"/>
      <c r="E528" s="100"/>
      <c r="I528" s="100"/>
    </row>
    <row r="529">
      <c r="C529" s="100"/>
      <c r="E529" s="100"/>
      <c r="I529" s="100"/>
    </row>
    <row r="530">
      <c r="C530" s="100"/>
      <c r="E530" s="100"/>
      <c r="I530" s="100"/>
    </row>
    <row r="531">
      <c r="C531" s="100"/>
      <c r="E531" s="100"/>
      <c r="I531" s="100"/>
    </row>
    <row r="532">
      <c r="C532" s="100"/>
      <c r="E532" s="100"/>
      <c r="I532" s="100"/>
    </row>
    <row r="533">
      <c r="C533" s="100"/>
      <c r="E533" s="100"/>
      <c r="I533" s="100"/>
    </row>
    <row r="534">
      <c r="C534" s="100"/>
      <c r="E534" s="100"/>
      <c r="I534" s="100"/>
    </row>
    <row r="535">
      <c r="C535" s="100"/>
      <c r="E535" s="100"/>
      <c r="I535" s="100"/>
    </row>
    <row r="536">
      <c r="C536" s="100"/>
      <c r="E536" s="100"/>
      <c r="I536" s="100"/>
    </row>
    <row r="537">
      <c r="C537" s="100"/>
      <c r="E537" s="100"/>
      <c r="I537" s="100"/>
    </row>
    <row r="538">
      <c r="C538" s="100"/>
      <c r="E538" s="100"/>
      <c r="I538" s="100"/>
    </row>
    <row r="539">
      <c r="C539" s="100"/>
      <c r="E539" s="100"/>
      <c r="I539" s="100"/>
    </row>
    <row r="540">
      <c r="C540" s="100"/>
      <c r="E540" s="100"/>
      <c r="I540" s="100"/>
    </row>
    <row r="541">
      <c r="C541" s="100"/>
      <c r="E541" s="100"/>
      <c r="I541" s="100"/>
    </row>
    <row r="542">
      <c r="C542" s="100"/>
      <c r="E542" s="100"/>
      <c r="I542" s="100"/>
    </row>
    <row r="543">
      <c r="C543" s="100"/>
      <c r="E543" s="100"/>
      <c r="I543" s="100"/>
    </row>
    <row r="544">
      <c r="C544" s="100"/>
      <c r="E544" s="100"/>
      <c r="I544" s="100"/>
    </row>
    <row r="545">
      <c r="C545" s="100"/>
      <c r="E545" s="100"/>
      <c r="I545" s="100"/>
    </row>
    <row r="546">
      <c r="C546" s="100"/>
      <c r="E546" s="100"/>
      <c r="I546" s="100"/>
    </row>
    <row r="547">
      <c r="C547" s="100"/>
      <c r="E547" s="100"/>
      <c r="I547" s="100"/>
    </row>
    <row r="548">
      <c r="C548" s="100"/>
      <c r="E548" s="100"/>
      <c r="I548" s="100"/>
    </row>
    <row r="549">
      <c r="C549" s="100"/>
      <c r="E549" s="100"/>
      <c r="I549" s="100"/>
    </row>
    <row r="550">
      <c r="C550" s="100"/>
      <c r="E550" s="100"/>
      <c r="I550" s="100"/>
    </row>
    <row r="551">
      <c r="C551" s="100"/>
      <c r="E551" s="100"/>
      <c r="I551" s="100"/>
    </row>
    <row r="552">
      <c r="C552" s="100"/>
      <c r="E552" s="100"/>
      <c r="I552" s="100"/>
    </row>
    <row r="553">
      <c r="C553" s="100"/>
      <c r="E553" s="100"/>
      <c r="I553" s="100"/>
    </row>
    <row r="554">
      <c r="C554" s="100"/>
      <c r="E554" s="100"/>
      <c r="I554" s="100"/>
    </row>
    <row r="555">
      <c r="C555" s="100"/>
      <c r="E555" s="100"/>
      <c r="I555" s="100"/>
    </row>
    <row r="556">
      <c r="C556" s="100"/>
      <c r="E556" s="100"/>
      <c r="I556" s="100"/>
    </row>
    <row r="557">
      <c r="C557" s="100"/>
      <c r="E557" s="100"/>
      <c r="I557" s="100"/>
    </row>
    <row r="558">
      <c r="C558" s="100"/>
      <c r="E558" s="100"/>
      <c r="I558" s="100"/>
    </row>
    <row r="559">
      <c r="C559" s="100"/>
      <c r="E559" s="100"/>
      <c r="I559" s="100"/>
    </row>
    <row r="560">
      <c r="C560" s="100"/>
      <c r="E560" s="100"/>
      <c r="I560" s="100"/>
    </row>
    <row r="561">
      <c r="C561" s="100"/>
      <c r="E561" s="100"/>
      <c r="I561" s="100"/>
    </row>
    <row r="562">
      <c r="C562" s="100"/>
      <c r="E562" s="100"/>
      <c r="I562" s="100"/>
    </row>
    <row r="563">
      <c r="C563" s="100"/>
      <c r="E563" s="100"/>
      <c r="I563" s="100"/>
    </row>
    <row r="564">
      <c r="C564" s="100"/>
      <c r="E564" s="100"/>
      <c r="I564" s="100"/>
    </row>
    <row r="565">
      <c r="C565" s="100"/>
      <c r="E565" s="100"/>
      <c r="I565" s="100"/>
    </row>
    <row r="566">
      <c r="C566" s="100"/>
      <c r="E566" s="100"/>
      <c r="I566" s="100"/>
    </row>
    <row r="567">
      <c r="C567" s="100"/>
      <c r="E567" s="100"/>
      <c r="I567" s="100"/>
    </row>
    <row r="568">
      <c r="C568" s="100"/>
      <c r="E568" s="100"/>
      <c r="I568" s="100"/>
    </row>
    <row r="569">
      <c r="C569" s="100"/>
      <c r="E569" s="100"/>
      <c r="I569" s="100"/>
    </row>
    <row r="570">
      <c r="C570" s="100"/>
      <c r="E570" s="100"/>
      <c r="I570" s="100"/>
    </row>
    <row r="571">
      <c r="C571" s="100"/>
      <c r="E571" s="100"/>
      <c r="I571" s="100"/>
    </row>
    <row r="572">
      <c r="C572" s="100"/>
      <c r="E572" s="100"/>
      <c r="I572" s="100"/>
    </row>
    <row r="573">
      <c r="C573" s="100"/>
      <c r="E573" s="100"/>
      <c r="I573" s="100"/>
    </row>
    <row r="574">
      <c r="C574" s="100"/>
      <c r="E574" s="100"/>
      <c r="I574" s="100"/>
    </row>
    <row r="575">
      <c r="C575" s="100"/>
      <c r="E575" s="100"/>
      <c r="I575" s="100"/>
    </row>
    <row r="576">
      <c r="C576" s="100"/>
      <c r="E576" s="100"/>
      <c r="I576" s="100"/>
    </row>
    <row r="577">
      <c r="C577" s="100"/>
      <c r="E577" s="100"/>
      <c r="I577" s="100"/>
    </row>
    <row r="578">
      <c r="C578" s="100"/>
      <c r="E578" s="100"/>
      <c r="I578" s="100"/>
    </row>
    <row r="579">
      <c r="C579" s="100"/>
      <c r="E579" s="100"/>
      <c r="I579" s="100"/>
    </row>
    <row r="580">
      <c r="C580" s="100"/>
      <c r="E580" s="100"/>
      <c r="I580" s="100"/>
    </row>
    <row r="581">
      <c r="C581" s="100"/>
      <c r="E581" s="100"/>
      <c r="I581" s="100"/>
    </row>
    <row r="582">
      <c r="C582" s="100"/>
      <c r="E582" s="100"/>
      <c r="I582" s="100"/>
    </row>
    <row r="583">
      <c r="C583" s="100"/>
      <c r="E583" s="100"/>
      <c r="I583" s="100"/>
    </row>
    <row r="584">
      <c r="C584" s="100"/>
      <c r="E584" s="100"/>
      <c r="I584" s="100"/>
    </row>
    <row r="585">
      <c r="C585" s="100"/>
      <c r="E585" s="100"/>
      <c r="I585" s="100"/>
    </row>
    <row r="586">
      <c r="C586" s="100"/>
      <c r="E586" s="100"/>
      <c r="I586" s="100"/>
    </row>
    <row r="587">
      <c r="C587" s="100"/>
      <c r="E587" s="100"/>
      <c r="I587" s="100"/>
    </row>
    <row r="588">
      <c r="C588" s="100"/>
      <c r="E588" s="100"/>
      <c r="I588" s="100"/>
    </row>
    <row r="589">
      <c r="C589" s="100"/>
      <c r="E589" s="100"/>
      <c r="I589" s="100"/>
    </row>
    <row r="590">
      <c r="C590" s="100"/>
      <c r="E590" s="100"/>
      <c r="I590" s="100"/>
    </row>
    <row r="591">
      <c r="C591" s="100"/>
      <c r="E591" s="100"/>
      <c r="I591" s="100"/>
    </row>
    <row r="592">
      <c r="C592" s="100"/>
      <c r="E592" s="100"/>
      <c r="I592" s="100"/>
    </row>
    <row r="593">
      <c r="C593" s="100"/>
      <c r="E593" s="100"/>
      <c r="I593" s="100"/>
    </row>
    <row r="594">
      <c r="C594" s="100"/>
      <c r="E594" s="100"/>
      <c r="I594" s="100"/>
    </row>
    <row r="595">
      <c r="C595" s="100"/>
      <c r="E595" s="100"/>
      <c r="I595" s="100"/>
    </row>
    <row r="596">
      <c r="C596" s="100"/>
      <c r="E596" s="100"/>
      <c r="I596" s="100"/>
    </row>
    <row r="597">
      <c r="C597" s="100"/>
      <c r="E597" s="100"/>
      <c r="I597" s="100"/>
    </row>
    <row r="598">
      <c r="C598" s="100"/>
      <c r="E598" s="100"/>
      <c r="I598" s="100"/>
    </row>
    <row r="599">
      <c r="C599" s="100"/>
      <c r="E599" s="100"/>
      <c r="I599" s="100"/>
    </row>
    <row r="600">
      <c r="C600" s="100"/>
      <c r="E600" s="100"/>
      <c r="I600" s="100"/>
    </row>
    <row r="601">
      <c r="C601" s="100"/>
      <c r="E601" s="100"/>
      <c r="I601" s="100"/>
    </row>
    <row r="602">
      <c r="C602" s="100"/>
      <c r="E602" s="100"/>
      <c r="I602" s="100"/>
    </row>
    <row r="603">
      <c r="C603" s="100"/>
      <c r="E603" s="100"/>
      <c r="I603" s="100"/>
    </row>
    <row r="604">
      <c r="C604" s="100"/>
      <c r="E604" s="100"/>
      <c r="I604" s="100"/>
    </row>
    <row r="605">
      <c r="C605" s="100"/>
      <c r="E605" s="100"/>
      <c r="I605" s="100"/>
    </row>
    <row r="606">
      <c r="C606" s="100"/>
      <c r="E606" s="100"/>
      <c r="I606" s="100"/>
    </row>
    <row r="607">
      <c r="C607" s="100"/>
      <c r="E607" s="100"/>
      <c r="I607" s="100"/>
    </row>
    <row r="608">
      <c r="C608" s="100"/>
      <c r="E608" s="100"/>
      <c r="I608" s="100"/>
    </row>
    <row r="609">
      <c r="C609" s="100"/>
      <c r="E609" s="100"/>
      <c r="I609" s="100"/>
    </row>
    <row r="610">
      <c r="C610" s="100"/>
      <c r="E610" s="100"/>
      <c r="I610" s="100"/>
    </row>
    <row r="611">
      <c r="C611" s="100"/>
      <c r="E611" s="100"/>
      <c r="I611" s="100"/>
    </row>
    <row r="612">
      <c r="C612" s="100"/>
      <c r="E612" s="100"/>
      <c r="I612" s="100"/>
    </row>
    <row r="613">
      <c r="C613" s="100"/>
      <c r="E613" s="100"/>
      <c r="I613" s="100"/>
    </row>
    <row r="614">
      <c r="C614" s="100"/>
      <c r="E614" s="100"/>
      <c r="I614" s="100"/>
    </row>
    <row r="615">
      <c r="C615" s="100"/>
      <c r="E615" s="100"/>
      <c r="I615" s="100"/>
    </row>
    <row r="616">
      <c r="C616" s="100"/>
      <c r="E616" s="100"/>
      <c r="I616" s="100"/>
    </row>
    <row r="617">
      <c r="C617" s="100"/>
      <c r="E617" s="100"/>
      <c r="I617" s="100"/>
    </row>
    <row r="618">
      <c r="C618" s="100"/>
      <c r="E618" s="100"/>
      <c r="I618" s="100"/>
    </row>
    <row r="619">
      <c r="C619" s="100"/>
      <c r="E619" s="100"/>
      <c r="I619" s="100"/>
    </row>
    <row r="620">
      <c r="C620" s="100"/>
      <c r="E620" s="100"/>
      <c r="I620" s="100"/>
    </row>
    <row r="621">
      <c r="C621" s="100"/>
      <c r="E621" s="100"/>
      <c r="I621" s="100"/>
    </row>
    <row r="622">
      <c r="C622" s="100"/>
      <c r="E622" s="100"/>
      <c r="I622" s="100"/>
    </row>
    <row r="623">
      <c r="C623" s="100"/>
      <c r="E623" s="100"/>
      <c r="I623" s="100"/>
    </row>
    <row r="624">
      <c r="C624" s="100"/>
      <c r="E624" s="100"/>
      <c r="I624" s="100"/>
    </row>
    <row r="625">
      <c r="C625" s="100"/>
      <c r="E625" s="100"/>
      <c r="I625" s="100"/>
    </row>
    <row r="626">
      <c r="C626" s="100"/>
      <c r="E626" s="100"/>
      <c r="I626" s="100"/>
    </row>
    <row r="627">
      <c r="C627" s="100"/>
      <c r="E627" s="100"/>
      <c r="I627" s="100"/>
    </row>
    <row r="628">
      <c r="C628" s="100"/>
      <c r="E628" s="100"/>
      <c r="I628" s="100"/>
    </row>
    <row r="629">
      <c r="C629" s="100"/>
      <c r="E629" s="100"/>
      <c r="I629" s="100"/>
    </row>
    <row r="630">
      <c r="C630" s="100"/>
      <c r="E630" s="100"/>
      <c r="I630" s="100"/>
    </row>
    <row r="631">
      <c r="C631" s="100"/>
      <c r="E631" s="100"/>
      <c r="I631" s="100"/>
    </row>
    <row r="632">
      <c r="C632" s="100"/>
      <c r="E632" s="100"/>
      <c r="I632" s="100"/>
    </row>
    <row r="633">
      <c r="C633" s="100"/>
      <c r="E633" s="100"/>
      <c r="I633" s="100"/>
    </row>
    <row r="634">
      <c r="C634" s="100"/>
      <c r="E634" s="100"/>
      <c r="I634" s="100"/>
    </row>
    <row r="635">
      <c r="C635" s="100"/>
      <c r="E635" s="100"/>
      <c r="I635" s="100"/>
    </row>
    <row r="636">
      <c r="C636" s="100"/>
      <c r="E636" s="100"/>
      <c r="I636" s="100"/>
    </row>
    <row r="637">
      <c r="C637" s="100"/>
      <c r="E637" s="100"/>
      <c r="I637" s="100"/>
    </row>
    <row r="638">
      <c r="C638" s="100"/>
      <c r="E638" s="100"/>
      <c r="I638" s="100"/>
    </row>
    <row r="639">
      <c r="C639" s="100"/>
      <c r="E639" s="100"/>
      <c r="I639" s="100"/>
    </row>
    <row r="640">
      <c r="C640" s="100"/>
      <c r="E640" s="100"/>
      <c r="I640" s="100"/>
    </row>
    <row r="641">
      <c r="C641" s="100"/>
      <c r="E641" s="100"/>
      <c r="I641" s="100"/>
    </row>
    <row r="642">
      <c r="C642" s="100"/>
      <c r="E642" s="100"/>
      <c r="I642" s="100"/>
    </row>
    <row r="643">
      <c r="C643" s="100"/>
      <c r="E643" s="100"/>
      <c r="I643" s="100"/>
    </row>
    <row r="644">
      <c r="C644" s="100"/>
      <c r="E644" s="100"/>
      <c r="I644" s="100"/>
    </row>
    <row r="645">
      <c r="C645" s="100"/>
      <c r="E645" s="100"/>
      <c r="I645" s="100"/>
    </row>
    <row r="646">
      <c r="C646" s="100"/>
      <c r="E646" s="100"/>
      <c r="I646" s="100"/>
    </row>
    <row r="647">
      <c r="C647" s="100"/>
      <c r="E647" s="100"/>
      <c r="I647" s="100"/>
    </row>
    <row r="648">
      <c r="C648" s="100"/>
      <c r="E648" s="100"/>
      <c r="I648" s="100"/>
    </row>
    <row r="649">
      <c r="C649" s="100"/>
      <c r="E649" s="100"/>
      <c r="I649" s="100"/>
    </row>
    <row r="650">
      <c r="C650" s="100"/>
      <c r="E650" s="100"/>
      <c r="I650" s="100"/>
    </row>
    <row r="651">
      <c r="C651" s="100"/>
      <c r="E651" s="100"/>
      <c r="I651" s="100"/>
    </row>
    <row r="652">
      <c r="C652" s="100"/>
      <c r="E652" s="100"/>
      <c r="I652" s="100"/>
    </row>
    <row r="653">
      <c r="C653" s="100"/>
      <c r="E653" s="100"/>
      <c r="I653" s="100"/>
    </row>
    <row r="654">
      <c r="C654" s="100"/>
      <c r="E654" s="100"/>
      <c r="I654" s="100"/>
    </row>
    <row r="655">
      <c r="C655" s="100"/>
      <c r="E655" s="100"/>
      <c r="I655" s="100"/>
    </row>
    <row r="656">
      <c r="C656" s="100"/>
      <c r="E656" s="100"/>
      <c r="I656" s="100"/>
    </row>
    <row r="657">
      <c r="C657" s="100"/>
      <c r="E657" s="100"/>
      <c r="I657" s="100"/>
    </row>
    <row r="658">
      <c r="C658" s="100"/>
      <c r="E658" s="100"/>
      <c r="I658" s="100"/>
    </row>
    <row r="659">
      <c r="C659" s="100"/>
      <c r="E659" s="100"/>
      <c r="I659" s="100"/>
    </row>
    <row r="660">
      <c r="C660" s="100"/>
      <c r="E660" s="100"/>
      <c r="I660" s="100"/>
    </row>
    <row r="661">
      <c r="C661" s="100"/>
      <c r="E661" s="100"/>
      <c r="I661" s="100"/>
    </row>
    <row r="662">
      <c r="C662" s="100"/>
      <c r="E662" s="100"/>
      <c r="I662" s="100"/>
    </row>
    <row r="663">
      <c r="C663" s="100"/>
      <c r="E663" s="100"/>
      <c r="I663" s="100"/>
    </row>
    <row r="664">
      <c r="C664" s="100"/>
      <c r="E664" s="100"/>
      <c r="I664" s="100"/>
    </row>
    <row r="665">
      <c r="C665" s="100"/>
      <c r="E665" s="100"/>
      <c r="I665" s="100"/>
    </row>
    <row r="666">
      <c r="C666" s="100"/>
      <c r="E666" s="100"/>
      <c r="I666" s="100"/>
    </row>
    <row r="667">
      <c r="C667" s="100"/>
      <c r="E667" s="100"/>
      <c r="I667" s="100"/>
    </row>
    <row r="668">
      <c r="C668" s="100"/>
      <c r="E668" s="100"/>
      <c r="I668" s="100"/>
    </row>
    <row r="669">
      <c r="C669" s="100"/>
      <c r="E669" s="100"/>
      <c r="I669" s="100"/>
    </row>
    <row r="670">
      <c r="C670" s="100"/>
      <c r="E670" s="100"/>
      <c r="I670" s="100"/>
    </row>
    <row r="671">
      <c r="C671" s="100"/>
      <c r="E671" s="100"/>
      <c r="I671" s="100"/>
    </row>
    <row r="672">
      <c r="C672" s="100"/>
      <c r="E672" s="100"/>
      <c r="I672" s="100"/>
    </row>
    <row r="673">
      <c r="C673" s="100"/>
      <c r="E673" s="100"/>
      <c r="I673" s="100"/>
    </row>
    <row r="674">
      <c r="C674" s="100"/>
      <c r="E674" s="100"/>
      <c r="I674" s="100"/>
    </row>
    <row r="675">
      <c r="C675" s="100"/>
      <c r="E675" s="100"/>
      <c r="I675" s="100"/>
    </row>
    <row r="676">
      <c r="C676" s="100"/>
      <c r="E676" s="100"/>
      <c r="I676" s="100"/>
    </row>
    <row r="677">
      <c r="C677" s="100"/>
      <c r="E677" s="100"/>
      <c r="I677" s="100"/>
    </row>
    <row r="678">
      <c r="C678" s="100"/>
      <c r="E678" s="100"/>
      <c r="I678" s="100"/>
    </row>
    <row r="679">
      <c r="C679" s="100"/>
      <c r="E679" s="100"/>
      <c r="I679" s="100"/>
    </row>
    <row r="680">
      <c r="C680" s="100"/>
      <c r="E680" s="100"/>
      <c r="I680" s="100"/>
    </row>
    <row r="681">
      <c r="C681" s="100"/>
      <c r="E681" s="100"/>
      <c r="I681" s="100"/>
    </row>
    <row r="682">
      <c r="C682" s="100"/>
      <c r="E682" s="100"/>
      <c r="I682" s="100"/>
    </row>
    <row r="683">
      <c r="C683" s="100"/>
      <c r="E683" s="100"/>
      <c r="I683" s="100"/>
    </row>
    <row r="684">
      <c r="C684" s="100"/>
      <c r="E684" s="100"/>
      <c r="I684" s="100"/>
    </row>
    <row r="685">
      <c r="C685" s="100"/>
      <c r="E685" s="100"/>
      <c r="I685" s="100"/>
    </row>
    <row r="686">
      <c r="C686" s="100"/>
      <c r="E686" s="100"/>
      <c r="I686" s="100"/>
    </row>
    <row r="687">
      <c r="C687" s="100"/>
      <c r="E687" s="100"/>
      <c r="I687" s="100"/>
    </row>
    <row r="688">
      <c r="C688" s="100"/>
      <c r="E688" s="100"/>
      <c r="I688" s="100"/>
    </row>
    <row r="689">
      <c r="C689" s="100"/>
      <c r="E689" s="100"/>
      <c r="I689" s="100"/>
    </row>
    <row r="690">
      <c r="C690" s="100"/>
      <c r="E690" s="100"/>
      <c r="I690" s="100"/>
    </row>
    <row r="691">
      <c r="C691" s="100"/>
      <c r="E691" s="100"/>
      <c r="I691" s="100"/>
    </row>
    <row r="692">
      <c r="C692" s="100"/>
      <c r="E692" s="100"/>
      <c r="I692" s="100"/>
    </row>
    <row r="693">
      <c r="C693" s="100"/>
      <c r="E693" s="100"/>
      <c r="I693" s="100"/>
    </row>
    <row r="694">
      <c r="C694" s="100"/>
      <c r="E694" s="100"/>
      <c r="I694" s="100"/>
    </row>
    <row r="695">
      <c r="C695" s="100"/>
      <c r="E695" s="100"/>
      <c r="I695" s="100"/>
    </row>
    <row r="696">
      <c r="C696" s="100"/>
      <c r="E696" s="100"/>
      <c r="I696" s="100"/>
    </row>
    <row r="697">
      <c r="C697" s="100"/>
      <c r="E697" s="100"/>
      <c r="I697" s="100"/>
    </row>
    <row r="698">
      <c r="C698" s="100"/>
      <c r="E698" s="100"/>
      <c r="I698" s="100"/>
    </row>
    <row r="699">
      <c r="C699" s="100"/>
      <c r="E699" s="100"/>
      <c r="I699" s="100"/>
    </row>
    <row r="700">
      <c r="C700" s="100"/>
      <c r="E700" s="100"/>
      <c r="I700" s="100"/>
    </row>
    <row r="701">
      <c r="C701" s="100"/>
      <c r="E701" s="100"/>
      <c r="I701" s="100"/>
    </row>
    <row r="702">
      <c r="C702" s="100"/>
      <c r="E702" s="100"/>
      <c r="I702" s="100"/>
    </row>
    <row r="703">
      <c r="C703" s="100"/>
      <c r="E703" s="100"/>
      <c r="I703" s="100"/>
    </row>
    <row r="704">
      <c r="C704" s="100"/>
      <c r="E704" s="100"/>
      <c r="I704" s="100"/>
    </row>
    <row r="705">
      <c r="C705" s="100"/>
      <c r="E705" s="100"/>
      <c r="I705" s="100"/>
    </row>
    <row r="706">
      <c r="C706" s="100"/>
      <c r="E706" s="100"/>
      <c r="I706" s="100"/>
    </row>
    <row r="707">
      <c r="C707" s="100"/>
      <c r="E707" s="100"/>
      <c r="I707" s="100"/>
    </row>
    <row r="708">
      <c r="C708" s="100"/>
      <c r="E708" s="100"/>
      <c r="I708" s="100"/>
    </row>
    <row r="709">
      <c r="C709" s="100"/>
      <c r="E709" s="100"/>
      <c r="I709" s="100"/>
    </row>
    <row r="710">
      <c r="C710" s="100"/>
      <c r="E710" s="100"/>
      <c r="I710" s="100"/>
    </row>
    <row r="711">
      <c r="C711" s="100"/>
      <c r="E711" s="100"/>
      <c r="I711" s="100"/>
    </row>
    <row r="712">
      <c r="C712" s="100"/>
      <c r="E712" s="100"/>
      <c r="I712" s="100"/>
    </row>
    <row r="713">
      <c r="C713" s="100"/>
      <c r="E713" s="100"/>
      <c r="I713" s="100"/>
    </row>
    <row r="714">
      <c r="C714" s="100"/>
      <c r="E714" s="100"/>
      <c r="I714" s="100"/>
    </row>
    <row r="715">
      <c r="C715" s="100"/>
      <c r="E715" s="100"/>
      <c r="I715" s="100"/>
    </row>
    <row r="716">
      <c r="C716" s="100"/>
      <c r="E716" s="100"/>
      <c r="I716" s="100"/>
    </row>
    <row r="717">
      <c r="C717" s="100"/>
      <c r="E717" s="100"/>
      <c r="I717" s="100"/>
    </row>
    <row r="718">
      <c r="C718" s="100"/>
      <c r="E718" s="100"/>
      <c r="I718" s="100"/>
    </row>
    <row r="719">
      <c r="C719" s="100"/>
      <c r="E719" s="100"/>
      <c r="I719" s="100"/>
    </row>
    <row r="720">
      <c r="C720" s="100"/>
      <c r="E720" s="100"/>
      <c r="I720" s="100"/>
    </row>
    <row r="721">
      <c r="C721" s="100"/>
      <c r="E721" s="100"/>
      <c r="I721" s="100"/>
    </row>
    <row r="722">
      <c r="C722" s="100"/>
      <c r="E722" s="100"/>
      <c r="I722" s="100"/>
    </row>
    <row r="723">
      <c r="C723" s="100"/>
      <c r="E723" s="100"/>
      <c r="I723" s="100"/>
    </row>
    <row r="724">
      <c r="C724" s="100"/>
      <c r="E724" s="100"/>
      <c r="I724" s="100"/>
    </row>
    <row r="725">
      <c r="C725" s="100"/>
      <c r="E725" s="100"/>
      <c r="I725" s="100"/>
    </row>
    <row r="726">
      <c r="C726" s="100"/>
      <c r="E726" s="100"/>
      <c r="I726" s="100"/>
    </row>
    <row r="727">
      <c r="C727" s="100"/>
      <c r="E727" s="100"/>
      <c r="I727" s="100"/>
    </row>
    <row r="728">
      <c r="C728" s="100"/>
      <c r="E728" s="100"/>
      <c r="I728" s="100"/>
    </row>
    <row r="729">
      <c r="C729" s="100"/>
      <c r="E729" s="100"/>
      <c r="I729" s="100"/>
    </row>
    <row r="730">
      <c r="C730" s="100"/>
      <c r="E730" s="100"/>
      <c r="I730" s="100"/>
    </row>
    <row r="731">
      <c r="C731" s="100"/>
      <c r="E731" s="100"/>
      <c r="I731" s="100"/>
    </row>
    <row r="732">
      <c r="C732" s="100"/>
      <c r="E732" s="100"/>
      <c r="I732" s="100"/>
    </row>
    <row r="733">
      <c r="C733" s="100"/>
      <c r="E733" s="100"/>
      <c r="I733" s="100"/>
    </row>
    <row r="734">
      <c r="C734" s="100"/>
      <c r="E734" s="100"/>
      <c r="I734" s="100"/>
    </row>
    <row r="735">
      <c r="C735" s="100"/>
      <c r="E735" s="100"/>
      <c r="I735" s="100"/>
    </row>
    <row r="736">
      <c r="C736" s="100"/>
      <c r="E736" s="100"/>
      <c r="I736" s="100"/>
    </row>
    <row r="737">
      <c r="C737" s="100"/>
      <c r="E737" s="100"/>
      <c r="I737" s="100"/>
    </row>
    <row r="738">
      <c r="C738" s="100"/>
      <c r="E738" s="100"/>
      <c r="I738" s="100"/>
    </row>
    <row r="739">
      <c r="C739" s="100"/>
      <c r="E739" s="100"/>
      <c r="I739" s="100"/>
    </row>
    <row r="740">
      <c r="C740" s="100"/>
      <c r="E740" s="100"/>
      <c r="I740" s="100"/>
    </row>
    <row r="741">
      <c r="C741" s="100"/>
      <c r="E741" s="100"/>
      <c r="I741" s="100"/>
    </row>
    <row r="742">
      <c r="C742" s="100"/>
      <c r="E742" s="100"/>
      <c r="I742" s="100"/>
    </row>
    <row r="743">
      <c r="C743" s="100"/>
      <c r="E743" s="100"/>
      <c r="I743" s="100"/>
    </row>
    <row r="744">
      <c r="C744" s="100"/>
      <c r="E744" s="100"/>
      <c r="I744" s="100"/>
    </row>
    <row r="745">
      <c r="C745" s="100"/>
      <c r="E745" s="100"/>
      <c r="I745" s="100"/>
    </row>
    <row r="746">
      <c r="C746" s="100"/>
      <c r="E746" s="100"/>
      <c r="I746" s="100"/>
    </row>
    <row r="747">
      <c r="C747" s="100"/>
      <c r="E747" s="100"/>
      <c r="I747" s="100"/>
    </row>
    <row r="748">
      <c r="C748" s="100"/>
      <c r="E748" s="100"/>
      <c r="I748" s="100"/>
    </row>
    <row r="749">
      <c r="C749" s="100"/>
      <c r="E749" s="100"/>
      <c r="I749" s="100"/>
    </row>
    <row r="750">
      <c r="C750" s="100"/>
      <c r="E750" s="100"/>
      <c r="I750" s="100"/>
    </row>
    <row r="751">
      <c r="C751" s="100"/>
      <c r="E751" s="100"/>
      <c r="I751" s="100"/>
    </row>
    <row r="752">
      <c r="C752" s="100"/>
      <c r="E752" s="100"/>
      <c r="I752" s="100"/>
    </row>
    <row r="753">
      <c r="C753" s="100"/>
      <c r="E753" s="100"/>
      <c r="I753" s="100"/>
    </row>
    <row r="754">
      <c r="C754" s="100"/>
      <c r="E754" s="100"/>
      <c r="I754" s="100"/>
    </row>
    <row r="755">
      <c r="C755" s="100"/>
      <c r="E755" s="100"/>
      <c r="I755" s="100"/>
    </row>
    <row r="756">
      <c r="C756" s="100"/>
      <c r="E756" s="100"/>
      <c r="I756" s="100"/>
    </row>
    <row r="757">
      <c r="C757" s="100"/>
      <c r="E757" s="100"/>
      <c r="I757" s="100"/>
    </row>
    <row r="758">
      <c r="C758" s="100"/>
      <c r="E758" s="100"/>
      <c r="I758" s="100"/>
    </row>
    <row r="759">
      <c r="C759" s="100"/>
      <c r="E759" s="100"/>
      <c r="I759" s="100"/>
    </row>
    <row r="760">
      <c r="C760" s="100"/>
      <c r="E760" s="100"/>
      <c r="I760" s="100"/>
    </row>
    <row r="761">
      <c r="C761" s="100"/>
      <c r="E761" s="100"/>
      <c r="I761" s="100"/>
    </row>
    <row r="762">
      <c r="C762" s="100"/>
      <c r="E762" s="100"/>
      <c r="I762" s="100"/>
    </row>
    <row r="763">
      <c r="C763" s="100"/>
      <c r="E763" s="100"/>
      <c r="I763" s="100"/>
    </row>
    <row r="764">
      <c r="C764" s="100"/>
      <c r="E764" s="100"/>
      <c r="I764" s="100"/>
    </row>
    <row r="765">
      <c r="C765" s="100"/>
      <c r="E765" s="100"/>
      <c r="I765" s="100"/>
    </row>
    <row r="766">
      <c r="C766" s="100"/>
      <c r="E766" s="100"/>
      <c r="I766" s="100"/>
    </row>
    <row r="767">
      <c r="C767" s="100"/>
      <c r="E767" s="100"/>
      <c r="I767" s="100"/>
    </row>
    <row r="768">
      <c r="C768" s="100"/>
      <c r="E768" s="100"/>
      <c r="I768" s="100"/>
    </row>
    <row r="769">
      <c r="C769" s="100"/>
      <c r="E769" s="100"/>
      <c r="I769" s="100"/>
    </row>
    <row r="770">
      <c r="C770" s="100"/>
      <c r="E770" s="100"/>
      <c r="I770" s="100"/>
    </row>
    <row r="771">
      <c r="C771" s="100"/>
      <c r="E771" s="100"/>
      <c r="I771" s="100"/>
    </row>
    <row r="772">
      <c r="C772" s="100"/>
      <c r="E772" s="100"/>
      <c r="I772" s="100"/>
    </row>
    <row r="773">
      <c r="C773" s="100"/>
      <c r="E773" s="100"/>
      <c r="I773" s="100"/>
    </row>
    <row r="774">
      <c r="C774" s="100"/>
      <c r="E774" s="100"/>
      <c r="I774" s="100"/>
    </row>
    <row r="775">
      <c r="C775" s="100"/>
      <c r="E775" s="100"/>
      <c r="I775" s="100"/>
    </row>
    <row r="776">
      <c r="C776" s="100"/>
      <c r="E776" s="100"/>
      <c r="I776" s="100"/>
    </row>
    <row r="777">
      <c r="C777" s="100"/>
      <c r="E777" s="100"/>
      <c r="I777" s="100"/>
    </row>
    <row r="778">
      <c r="C778" s="100"/>
      <c r="E778" s="100"/>
      <c r="I778" s="100"/>
    </row>
    <row r="779">
      <c r="C779" s="100"/>
      <c r="E779" s="100"/>
      <c r="I779" s="100"/>
    </row>
    <row r="780">
      <c r="C780" s="100"/>
      <c r="E780" s="100"/>
      <c r="I780" s="100"/>
    </row>
    <row r="781">
      <c r="C781" s="100"/>
      <c r="E781" s="100"/>
      <c r="I781" s="100"/>
    </row>
    <row r="782">
      <c r="C782" s="100"/>
      <c r="E782" s="100"/>
      <c r="I782" s="100"/>
    </row>
    <row r="783">
      <c r="C783" s="100"/>
      <c r="E783" s="100"/>
      <c r="I783" s="100"/>
    </row>
    <row r="784">
      <c r="C784" s="100"/>
      <c r="E784" s="100"/>
      <c r="I784" s="100"/>
    </row>
    <row r="785">
      <c r="C785" s="100"/>
      <c r="E785" s="100"/>
      <c r="I785" s="100"/>
    </row>
    <row r="786">
      <c r="C786" s="100"/>
      <c r="E786" s="100"/>
      <c r="I786" s="100"/>
    </row>
    <row r="787">
      <c r="C787" s="100"/>
      <c r="E787" s="100"/>
      <c r="I787" s="100"/>
    </row>
    <row r="788">
      <c r="C788" s="100"/>
      <c r="E788" s="100"/>
      <c r="I788" s="100"/>
    </row>
    <row r="789">
      <c r="C789" s="100"/>
      <c r="E789" s="100"/>
      <c r="I789" s="100"/>
    </row>
    <row r="790">
      <c r="C790" s="100"/>
      <c r="E790" s="100"/>
      <c r="I790" s="100"/>
    </row>
    <row r="791">
      <c r="C791" s="100"/>
      <c r="E791" s="100"/>
      <c r="I791" s="100"/>
    </row>
    <row r="792">
      <c r="C792" s="100"/>
      <c r="E792" s="100"/>
      <c r="I792" s="100"/>
    </row>
    <row r="793">
      <c r="C793" s="100"/>
      <c r="E793" s="100"/>
      <c r="I793" s="100"/>
    </row>
    <row r="794">
      <c r="C794" s="100"/>
      <c r="E794" s="100"/>
      <c r="I794" s="100"/>
    </row>
    <row r="795">
      <c r="C795" s="100"/>
      <c r="E795" s="100"/>
      <c r="I795" s="100"/>
    </row>
    <row r="796">
      <c r="C796" s="100"/>
      <c r="E796" s="100"/>
      <c r="I796" s="100"/>
    </row>
    <row r="797">
      <c r="C797" s="100"/>
      <c r="E797" s="100"/>
      <c r="I797" s="100"/>
    </row>
    <row r="798">
      <c r="C798" s="100"/>
      <c r="E798" s="100"/>
      <c r="I798" s="100"/>
    </row>
    <row r="799">
      <c r="C799" s="100"/>
      <c r="E799" s="100"/>
      <c r="I799" s="100"/>
    </row>
    <row r="800">
      <c r="C800" s="100"/>
      <c r="E800" s="100"/>
      <c r="I800" s="100"/>
    </row>
    <row r="801">
      <c r="C801" s="100"/>
      <c r="E801" s="100"/>
      <c r="I801" s="100"/>
    </row>
    <row r="802">
      <c r="C802" s="100"/>
      <c r="E802" s="100"/>
      <c r="I802" s="100"/>
    </row>
    <row r="803">
      <c r="C803" s="100"/>
      <c r="E803" s="100"/>
      <c r="I803" s="100"/>
    </row>
    <row r="804">
      <c r="C804" s="100"/>
      <c r="E804" s="100"/>
      <c r="I804" s="100"/>
    </row>
    <row r="805">
      <c r="C805" s="100"/>
      <c r="E805" s="100"/>
      <c r="I805" s="100"/>
    </row>
    <row r="806">
      <c r="C806" s="100"/>
      <c r="E806" s="100"/>
      <c r="I806" s="100"/>
    </row>
    <row r="807">
      <c r="C807" s="100"/>
      <c r="E807" s="100"/>
      <c r="I807" s="100"/>
    </row>
    <row r="808">
      <c r="C808" s="100"/>
      <c r="E808" s="100"/>
      <c r="I808" s="100"/>
    </row>
    <row r="809">
      <c r="C809" s="100"/>
      <c r="E809" s="100"/>
      <c r="I809" s="100"/>
    </row>
    <row r="810">
      <c r="C810" s="100"/>
      <c r="E810" s="100"/>
      <c r="I810" s="100"/>
    </row>
    <row r="811">
      <c r="C811" s="100"/>
      <c r="E811" s="100"/>
      <c r="I811" s="100"/>
    </row>
    <row r="812">
      <c r="C812" s="100"/>
      <c r="E812" s="100"/>
      <c r="I812" s="100"/>
    </row>
    <row r="813">
      <c r="C813" s="100"/>
      <c r="E813" s="100"/>
      <c r="I813" s="100"/>
    </row>
    <row r="814">
      <c r="C814" s="100"/>
      <c r="E814" s="100"/>
      <c r="I814" s="100"/>
    </row>
    <row r="815">
      <c r="C815" s="100"/>
      <c r="E815" s="100"/>
      <c r="I815" s="100"/>
    </row>
    <row r="816">
      <c r="C816" s="100"/>
      <c r="E816" s="100"/>
      <c r="I816" s="100"/>
    </row>
    <row r="817">
      <c r="C817" s="100"/>
      <c r="E817" s="100"/>
      <c r="I817" s="100"/>
    </row>
    <row r="818">
      <c r="C818" s="100"/>
      <c r="E818" s="100"/>
      <c r="I818" s="100"/>
    </row>
    <row r="819">
      <c r="C819" s="100"/>
      <c r="E819" s="100"/>
      <c r="I819" s="100"/>
    </row>
    <row r="820">
      <c r="C820" s="100"/>
      <c r="E820" s="100"/>
      <c r="I820" s="100"/>
    </row>
    <row r="821">
      <c r="C821" s="100"/>
      <c r="E821" s="100"/>
      <c r="I821" s="100"/>
    </row>
    <row r="822">
      <c r="C822" s="100"/>
      <c r="E822" s="100"/>
      <c r="I822" s="100"/>
    </row>
    <row r="823">
      <c r="C823" s="100"/>
      <c r="E823" s="100"/>
      <c r="I823" s="100"/>
    </row>
    <row r="824">
      <c r="C824" s="100"/>
      <c r="E824" s="100"/>
      <c r="I824" s="100"/>
    </row>
    <row r="825">
      <c r="C825" s="100"/>
      <c r="E825" s="100"/>
      <c r="I825" s="100"/>
    </row>
    <row r="826">
      <c r="C826" s="100"/>
      <c r="E826" s="100"/>
      <c r="I826" s="100"/>
    </row>
    <row r="827">
      <c r="C827" s="100"/>
      <c r="E827" s="100"/>
      <c r="I827" s="100"/>
    </row>
    <row r="828">
      <c r="C828" s="100"/>
      <c r="E828" s="100"/>
      <c r="I828" s="100"/>
    </row>
    <row r="829">
      <c r="C829" s="100"/>
      <c r="E829" s="100"/>
      <c r="I829" s="100"/>
    </row>
    <row r="830">
      <c r="C830" s="100"/>
      <c r="E830" s="100"/>
      <c r="I830" s="100"/>
    </row>
    <row r="831">
      <c r="C831" s="100"/>
      <c r="E831" s="100"/>
      <c r="I831" s="100"/>
    </row>
    <row r="832">
      <c r="C832" s="100"/>
      <c r="E832" s="100"/>
      <c r="I832" s="100"/>
    </row>
    <row r="833">
      <c r="C833" s="100"/>
      <c r="E833" s="100"/>
      <c r="I833" s="100"/>
    </row>
    <row r="834">
      <c r="C834" s="100"/>
      <c r="E834" s="100"/>
      <c r="I834" s="100"/>
    </row>
    <row r="835">
      <c r="C835" s="100"/>
      <c r="E835" s="100"/>
      <c r="I835" s="100"/>
    </row>
    <row r="836">
      <c r="C836" s="100"/>
      <c r="E836" s="100"/>
      <c r="I836" s="100"/>
    </row>
    <row r="837">
      <c r="C837" s="100"/>
      <c r="E837" s="100"/>
      <c r="I837" s="100"/>
    </row>
    <row r="838">
      <c r="C838" s="100"/>
      <c r="E838" s="100"/>
      <c r="I838" s="100"/>
    </row>
    <row r="839">
      <c r="C839" s="100"/>
      <c r="E839" s="100"/>
      <c r="I839" s="100"/>
    </row>
    <row r="840">
      <c r="C840" s="100"/>
      <c r="E840" s="100"/>
      <c r="I840" s="100"/>
    </row>
    <row r="841">
      <c r="C841" s="100"/>
      <c r="E841" s="100"/>
      <c r="I841" s="100"/>
    </row>
    <row r="842">
      <c r="C842" s="100"/>
      <c r="E842" s="100"/>
      <c r="I842" s="100"/>
    </row>
    <row r="843">
      <c r="C843" s="100"/>
      <c r="E843" s="100"/>
      <c r="I843" s="100"/>
    </row>
    <row r="844">
      <c r="C844" s="100"/>
      <c r="E844" s="100"/>
      <c r="I844" s="100"/>
    </row>
    <row r="845">
      <c r="C845" s="100"/>
      <c r="E845" s="100"/>
      <c r="I845" s="100"/>
    </row>
    <row r="846">
      <c r="C846" s="100"/>
      <c r="E846" s="100"/>
      <c r="I846" s="100"/>
    </row>
    <row r="847">
      <c r="C847" s="100"/>
      <c r="E847" s="100"/>
      <c r="I847" s="100"/>
    </row>
    <row r="848">
      <c r="C848" s="100"/>
      <c r="E848" s="100"/>
      <c r="I848" s="100"/>
    </row>
    <row r="849">
      <c r="C849" s="100"/>
      <c r="E849" s="100"/>
      <c r="I849" s="100"/>
    </row>
    <row r="850">
      <c r="C850" s="100"/>
      <c r="E850" s="100"/>
      <c r="I850" s="100"/>
    </row>
    <row r="851">
      <c r="C851" s="100"/>
      <c r="E851" s="100"/>
      <c r="I851" s="100"/>
    </row>
    <row r="852">
      <c r="C852" s="100"/>
      <c r="E852" s="100"/>
      <c r="I852" s="100"/>
    </row>
    <row r="853">
      <c r="C853" s="100"/>
      <c r="E853" s="100"/>
      <c r="I853" s="100"/>
    </row>
    <row r="854">
      <c r="C854" s="100"/>
      <c r="E854" s="100"/>
      <c r="I854" s="100"/>
    </row>
    <row r="855">
      <c r="C855" s="100"/>
      <c r="E855" s="100"/>
      <c r="I855" s="100"/>
    </row>
    <row r="856">
      <c r="C856" s="100"/>
      <c r="E856" s="100"/>
      <c r="I856" s="100"/>
    </row>
    <row r="857">
      <c r="C857" s="100"/>
      <c r="E857" s="100"/>
      <c r="I857" s="100"/>
    </row>
    <row r="858">
      <c r="C858" s="100"/>
      <c r="E858" s="100"/>
      <c r="I858" s="100"/>
    </row>
    <row r="859">
      <c r="C859" s="100"/>
      <c r="E859" s="100"/>
      <c r="I859" s="100"/>
    </row>
    <row r="860">
      <c r="C860" s="100"/>
      <c r="E860" s="100"/>
      <c r="I860" s="100"/>
    </row>
    <row r="861">
      <c r="C861" s="100"/>
      <c r="E861" s="100"/>
      <c r="I861" s="100"/>
    </row>
    <row r="862">
      <c r="C862" s="100"/>
      <c r="E862" s="100"/>
      <c r="I862" s="100"/>
    </row>
    <row r="863">
      <c r="C863" s="100"/>
      <c r="E863" s="100"/>
      <c r="I863" s="100"/>
    </row>
    <row r="864">
      <c r="C864" s="100"/>
      <c r="E864" s="100"/>
      <c r="I864" s="100"/>
    </row>
    <row r="865">
      <c r="C865" s="100"/>
      <c r="E865" s="100"/>
      <c r="I865" s="100"/>
    </row>
    <row r="866">
      <c r="C866" s="100"/>
      <c r="E866" s="100"/>
      <c r="I866" s="100"/>
    </row>
    <row r="867">
      <c r="C867" s="100"/>
      <c r="E867" s="100"/>
      <c r="I867" s="100"/>
    </row>
    <row r="868">
      <c r="C868" s="100"/>
      <c r="E868" s="100"/>
      <c r="I868" s="100"/>
    </row>
    <row r="869">
      <c r="C869" s="100"/>
      <c r="E869" s="100"/>
      <c r="I869" s="100"/>
    </row>
    <row r="870">
      <c r="C870" s="100"/>
      <c r="E870" s="100"/>
      <c r="I870" s="100"/>
    </row>
    <row r="871">
      <c r="C871" s="100"/>
      <c r="E871" s="100"/>
      <c r="I871" s="100"/>
    </row>
    <row r="872">
      <c r="C872" s="100"/>
      <c r="E872" s="100"/>
      <c r="I872" s="100"/>
    </row>
    <row r="873">
      <c r="C873" s="100"/>
      <c r="E873" s="100"/>
      <c r="I873" s="100"/>
    </row>
    <row r="874">
      <c r="C874" s="100"/>
      <c r="E874" s="100"/>
      <c r="I874" s="100"/>
    </row>
    <row r="875">
      <c r="C875" s="100"/>
      <c r="E875" s="100"/>
      <c r="I875" s="100"/>
    </row>
    <row r="876">
      <c r="C876" s="100"/>
      <c r="E876" s="100"/>
      <c r="I876" s="100"/>
    </row>
    <row r="877">
      <c r="C877" s="100"/>
      <c r="E877" s="100"/>
      <c r="I877" s="100"/>
    </row>
    <row r="878">
      <c r="C878" s="100"/>
      <c r="E878" s="100"/>
      <c r="I878" s="100"/>
    </row>
    <row r="879">
      <c r="C879" s="100"/>
      <c r="E879" s="100"/>
      <c r="I879" s="100"/>
    </row>
    <row r="880">
      <c r="C880" s="100"/>
      <c r="E880" s="100"/>
      <c r="I880" s="100"/>
    </row>
    <row r="881">
      <c r="C881" s="100"/>
      <c r="E881" s="100"/>
      <c r="I881" s="100"/>
    </row>
    <row r="882">
      <c r="C882" s="100"/>
      <c r="E882" s="100"/>
      <c r="I882" s="100"/>
    </row>
    <row r="883">
      <c r="C883" s="100"/>
      <c r="E883" s="100"/>
      <c r="I883" s="100"/>
    </row>
    <row r="884">
      <c r="C884" s="100"/>
      <c r="E884" s="100"/>
      <c r="I884" s="100"/>
    </row>
    <row r="885">
      <c r="C885" s="100"/>
      <c r="E885" s="100"/>
      <c r="I885" s="100"/>
    </row>
    <row r="886">
      <c r="C886" s="100"/>
      <c r="E886" s="100"/>
      <c r="I886" s="100"/>
    </row>
    <row r="887">
      <c r="C887" s="100"/>
      <c r="E887" s="100"/>
      <c r="I887" s="100"/>
    </row>
    <row r="888">
      <c r="C888" s="100"/>
      <c r="E888" s="100"/>
      <c r="I888" s="100"/>
    </row>
    <row r="889">
      <c r="C889" s="100"/>
      <c r="E889" s="100"/>
      <c r="I889" s="100"/>
    </row>
    <row r="890">
      <c r="C890" s="100"/>
      <c r="E890" s="100"/>
      <c r="I890" s="100"/>
    </row>
    <row r="891">
      <c r="C891" s="100"/>
      <c r="E891" s="100"/>
      <c r="I891" s="100"/>
    </row>
    <row r="892">
      <c r="C892" s="100"/>
      <c r="E892" s="100"/>
      <c r="I892" s="100"/>
    </row>
    <row r="893">
      <c r="C893" s="100"/>
      <c r="E893" s="100"/>
      <c r="I893" s="100"/>
    </row>
    <row r="894">
      <c r="C894" s="100"/>
      <c r="E894" s="100"/>
      <c r="I894" s="100"/>
    </row>
    <row r="895">
      <c r="C895" s="100"/>
      <c r="E895" s="100"/>
      <c r="I895" s="100"/>
    </row>
    <row r="896">
      <c r="C896" s="100"/>
      <c r="E896" s="100"/>
      <c r="I896" s="100"/>
    </row>
    <row r="897">
      <c r="C897" s="100"/>
      <c r="E897" s="100"/>
      <c r="I897" s="100"/>
    </row>
    <row r="898">
      <c r="C898" s="100"/>
      <c r="E898" s="100"/>
      <c r="I898" s="100"/>
    </row>
    <row r="899">
      <c r="C899" s="100"/>
      <c r="E899" s="100"/>
      <c r="I899" s="100"/>
    </row>
    <row r="900">
      <c r="C900" s="100"/>
      <c r="E900" s="100"/>
      <c r="I900" s="100"/>
    </row>
    <row r="901">
      <c r="C901" s="100"/>
      <c r="E901" s="100"/>
      <c r="I901" s="100"/>
    </row>
    <row r="902">
      <c r="C902" s="100"/>
      <c r="E902" s="100"/>
      <c r="I902" s="100"/>
    </row>
    <row r="903">
      <c r="C903" s="100"/>
      <c r="E903" s="100"/>
      <c r="I903" s="100"/>
    </row>
    <row r="904">
      <c r="C904" s="100"/>
      <c r="E904" s="100"/>
      <c r="I904" s="100"/>
    </row>
    <row r="905">
      <c r="C905" s="100"/>
      <c r="E905" s="100"/>
      <c r="I905" s="100"/>
    </row>
    <row r="906">
      <c r="C906" s="100"/>
      <c r="E906" s="100"/>
      <c r="I906" s="100"/>
    </row>
    <row r="907">
      <c r="C907" s="100"/>
      <c r="E907" s="100"/>
      <c r="I907" s="100"/>
    </row>
    <row r="908">
      <c r="C908" s="100"/>
      <c r="E908" s="100"/>
      <c r="I908" s="100"/>
    </row>
    <row r="909">
      <c r="C909" s="100"/>
      <c r="E909" s="100"/>
      <c r="I909" s="100"/>
    </row>
    <row r="910">
      <c r="C910" s="100"/>
      <c r="E910" s="100"/>
      <c r="I910" s="100"/>
    </row>
    <row r="911">
      <c r="C911" s="100"/>
      <c r="E911" s="100"/>
      <c r="I911" s="100"/>
    </row>
    <row r="912">
      <c r="C912" s="100"/>
      <c r="E912" s="100"/>
      <c r="I912" s="100"/>
    </row>
    <row r="913">
      <c r="C913" s="100"/>
      <c r="E913" s="100"/>
      <c r="I913" s="100"/>
    </row>
    <row r="914">
      <c r="C914" s="100"/>
      <c r="E914" s="100"/>
      <c r="I914" s="100"/>
    </row>
    <row r="915">
      <c r="C915" s="100"/>
      <c r="E915" s="100"/>
      <c r="I915" s="100"/>
    </row>
    <row r="916">
      <c r="C916" s="100"/>
      <c r="E916" s="100"/>
      <c r="I916" s="100"/>
    </row>
    <row r="917">
      <c r="C917" s="100"/>
      <c r="E917" s="100"/>
      <c r="I917" s="100"/>
    </row>
    <row r="918">
      <c r="C918" s="100"/>
      <c r="E918" s="100"/>
      <c r="I918" s="100"/>
    </row>
    <row r="919">
      <c r="C919" s="100"/>
      <c r="E919" s="100"/>
      <c r="I919" s="100"/>
    </row>
    <row r="920">
      <c r="C920" s="100"/>
      <c r="E920" s="100"/>
      <c r="I920" s="100"/>
    </row>
    <row r="921">
      <c r="C921" s="100"/>
      <c r="E921" s="100"/>
      <c r="I921" s="100"/>
    </row>
    <row r="922">
      <c r="C922" s="100"/>
      <c r="E922" s="100"/>
      <c r="I922" s="100"/>
    </row>
    <row r="923">
      <c r="C923" s="100"/>
      <c r="E923" s="100"/>
      <c r="I923" s="100"/>
    </row>
    <row r="924">
      <c r="C924" s="100"/>
      <c r="E924" s="100"/>
      <c r="I924" s="100"/>
    </row>
    <row r="925">
      <c r="C925" s="100"/>
      <c r="E925" s="100"/>
      <c r="I925" s="100"/>
    </row>
    <row r="926">
      <c r="C926" s="100"/>
      <c r="E926" s="100"/>
      <c r="I926" s="100"/>
    </row>
    <row r="927">
      <c r="C927" s="100"/>
      <c r="E927" s="100"/>
      <c r="I927" s="100"/>
    </row>
    <row r="928">
      <c r="C928" s="100"/>
      <c r="E928" s="100"/>
      <c r="I928" s="100"/>
    </row>
    <row r="929">
      <c r="C929" s="100"/>
      <c r="E929" s="100"/>
      <c r="I929" s="100"/>
    </row>
    <row r="930">
      <c r="C930" s="100"/>
      <c r="E930" s="100"/>
      <c r="I930" s="100"/>
    </row>
    <row r="931">
      <c r="C931" s="100"/>
      <c r="E931" s="100"/>
      <c r="I931" s="100"/>
    </row>
    <row r="932">
      <c r="C932" s="100"/>
      <c r="E932" s="100"/>
      <c r="I932" s="100"/>
    </row>
    <row r="933">
      <c r="C933" s="100"/>
      <c r="E933" s="100"/>
      <c r="I933" s="100"/>
    </row>
    <row r="934">
      <c r="C934" s="100"/>
      <c r="E934" s="100"/>
      <c r="I934" s="100"/>
    </row>
    <row r="935">
      <c r="C935" s="100"/>
      <c r="E935" s="100"/>
      <c r="I935" s="100"/>
    </row>
    <row r="936">
      <c r="C936" s="100"/>
      <c r="E936" s="100"/>
      <c r="I936" s="100"/>
    </row>
    <row r="937">
      <c r="C937" s="100"/>
      <c r="E937" s="100"/>
      <c r="I937" s="100"/>
    </row>
    <row r="938">
      <c r="C938" s="100"/>
      <c r="E938" s="100"/>
      <c r="I938" s="100"/>
    </row>
    <row r="939">
      <c r="C939" s="100"/>
      <c r="E939" s="100"/>
      <c r="I939" s="100"/>
    </row>
    <row r="940">
      <c r="C940" s="100"/>
      <c r="E940" s="100"/>
      <c r="I940" s="100"/>
    </row>
    <row r="941">
      <c r="C941" s="100"/>
      <c r="E941" s="100"/>
      <c r="I941" s="100"/>
    </row>
    <row r="942">
      <c r="C942" s="100"/>
      <c r="E942" s="100"/>
      <c r="I942" s="100"/>
    </row>
    <row r="943">
      <c r="C943" s="100"/>
      <c r="E943" s="100"/>
      <c r="I943" s="100"/>
    </row>
    <row r="944">
      <c r="C944" s="100"/>
      <c r="E944" s="100"/>
      <c r="I944" s="100"/>
    </row>
    <row r="945">
      <c r="C945" s="100"/>
      <c r="E945" s="100"/>
      <c r="I945" s="100"/>
    </row>
    <row r="946">
      <c r="C946" s="100"/>
      <c r="E946" s="100"/>
      <c r="I946" s="100"/>
    </row>
    <row r="947">
      <c r="C947" s="100"/>
      <c r="E947" s="100"/>
      <c r="I947" s="100"/>
    </row>
    <row r="948">
      <c r="C948" s="100"/>
      <c r="E948" s="100"/>
      <c r="I948" s="100"/>
    </row>
    <row r="949">
      <c r="C949" s="100"/>
      <c r="E949" s="100"/>
      <c r="I949" s="100"/>
    </row>
    <row r="950">
      <c r="C950" s="100"/>
      <c r="E950" s="100"/>
      <c r="I950" s="100"/>
    </row>
    <row r="951">
      <c r="C951" s="100"/>
      <c r="E951" s="100"/>
      <c r="I951" s="100"/>
    </row>
    <row r="952">
      <c r="C952" s="100"/>
      <c r="E952" s="100"/>
      <c r="I952" s="100"/>
    </row>
    <row r="953">
      <c r="C953" s="100"/>
      <c r="E953" s="100"/>
      <c r="I953" s="100"/>
    </row>
    <row r="954">
      <c r="C954" s="100"/>
      <c r="E954" s="100"/>
      <c r="I954" s="100"/>
    </row>
    <row r="955">
      <c r="C955" s="100"/>
      <c r="E955" s="100"/>
      <c r="I955" s="100"/>
    </row>
    <row r="956">
      <c r="C956" s="100"/>
      <c r="E956" s="100"/>
      <c r="I956" s="100"/>
    </row>
    <row r="957">
      <c r="C957" s="100"/>
      <c r="E957" s="100"/>
      <c r="I957" s="100"/>
    </row>
    <row r="958">
      <c r="C958" s="100"/>
      <c r="E958" s="100"/>
      <c r="I958" s="100"/>
    </row>
    <row r="959">
      <c r="C959" s="100"/>
      <c r="E959" s="100"/>
      <c r="I959" s="100"/>
    </row>
    <row r="960">
      <c r="C960" s="100"/>
      <c r="E960" s="100"/>
      <c r="I960" s="100"/>
    </row>
    <row r="961">
      <c r="C961" s="100"/>
      <c r="E961" s="100"/>
      <c r="I961" s="100"/>
    </row>
    <row r="962">
      <c r="C962" s="100"/>
      <c r="E962" s="100"/>
      <c r="I962" s="100"/>
    </row>
    <row r="963">
      <c r="C963" s="100"/>
      <c r="E963" s="100"/>
      <c r="I963" s="100"/>
    </row>
    <row r="964">
      <c r="C964" s="100"/>
      <c r="E964" s="100"/>
      <c r="I964" s="100"/>
    </row>
    <row r="965">
      <c r="C965" s="100"/>
      <c r="E965" s="100"/>
      <c r="I965" s="100"/>
    </row>
    <row r="966">
      <c r="C966" s="100"/>
      <c r="E966" s="100"/>
      <c r="I966" s="100"/>
    </row>
    <row r="967">
      <c r="C967" s="100"/>
      <c r="E967" s="100"/>
      <c r="I967" s="100"/>
    </row>
    <row r="968">
      <c r="C968" s="100"/>
      <c r="E968" s="100"/>
      <c r="I968" s="100"/>
    </row>
    <row r="969">
      <c r="C969" s="100"/>
      <c r="E969" s="100"/>
      <c r="I969" s="100"/>
    </row>
    <row r="970">
      <c r="C970" s="100"/>
      <c r="E970" s="100"/>
      <c r="I970" s="100"/>
    </row>
    <row r="971">
      <c r="C971" s="100"/>
      <c r="E971" s="100"/>
      <c r="I971" s="100"/>
    </row>
    <row r="972">
      <c r="C972" s="100"/>
      <c r="E972" s="100"/>
      <c r="I972" s="100"/>
    </row>
    <row r="973">
      <c r="C973" s="100"/>
      <c r="E973" s="100"/>
      <c r="I973" s="100"/>
    </row>
    <row r="974">
      <c r="C974" s="100"/>
      <c r="E974" s="100"/>
      <c r="I974" s="100"/>
    </row>
    <row r="975">
      <c r="C975" s="100"/>
      <c r="E975" s="100"/>
      <c r="I975" s="100"/>
    </row>
    <row r="976">
      <c r="C976" s="100"/>
      <c r="E976" s="100"/>
      <c r="I976" s="100"/>
    </row>
    <row r="977">
      <c r="C977" s="100"/>
      <c r="E977" s="100"/>
      <c r="I977" s="100"/>
    </row>
    <row r="978">
      <c r="C978" s="100"/>
      <c r="E978" s="100"/>
      <c r="I978" s="100"/>
    </row>
    <row r="979">
      <c r="C979" s="100"/>
      <c r="E979" s="100"/>
      <c r="I979" s="100"/>
    </row>
    <row r="980">
      <c r="C980" s="100"/>
      <c r="E980" s="100"/>
      <c r="I980" s="100"/>
    </row>
    <row r="981">
      <c r="C981" s="100"/>
      <c r="E981" s="100"/>
      <c r="I981" s="100"/>
    </row>
    <row r="982">
      <c r="C982" s="100"/>
      <c r="E982" s="100"/>
      <c r="I982" s="100"/>
    </row>
    <row r="983">
      <c r="C983" s="100"/>
      <c r="E983" s="100"/>
      <c r="I983" s="100"/>
    </row>
    <row r="984">
      <c r="C984" s="100"/>
      <c r="E984" s="100"/>
      <c r="I984" s="100"/>
    </row>
    <row r="985">
      <c r="C985" s="100"/>
      <c r="E985" s="100"/>
      <c r="I985" s="100"/>
    </row>
    <row r="986">
      <c r="C986" s="100"/>
      <c r="E986" s="100"/>
      <c r="I986" s="100"/>
    </row>
    <row r="987">
      <c r="C987" s="100"/>
      <c r="E987" s="100"/>
      <c r="I987" s="100"/>
    </row>
    <row r="988">
      <c r="C988" s="100"/>
      <c r="E988" s="100"/>
      <c r="I988" s="100"/>
    </row>
    <row r="989">
      <c r="C989" s="100"/>
      <c r="E989" s="100"/>
      <c r="I989" s="100"/>
    </row>
    <row r="990">
      <c r="C990" s="100"/>
      <c r="E990" s="100"/>
      <c r="I990" s="100"/>
    </row>
    <row r="991">
      <c r="C991" s="100"/>
      <c r="E991" s="100"/>
      <c r="I991" s="100"/>
    </row>
    <row r="992">
      <c r="C992" s="100"/>
      <c r="E992" s="100"/>
      <c r="I992" s="100"/>
    </row>
    <row r="993">
      <c r="C993" s="100"/>
      <c r="E993" s="100"/>
      <c r="I993" s="100"/>
    </row>
    <row r="994">
      <c r="C994" s="100"/>
      <c r="E994" s="100"/>
      <c r="I994" s="100"/>
    </row>
    <row r="995">
      <c r="C995" s="100"/>
      <c r="E995" s="100"/>
      <c r="I995" s="100"/>
    </row>
    <row r="996">
      <c r="C996" s="100"/>
      <c r="E996" s="100"/>
      <c r="I996" s="100"/>
    </row>
    <row r="997">
      <c r="C997" s="100"/>
      <c r="E997" s="100"/>
      <c r="I997" s="100"/>
    </row>
    <row r="998">
      <c r="C998" s="100"/>
      <c r="E998" s="100"/>
      <c r="I998" s="100"/>
    </row>
    <row r="999">
      <c r="C999" s="100"/>
      <c r="E999" s="100"/>
      <c r="I999" s="100"/>
    </row>
    <row r="1000">
      <c r="C1000" s="100"/>
      <c r="E1000" s="100"/>
      <c r="I1000" s="100"/>
    </row>
  </sheetData>
  <dataValidations>
    <dataValidation type="custom" allowBlank="1" showDropDown="1" sqref="I2:I28 O2:O50 C2:C73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6.86"/>
    <col customWidth="1" min="2" max="2" width="35.57"/>
    <col customWidth="1" min="3" max="3" width="17.71"/>
    <col customWidth="1" min="4" max="4" width="23.14"/>
    <col customWidth="1" min="5" max="5" width="14.43"/>
    <col customWidth="1" min="6" max="6" width="34.71"/>
    <col customWidth="1" min="7" max="7" width="33.86"/>
    <col customWidth="1" min="8" max="8" width="8.0"/>
    <col customWidth="1" min="9" max="9" width="11.43"/>
  </cols>
  <sheetData>
    <row r="1" ht="22.5" customHeight="1">
      <c r="A1" s="34" t="s">
        <v>30</v>
      </c>
      <c r="B1" s="34" t="s">
        <v>24</v>
      </c>
      <c r="C1" s="35" t="s">
        <v>26</v>
      </c>
      <c r="D1" s="41" t="s">
        <v>28</v>
      </c>
      <c r="E1" s="43" t="s">
        <v>36</v>
      </c>
      <c r="F1" s="43" t="s">
        <v>38</v>
      </c>
      <c r="G1" s="43" t="s">
        <v>40</v>
      </c>
      <c r="H1" s="43" t="s">
        <v>41</v>
      </c>
      <c r="I1" s="43" t="s">
        <v>42</v>
      </c>
      <c r="J1" s="43" t="s">
        <v>44</v>
      </c>
      <c r="K1" s="43" t="s">
        <v>45</v>
      </c>
      <c r="L1" s="43" t="s">
        <v>46</v>
      </c>
    </row>
    <row r="2" ht="22.5" customHeight="1">
      <c r="A2" s="53" t="s">
        <v>50</v>
      </c>
      <c r="B2" s="57" t="s">
        <v>58</v>
      </c>
      <c r="C2" s="61">
        <v>620.0</v>
      </c>
      <c r="D2" s="62" t="s">
        <v>25</v>
      </c>
      <c r="E2" s="81">
        <f t="array" ref="E2:E3500">IF(B2:B3500="", "", C2:C3500 * IFERROR(VLOOKUP(B2:B3500, 'Tabela de ingredientes'!$A$5:$L$500, 2, FALSE), 0) / 1000)</f>
        <v>2.852</v>
      </c>
      <c r="F2" s="81">
        <f t="array" ref="F2:F3500">IF(B2:B3500="", "", C2:C3500 * IFERROR(VLOOKUP(B2:B3500, 'Tabela de ingredientes'!$A$5:$L$500, 3, FALSE), 0))</f>
        <v>0</v>
      </c>
      <c r="G2" s="81">
        <f t="array" ref="G2:G3500">IF(B2:B3500="", "", C2:C3500 * IFERROR(VLOOKUP(B2:B3500, 'Tabela de ingredientes'!$A$5:$L$500, 4, FALSE), 0))</f>
        <v>21.7</v>
      </c>
      <c r="H2" s="81">
        <f t="array" ref="H2:H3500">IF(B2:B3500="", "", C2:C3500 * IFERROR(VLOOKUP(B2:B3500, 'Tabela de ingredientes'!$A$5:$L$500, 5, FALSE), 0))</f>
        <v>55.8</v>
      </c>
      <c r="I2" s="81">
        <f t="array" ref="I2:I3500">IF(B2:B3500="", "", C2:C3500 * IFERROR(VLOOKUP(B2:B3500, 'Tabela de ingredientes'!$A$5:$L$500, 6, FALSE), 0))</f>
        <v>0</v>
      </c>
      <c r="J2" s="81">
        <f t="array" ref="J2:J3500">IF(B2:B3500="", "", C2:C3500 * IFERROR(VLOOKUP(B2:B3500, 'Tabela de ingredientes'!$A$5:$L$500, 9, FALSE), 0))</f>
        <v>4.836</v>
      </c>
      <c r="K2" s="81">
        <f t="array" ref="K2:K3500">IF(B2:B3500="", "", C2:C3500 * IFERROR(VLOOKUP(B2:B3500, 'Tabela de ingredientes'!$A$5:$L$500, 10, FALSE), 0))</f>
        <v>24.8</v>
      </c>
      <c r="L2" s="81">
        <f t="array" ref="L2:L3500">IF(B2:B3500="", "", C2:C3500 * IFERROR(VLOOKUP(B2:B3500, 'Tabela de ingredientes'!$A$5:$L$500, 11, FALSE), 0))</f>
        <v>21.7</v>
      </c>
    </row>
    <row r="3" ht="22.5" customHeight="1">
      <c r="A3" s="53" t="s">
        <v>50</v>
      </c>
      <c r="B3" s="57" t="s">
        <v>134</v>
      </c>
      <c r="C3" s="61">
        <v>150.0</v>
      </c>
      <c r="D3" s="62" t="s">
        <v>25</v>
      </c>
      <c r="E3" s="81">
        <v>2.85</v>
      </c>
      <c r="F3" s="81">
        <v>0.0</v>
      </c>
      <c r="G3" s="81">
        <v>52.5</v>
      </c>
      <c r="H3" s="81">
        <v>9.0</v>
      </c>
      <c r="I3" s="81">
        <v>0.0</v>
      </c>
      <c r="J3" s="81">
        <v>0.81</v>
      </c>
      <c r="K3" s="81">
        <v>4.5</v>
      </c>
      <c r="L3" s="81">
        <v>3.6</v>
      </c>
    </row>
    <row r="4" ht="22.5" customHeight="1">
      <c r="A4" s="53" t="s">
        <v>50</v>
      </c>
      <c r="B4" s="57" t="s">
        <v>135</v>
      </c>
      <c r="C4" s="61">
        <v>45.0</v>
      </c>
      <c r="D4" s="62" t="s">
        <v>25</v>
      </c>
      <c r="E4" s="81">
        <v>2.43</v>
      </c>
      <c r="F4" s="81">
        <v>0.0</v>
      </c>
      <c r="G4" s="81">
        <v>0.0</v>
      </c>
      <c r="H4" s="81">
        <v>43.65</v>
      </c>
      <c r="I4" s="81">
        <v>0.0</v>
      </c>
      <c r="J4" s="81">
        <v>3.6</v>
      </c>
      <c r="K4" s="81">
        <v>22.5</v>
      </c>
      <c r="L4" s="81">
        <v>16.2</v>
      </c>
    </row>
    <row r="5" ht="22.5" customHeight="1">
      <c r="A5" s="53" t="s">
        <v>50</v>
      </c>
      <c r="B5" s="57" t="s">
        <v>94</v>
      </c>
      <c r="C5" s="61">
        <v>120.0</v>
      </c>
      <c r="D5" s="62" t="s">
        <v>25</v>
      </c>
      <c r="E5" s="81">
        <v>0.48</v>
      </c>
      <c r="F5" s="81">
        <v>120.0</v>
      </c>
      <c r="G5" s="81">
        <v>0.0</v>
      </c>
      <c r="H5" s="81">
        <v>0.0</v>
      </c>
      <c r="I5" s="81">
        <v>0.0</v>
      </c>
      <c r="J5" s="81">
        <v>120.0</v>
      </c>
      <c r="K5" s="81">
        <v>120.0</v>
      </c>
      <c r="L5" s="81">
        <v>0.0</v>
      </c>
    </row>
    <row r="6" ht="22.5" customHeight="1">
      <c r="A6" s="53" t="s">
        <v>50</v>
      </c>
      <c r="B6" s="57" t="s">
        <v>63</v>
      </c>
      <c r="C6" s="61">
        <v>30.0</v>
      </c>
      <c r="D6" s="62" t="s">
        <v>25</v>
      </c>
      <c r="E6" s="81">
        <v>0.96</v>
      </c>
      <c r="F6" s="81">
        <v>27.6</v>
      </c>
      <c r="G6" s="81">
        <v>0.0</v>
      </c>
      <c r="H6" s="81">
        <v>0.0</v>
      </c>
      <c r="I6" s="81">
        <v>0.0</v>
      </c>
      <c r="J6" s="81">
        <v>22.2</v>
      </c>
      <c r="K6" s="81">
        <v>54.0</v>
      </c>
      <c r="L6" s="81">
        <v>0.0</v>
      </c>
    </row>
    <row r="7" ht="22.5" customHeight="1">
      <c r="A7" s="53" t="s">
        <v>50</v>
      </c>
      <c r="B7" s="57" t="s">
        <v>74</v>
      </c>
      <c r="C7" s="61">
        <v>30.0</v>
      </c>
      <c r="D7" s="62" t="s">
        <v>25</v>
      </c>
      <c r="E7" s="81">
        <v>1.14</v>
      </c>
      <c r="F7" s="81">
        <v>28.5</v>
      </c>
      <c r="G7" s="81">
        <v>0.0</v>
      </c>
      <c r="H7" s="81">
        <v>0.0</v>
      </c>
      <c r="I7" s="81">
        <v>0.0</v>
      </c>
      <c r="J7" s="81">
        <v>12.0</v>
      </c>
      <c r="K7" s="81">
        <v>21.0</v>
      </c>
      <c r="L7" s="81">
        <v>0.0</v>
      </c>
    </row>
    <row r="8" ht="22.5" customHeight="1">
      <c r="A8" s="53" t="s">
        <v>50</v>
      </c>
      <c r="B8" s="57" t="s">
        <v>139</v>
      </c>
      <c r="C8" s="61">
        <v>5.0</v>
      </c>
      <c r="D8" s="62" t="s">
        <v>25</v>
      </c>
      <c r="E8" s="81">
        <v>1.0</v>
      </c>
      <c r="F8" s="81">
        <v>0.0</v>
      </c>
      <c r="G8" s="81">
        <v>0.0</v>
      </c>
      <c r="H8" s="81">
        <v>0.0</v>
      </c>
      <c r="I8" s="81">
        <v>5.0</v>
      </c>
      <c r="J8" s="81">
        <v>0.0</v>
      </c>
      <c r="K8" s="81">
        <v>0.0</v>
      </c>
      <c r="L8" s="81">
        <v>0.0</v>
      </c>
    </row>
    <row r="9" ht="22.5" customHeight="1">
      <c r="A9" s="53" t="s">
        <v>50</v>
      </c>
      <c r="B9" s="57" t="s">
        <v>141</v>
      </c>
      <c r="C9" s="61">
        <v>1.0</v>
      </c>
      <c r="D9" s="62" t="s">
        <v>25</v>
      </c>
      <c r="E9" s="81">
        <v>0.0035</v>
      </c>
      <c r="F9" s="81">
        <v>0.0</v>
      </c>
      <c r="G9" s="81">
        <v>0.0</v>
      </c>
      <c r="H9" s="81">
        <v>0.0</v>
      </c>
      <c r="I9" s="81">
        <v>1.0</v>
      </c>
      <c r="J9" s="81">
        <v>0.0</v>
      </c>
      <c r="K9" s="81">
        <v>3.0</v>
      </c>
      <c r="L9" s="81">
        <v>0.0</v>
      </c>
    </row>
    <row r="10" ht="22.5" customHeight="1">
      <c r="A10" s="53" t="s">
        <v>143</v>
      </c>
      <c r="B10" s="57" t="s">
        <v>58</v>
      </c>
      <c r="C10" s="61">
        <v>570.0</v>
      </c>
      <c r="D10" s="62" t="s">
        <v>25</v>
      </c>
      <c r="E10" s="81">
        <v>2.622</v>
      </c>
      <c r="F10" s="81">
        <v>0.0</v>
      </c>
      <c r="G10" s="81">
        <v>19.950000000000003</v>
      </c>
      <c r="H10" s="81">
        <v>51.3</v>
      </c>
      <c r="I10" s="81">
        <v>0.0</v>
      </c>
      <c r="J10" s="81">
        <v>4.446</v>
      </c>
      <c r="K10" s="81">
        <v>22.8</v>
      </c>
      <c r="L10" s="81">
        <v>19.950000000000003</v>
      </c>
    </row>
    <row r="11" ht="22.5" customHeight="1">
      <c r="A11" s="53" t="s">
        <v>143</v>
      </c>
      <c r="B11" s="57" t="s">
        <v>134</v>
      </c>
      <c r="C11" s="61">
        <v>200.0</v>
      </c>
      <c r="D11" s="62" t="s">
        <v>25</v>
      </c>
      <c r="E11" s="81">
        <v>3.8</v>
      </c>
      <c r="F11" s="81">
        <v>0.0</v>
      </c>
      <c r="G11" s="81">
        <v>70.0</v>
      </c>
      <c r="H11" s="81">
        <v>12.0</v>
      </c>
      <c r="I11" s="81">
        <v>0.0</v>
      </c>
      <c r="J11" s="81">
        <v>1.08</v>
      </c>
      <c r="K11" s="81">
        <v>6.0</v>
      </c>
      <c r="L11" s="81">
        <v>4.8</v>
      </c>
    </row>
    <row r="12" ht="22.5" customHeight="1">
      <c r="A12" s="53" t="s">
        <v>143</v>
      </c>
      <c r="B12" s="57" t="s">
        <v>135</v>
      </c>
      <c r="C12" s="61">
        <v>45.0</v>
      </c>
      <c r="D12" s="62" t="s">
        <v>25</v>
      </c>
      <c r="E12" s="81">
        <v>2.43</v>
      </c>
      <c r="F12" s="81">
        <v>0.0</v>
      </c>
      <c r="G12" s="81">
        <v>0.0</v>
      </c>
      <c r="H12" s="81">
        <v>43.65</v>
      </c>
      <c r="I12" s="81">
        <v>0.0</v>
      </c>
      <c r="J12" s="81">
        <v>3.6</v>
      </c>
      <c r="K12" s="81">
        <v>22.5</v>
      </c>
      <c r="L12" s="81">
        <v>16.2</v>
      </c>
    </row>
    <row r="13" ht="22.5" customHeight="1">
      <c r="A13" s="53" t="s">
        <v>143</v>
      </c>
      <c r="B13" s="57" t="s">
        <v>94</v>
      </c>
      <c r="C13" s="61">
        <v>120.0</v>
      </c>
      <c r="D13" s="62" t="s">
        <v>25</v>
      </c>
      <c r="E13" s="81">
        <v>0.48</v>
      </c>
      <c r="F13" s="81">
        <v>120.0</v>
      </c>
      <c r="G13" s="81">
        <v>0.0</v>
      </c>
      <c r="H13" s="81">
        <v>0.0</v>
      </c>
      <c r="I13" s="81">
        <v>0.0</v>
      </c>
      <c r="J13" s="81">
        <v>120.0</v>
      </c>
      <c r="K13" s="81">
        <v>120.0</v>
      </c>
      <c r="L13" s="81">
        <v>0.0</v>
      </c>
    </row>
    <row r="14" ht="22.5" customHeight="1">
      <c r="A14" s="53" t="s">
        <v>143</v>
      </c>
      <c r="B14" s="57" t="s">
        <v>63</v>
      </c>
      <c r="C14" s="61">
        <v>30.0</v>
      </c>
      <c r="D14" s="62" t="s">
        <v>25</v>
      </c>
      <c r="E14" s="81">
        <v>0.96</v>
      </c>
      <c r="F14" s="81">
        <v>27.6</v>
      </c>
      <c r="G14" s="81">
        <v>0.0</v>
      </c>
      <c r="H14" s="81">
        <v>0.0</v>
      </c>
      <c r="I14" s="81">
        <v>0.0</v>
      </c>
      <c r="J14" s="81">
        <v>22.2</v>
      </c>
      <c r="K14" s="81">
        <v>54.0</v>
      </c>
      <c r="L14" s="81">
        <v>0.0</v>
      </c>
    </row>
    <row r="15" ht="22.5" customHeight="1">
      <c r="A15" s="53" t="s">
        <v>143</v>
      </c>
      <c r="B15" s="57" t="s">
        <v>74</v>
      </c>
      <c r="C15" s="61">
        <v>30.0</v>
      </c>
      <c r="D15" s="62" t="s">
        <v>25</v>
      </c>
      <c r="E15" s="81">
        <v>1.14</v>
      </c>
      <c r="F15" s="81">
        <v>28.5</v>
      </c>
      <c r="G15" s="81">
        <v>0.0</v>
      </c>
      <c r="H15" s="81">
        <v>0.0</v>
      </c>
      <c r="I15" s="81">
        <v>0.0</v>
      </c>
      <c r="J15" s="81">
        <v>12.0</v>
      </c>
      <c r="K15" s="81">
        <v>21.0</v>
      </c>
      <c r="L15" s="81">
        <v>0.0</v>
      </c>
    </row>
    <row r="16" ht="22.5" customHeight="1">
      <c r="A16" s="53" t="s">
        <v>143</v>
      </c>
      <c r="B16" s="57" t="s">
        <v>139</v>
      </c>
      <c r="C16" s="61">
        <v>5.0</v>
      </c>
      <c r="D16" s="62" t="s">
        <v>25</v>
      </c>
      <c r="E16" s="81">
        <v>1.0</v>
      </c>
      <c r="F16" s="81">
        <v>0.0</v>
      </c>
      <c r="G16" s="81">
        <v>0.0</v>
      </c>
      <c r="H16" s="81">
        <v>0.0</v>
      </c>
      <c r="I16" s="81">
        <v>5.0</v>
      </c>
      <c r="J16" s="81">
        <v>0.0</v>
      </c>
      <c r="K16" s="81">
        <v>0.0</v>
      </c>
      <c r="L16" s="81">
        <v>0.0</v>
      </c>
    </row>
    <row r="17" ht="22.5" customHeight="1">
      <c r="A17" s="53" t="s">
        <v>143</v>
      </c>
      <c r="B17" s="57" t="s">
        <v>141</v>
      </c>
      <c r="C17" s="61">
        <v>1.0</v>
      </c>
      <c r="D17" s="62" t="s">
        <v>25</v>
      </c>
      <c r="E17" s="81">
        <v>0.0035</v>
      </c>
      <c r="F17" s="81">
        <v>0.0</v>
      </c>
      <c r="G17" s="81">
        <v>0.0</v>
      </c>
      <c r="H17" s="81">
        <v>0.0</v>
      </c>
      <c r="I17" s="81">
        <v>1.0</v>
      </c>
      <c r="J17" s="81">
        <v>0.0</v>
      </c>
      <c r="K17" s="81">
        <v>3.0</v>
      </c>
      <c r="L17" s="81">
        <v>0.0</v>
      </c>
    </row>
    <row r="18" ht="22.5" customHeight="1">
      <c r="A18" s="53" t="s">
        <v>147</v>
      </c>
      <c r="B18" s="57" t="s">
        <v>58</v>
      </c>
      <c r="C18" s="61">
        <v>640.0</v>
      </c>
      <c r="D18" s="62" t="s">
        <v>25</v>
      </c>
      <c r="E18" s="81">
        <v>2.944</v>
      </c>
      <c r="F18" s="81">
        <v>0.0</v>
      </c>
      <c r="G18" s="81">
        <v>22.400000000000002</v>
      </c>
      <c r="H18" s="81">
        <v>57.599999999999994</v>
      </c>
      <c r="I18" s="81">
        <v>0.0</v>
      </c>
      <c r="J18" s="81">
        <v>4.992</v>
      </c>
      <c r="K18" s="81">
        <v>25.6</v>
      </c>
      <c r="L18" s="81">
        <v>22.400000000000002</v>
      </c>
    </row>
    <row r="19" ht="22.5" customHeight="1">
      <c r="A19" s="53" t="s">
        <v>147</v>
      </c>
      <c r="B19" s="57" t="s">
        <v>134</v>
      </c>
      <c r="C19" s="61">
        <v>65.0</v>
      </c>
      <c r="D19" s="62" t="s">
        <v>25</v>
      </c>
      <c r="E19" s="81">
        <v>1.235</v>
      </c>
      <c r="F19" s="81">
        <v>0.0</v>
      </c>
      <c r="G19" s="81">
        <v>22.75</v>
      </c>
      <c r="H19" s="81">
        <v>3.9</v>
      </c>
      <c r="I19" s="81">
        <v>0.0</v>
      </c>
      <c r="J19" s="81">
        <v>0.35100000000000003</v>
      </c>
      <c r="K19" s="81">
        <v>1.95</v>
      </c>
      <c r="L19" s="81">
        <v>1.56</v>
      </c>
    </row>
    <row r="20" ht="22.5" customHeight="1">
      <c r="A20" s="53" t="s">
        <v>147</v>
      </c>
      <c r="B20" s="57" t="s">
        <v>135</v>
      </c>
      <c r="C20" s="61">
        <v>30.0</v>
      </c>
      <c r="D20" s="62" t="s">
        <v>25</v>
      </c>
      <c r="E20" s="81">
        <v>1.62</v>
      </c>
      <c r="F20" s="81">
        <v>0.0</v>
      </c>
      <c r="G20" s="81">
        <v>0.0</v>
      </c>
      <c r="H20" s="81">
        <v>29.099999999999998</v>
      </c>
      <c r="I20" s="81">
        <v>0.0</v>
      </c>
      <c r="J20" s="81">
        <v>2.4</v>
      </c>
      <c r="K20" s="81">
        <v>15.0</v>
      </c>
      <c r="L20" s="81">
        <v>10.799999999999999</v>
      </c>
    </row>
    <row r="21" ht="15.75" customHeight="1">
      <c r="A21" s="53" t="s">
        <v>147</v>
      </c>
      <c r="B21" s="57" t="s">
        <v>94</v>
      </c>
      <c r="C21" s="61">
        <v>100.0</v>
      </c>
      <c r="D21" s="62" t="s">
        <v>25</v>
      </c>
      <c r="E21" s="81">
        <v>0.4</v>
      </c>
      <c r="F21" s="81">
        <v>100.0</v>
      </c>
      <c r="G21" s="81">
        <v>0.0</v>
      </c>
      <c r="H21" s="81">
        <v>0.0</v>
      </c>
      <c r="I21" s="81">
        <v>0.0</v>
      </c>
      <c r="J21" s="81">
        <v>100.0</v>
      </c>
      <c r="K21" s="81">
        <v>100.0</v>
      </c>
      <c r="L21" s="81">
        <v>0.0</v>
      </c>
    </row>
    <row r="22" ht="15.75" customHeight="1">
      <c r="A22" s="53" t="s">
        <v>147</v>
      </c>
      <c r="B22" s="57" t="s">
        <v>63</v>
      </c>
      <c r="C22" s="61">
        <v>50.0</v>
      </c>
      <c r="D22" s="62" t="s">
        <v>25</v>
      </c>
      <c r="E22" s="81">
        <v>1.6</v>
      </c>
      <c r="F22" s="81">
        <v>46.0</v>
      </c>
      <c r="G22" s="81">
        <v>0.0</v>
      </c>
      <c r="H22" s="81">
        <v>0.0</v>
      </c>
      <c r="I22" s="81">
        <v>0.0</v>
      </c>
      <c r="J22" s="81">
        <v>37.0</v>
      </c>
      <c r="K22" s="81">
        <v>90.0</v>
      </c>
      <c r="L22" s="81">
        <v>0.0</v>
      </c>
    </row>
    <row r="23" ht="15.75" customHeight="1">
      <c r="A23" s="53" t="s">
        <v>147</v>
      </c>
      <c r="B23" s="57" t="s">
        <v>111</v>
      </c>
      <c r="C23" s="61">
        <v>30.0</v>
      </c>
      <c r="D23" s="62" t="s">
        <v>25</v>
      </c>
      <c r="E23" s="81">
        <v>1.26</v>
      </c>
      <c r="F23" s="81">
        <v>0.0</v>
      </c>
      <c r="G23" s="81">
        <v>3.3</v>
      </c>
      <c r="H23" s="81">
        <v>0.0</v>
      </c>
      <c r="I23" s="81">
        <v>25.2</v>
      </c>
      <c r="J23" s="81">
        <v>0.0</v>
      </c>
      <c r="K23" s="81">
        <v>0.0</v>
      </c>
      <c r="L23" s="81">
        <v>5.3999999999999995</v>
      </c>
    </row>
    <row r="24" ht="15.75" customHeight="1">
      <c r="A24" s="53" t="s">
        <v>147</v>
      </c>
      <c r="B24" s="57" t="s">
        <v>155</v>
      </c>
      <c r="C24" s="61">
        <v>80.0</v>
      </c>
      <c r="D24" s="62" t="s">
        <v>25</v>
      </c>
      <c r="E24" s="81">
        <v>14.0</v>
      </c>
      <c r="F24" s="81">
        <v>24.0</v>
      </c>
      <c r="G24" s="81">
        <v>30.4</v>
      </c>
      <c r="H24" s="81">
        <v>0.0</v>
      </c>
      <c r="I24" s="81">
        <v>25.6</v>
      </c>
      <c r="J24" s="81">
        <v>46.4</v>
      </c>
      <c r="K24" s="81">
        <v>0.0</v>
      </c>
      <c r="L24" s="81">
        <v>4.0</v>
      </c>
    </row>
    <row r="25" ht="15.75" customHeight="1">
      <c r="A25" s="53" t="s">
        <v>147</v>
      </c>
      <c r="B25" s="57" t="s">
        <v>139</v>
      </c>
      <c r="C25" s="61">
        <v>4.0</v>
      </c>
      <c r="D25" s="62" t="s">
        <v>25</v>
      </c>
      <c r="E25" s="81">
        <v>0.8</v>
      </c>
      <c r="F25" s="81">
        <v>0.0</v>
      </c>
      <c r="G25" s="81">
        <v>0.0</v>
      </c>
      <c r="H25" s="81">
        <v>0.0</v>
      </c>
      <c r="I25" s="81">
        <v>4.0</v>
      </c>
      <c r="J25" s="81">
        <v>0.0</v>
      </c>
      <c r="K25" s="81">
        <v>0.0</v>
      </c>
      <c r="L25" s="81">
        <v>0.0</v>
      </c>
    </row>
    <row r="26" ht="15.75" customHeight="1">
      <c r="A26" s="53" t="s">
        <v>147</v>
      </c>
      <c r="B26" s="57" t="s">
        <v>141</v>
      </c>
      <c r="C26" s="61">
        <v>1.0</v>
      </c>
      <c r="D26" s="62" t="s">
        <v>25</v>
      </c>
      <c r="E26" s="81">
        <v>0.0035</v>
      </c>
      <c r="F26" s="81">
        <v>0.0</v>
      </c>
      <c r="G26" s="81">
        <v>0.0</v>
      </c>
      <c r="H26" s="81">
        <v>0.0</v>
      </c>
      <c r="I26" s="81">
        <v>1.0</v>
      </c>
      <c r="J26" s="81">
        <v>0.0</v>
      </c>
      <c r="K26" s="81">
        <v>3.0</v>
      </c>
      <c r="L26" s="81">
        <v>0.0</v>
      </c>
    </row>
    <row r="27" ht="15.75" customHeight="1">
      <c r="A27" s="53" t="s">
        <v>156</v>
      </c>
      <c r="B27" s="57" t="s">
        <v>58</v>
      </c>
      <c r="C27" s="61">
        <v>600.0</v>
      </c>
      <c r="D27" s="62" t="s">
        <v>25</v>
      </c>
      <c r="E27" s="81">
        <v>2.76</v>
      </c>
      <c r="F27" s="81">
        <v>0.0</v>
      </c>
      <c r="G27" s="81">
        <v>21.000000000000004</v>
      </c>
      <c r="H27" s="81">
        <v>54.0</v>
      </c>
      <c r="I27" s="81">
        <v>0.0</v>
      </c>
      <c r="J27" s="81">
        <v>4.68</v>
      </c>
      <c r="K27" s="81">
        <v>24.0</v>
      </c>
      <c r="L27" s="81">
        <v>21.000000000000004</v>
      </c>
    </row>
    <row r="28" ht="15.75" customHeight="1">
      <c r="A28" s="53" t="s">
        <v>156</v>
      </c>
      <c r="B28" s="57" t="s">
        <v>134</v>
      </c>
      <c r="C28" s="61">
        <v>120.0</v>
      </c>
      <c r="D28" s="62" t="s">
        <v>25</v>
      </c>
      <c r="E28" s="81">
        <v>2.28</v>
      </c>
      <c r="F28" s="81">
        <v>0.0</v>
      </c>
      <c r="G28" s="81">
        <v>42.0</v>
      </c>
      <c r="H28" s="81">
        <v>7.199999999999999</v>
      </c>
      <c r="I28" s="81">
        <v>0.0</v>
      </c>
      <c r="J28" s="81">
        <v>0.648</v>
      </c>
      <c r="K28" s="81">
        <v>3.5999999999999996</v>
      </c>
      <c r="L28" s="81">
        <v>2.88</v>
      </c>
    </row>
    <row r="29" ht="15.75" customHeight="1">
      <c r="A29" s="53" t="s">
        <v>156</v>
      </c>
      <c r="B29" s="57" t="s">
        <v>135</v>
      </c>
      <c r="C29" s="61">
        <v>45.0</v>
      </c>
      <c r="D29" s="62" t="s">
        <v>25</v>
      </c>
      <c r="E29" s="81">
        <v>2.43</v>
      </c>
      <c r="F29" s="81">
        <v>0.0</v>
      </c>
      <c r="G29" s="81">
        <v>0.0</v>
      </c>
      <c r="H29" s="81">
        <v>43.65</v>
      </c>
      <c r="I29" s="81">
        <v>0.0</v>
      </c>
      <c r="J29" s="81">
        <v>3.6</v>
      </c>
      <c r="K29" s="81">
        <v>22.5</v>
      </c>
      <c r="L29" s="81">
        <v>16.2</v>
      </c>
    </row>
    <row r="30" ht="15.75" customHeight="1">
      <c r="A30" s="53" t="s">
        <v>156</v>
      </c>
      <c r="B30" s="57" t="s">
        <v>94</v>
      </c>
      <c r="C30" s="61">
        <v>120.0</v>
      </c>
      <c r="D30" s="62" t="s">
        <v>25</v>
      </c>
      <c r="E30" s="81">
        <v>0.48</v>
      </c>
      <c r="F30" s="81">
        <v>120.0</v>
      </c>
      <c r="G30" s="81">
        <v>0.0</v>
      </c>
      <c r="H30" s="81">
        <v>0.0</v>
      </c>
      <c r="I30" s="81">
        <v>0.0</v>
      </c>
      <c r="J30" s="81">
        <v>120.0</v>
      </c>
      <c r="K30" s="81">
        <v>120.0</v>
      </c>
      <c r="L30" s="81">
        <v>0.0</v>
      </c>
    </row>
    <row r="31" ht="15.75" customHeight="1">
      <c r="A31" s="53" t="s">
        <v>156</v>
      </c>
      <c r="B31" s="57" t="s">
        <v>63</v>
      </c>
      <c r="C31" s="61">
        <v>30.0</v>
      </c>
      <c r="D31" s="62" t="s">
        <v>25</v>
      </c>
      <c r="E31" s="81">
        <v>0.96</v>
      </c>
      <c r="F31" s="81">
        <v>27.6</v>
      </c>
      <c r="G31" s="81">
        <v>0.0</v>
      </c>
      <c r="H31" s="81">
        <v>0.0</v>
      </c>
      <c r="I31" s="81">
        <v>0.0</v>
      </c>
      <c r="J31" s="81">
        <v>22.2</v>
      </c>
      <c r="K31" s="81">
        <v>54.0</v>
      </c>
      <c r="L31" s="81">
        <v>0.0</v>
      </c>
    </row>
    <row r="32" ht="15.75" customHeight="1">
      <c r="A32" s="53" t="s">
        <v>156</v>
      </c>
      <c r="B32" s="57" t="s">
        <v>158</v>
      </c>
      <c r="C32" s="61">
        <v>80.0</v>
      </c>
      <c r="D32" s="62" t="s">
        <v>25</v>
      </c>
      <c r="E32" s="81">
        <v>2.0</v>
      </c>
      <c r="F32" s="81">
        <v>0.0</v>
      </c>
      <c r="G32" s="81">
        <v>25.6</v>
      </c>
      <c r="H32" s="81">
        <v>0.0</v>
      </c>
      <c r="I32" s="81">
        <v>14.399999999999999</v>
      </c>
      <c r="J32" s="81">
        <v>0.0</v>
      </c>
      <c r="K32" s="81">
        <v>0.0</v>
      </c>
      <c r="L32" s="81">
        <v>12.8</v>
      </c>
    </row>
    <row r="33" ht="15.75" customHeight="1">
      <c r="A33" s="53" t="s">
        <v>156</v>
      </c>
      <c r="B33" s="57" t="s">
        <v>159</v>
      </c>
      <c r="C33" s="61">
        <v>5.0</v>
      </c>
      <c r="D33" s="62" t="s">
        <v>25</v>
      </c>
      <c r="E33" s="81">
        <v>5.0</v>
      </c>
      <c r="F33" s="81">
        <v>4.0</v>
      </c>
      <c r="G33" s="81">
        <v>0.0</v>
      </c>
      <c r="H33" s="81">
        <v>0.0</v>
      </c>
      <c r="I33" s="81">
        <v>0.0</v>
      </c>
      <c r="J33" s="81">
        <v>2.25</v>
      </c>
      <c r="K33" s="81">
        <v>3.75</v>
      </c>
      <c r="L33" s="81">
        <v>0.0</v>
      </c>
    </row>
    <row r="34" ht="15.75" customHeight="1">
      <c r="A34" s="53" t="s">
        <v>156</v>
      </c>
      <c r="B34" s="57" t="s">
        <v>139</v>
      </c>
      <c r="C34" s="61">
        <v>4.0</v>
      </c>
      <c r="D34" s="62" t="s">
        <v>25</v>
      </c>
      <c r="E34" s="81">
        <v>0.8</v>
      </c>
      <c r="F34" s="81">
        <v>0.0</v>
      </c>
      <c r="G34" s="81">
        <v>0.0</v>
      </c>
      <c r="H34" s="81">
        <v>0.0</v>
      </c>
      <c r="I34" s="81">
        <v>4.0</v>
      </c>
      <c r="J34" s="81">
        <v>0.0</v>
      </c>
      <c r="K34" s="81">
        <v>0.0</v>
      </c>
      <c r="L34" s="81">
        <v>0.0</v>
      </c>
    </row>
    <row r="35" ht="15.75" customHeight="1">
      <c r="A35" s="53" t="s">
        <v>156</v>
      </c>
      <c r="B35" s="57" t="s">
        <v>141</v>
      </c>
      <c r="C35" s="61">
        <v>1.0</v>
      </c>
      <c r="D35" s="62" t="s">
        <v>25</v>
      </c>
      <c r="E35" s="81">
        <v>0.0035</v>
      </c>
      <c r="F35" s="81">
        <v>0.0</v>
      </c>
      <c r="G35" s="81">
        <v>0.0</v>
      </c>
      <c r="H35" s="81">
        <v>0.0</v>
      </c>
      <c r="I35" s="81">
        <v>1.0</v>
      </c>
      <c r="J35" s="81">
        <v>0.0</v>
      </c>
      <c r="K35" s="81">
        <v>3.0</v>
      </c>
      <c r="L35" s="81">
        <v>0.0</v>
      </c>
    </row>
    <row r="36" ht="15.75" customHeight="1">
      <c r="A36" s="53" t="s">
        <v>160</v>
      </c>
      <c r="B36" s="57" t="s">
        <v>58</v>
      </c>
      <c r="C36" s="61">
        <v>570.0</v>
      </c>
      <c r="D36" s="62" t="s">
        <v>25</v>
      </c>
      <c r="E36" s="81">
        <v>2.622</v>
      </c>
      <c r="F36" s="81">
        <v>0.0</v>
      </c>
      <c r="G36" s="81">
        <v>19.950000000000003</v>
      </c>
      <c r="H36" s="81">
        <v>51.3</v>
      </c>
      <c r="I36" s="81">
        <v>0.0</v>
      </c>
      <c r="J36" s="81">
        <v>4.446</v>
      </c>
      <c r="K36" s="81">
        <v>22.8</v>
      </c>
      <c r="L36" s="81">
        <v>19.950000000000003</v>
      </c>
    </row>
    <row r="37" ht="15.75" customHeight="1">
      <c r="A37" s="53" t="s">
        <v>160</v>
      </c>
      <c r="B37" s="57" t="s">
        <v>134</v>
      </c>
      <c r="C37" s="61">
        <v>130.0</v>
      </c>
      <c r="D37" s="62" t="s">
        <v>25</v>
      </c>
      <c r="E37" s="81">
        <v>2.47</v>
      </c>
      <c r="F37" s="81">
        <v>0.0</v>
      </c>
      <c r="G37" s="81">
        <v>45.5</v>
      </c>
      <c r="H37" s="81">
        <v>7.8</v>
      </c>
      <c r="I37" s="81">
        <v>0.0</v>
      </c>
      <c r="J37" s="81">
        <v>0.7020000000000001</v>
      </c>
      <c r="K37" s="81">
        <v>3.9</v>
      </c>
      <c r="L37" s="81">
        <v>3.12</v>
      </c>
    </row>
    <row r="38" ht="15.75" customHeight="1">
      <c r="A38" s="53" t="s">
        <v>160</v>
      </c>
      <c r="B38" s="57" t="s">
        <v>135</v>
      </c>
      <c r="C38" s="61">
        <v>45.0</v>
      </c>
      <c r="D38" s="62" t="s">
        <v>25</v>
      </c>
      <c r="E38" s="81">
        <v>2.43</v>
      </c>
      <c r="F38" s="81">
        <v>0.0</v>
      </c>
      <c r="G38" s="81">
        <v>0.0</v>
      </c>
      <c r="H38" s="81">
        <v>43.65</v>
      </c>
      <c r="I38" s="81">
        <v>0.0</v>
      </c>
      <c r="J38" s="81">
        <v>3.6</v>
      </c>
      <c r="K38" s="81">
        <v>22.5</v>
      </c>
      <c r="L38" s="81">
        <v>16.2</v>
      </c>
    </row>
    <row r="39" ht="15.75" customHeight="1">
      <c r="A39" s="53" t="s">
        <v>160</v>
      </c>
      <c r="B39" s="57" t="s">
        <v>94</v>
      </c>
      <c r="C39" s="61">
        <v>120.0</v>
      </c>
      <c r="D39" s="62" t="s">
        <v>25</v>
      </c>
      <c r="E39" s="81">
        <v>0.48</v>
      </c>
      <c r="F39" s="81">
        <v>120.0</v>
      </c>
      <c r="G39" s="81">
        <v>0.0</v>
      </c>
      <c r="H39" s="81">
        <v>0.0</v>
      </c>
      <c r="I39" s="81">
        <v>0.0</v>
      </c>
      <c r="J39" s="81">
        <v>120.0</v>
      </c>
      <c r="K39" s="81">
        <v>120.0</v>
      </c>
      <c r="L39" s="81">
        <v>0.0</v>
      </c>
    </row>
    <row r="40" ht="15.75" customHeight="1">
      <c r="A40" s="53" t="s">
        <v>160</v>
      </c>
      <c r="B40" s="57" t="s">
        <v>63</v>
      </c>
      <c r="C40" s="61">
        <v>45.0</v>
      </c>
      <c r="D40" s="62" t="s">
        <v>25</v>
      </c>
      <c r="E40" s="81">
        <v>1.44</v>
      </c>
      <c r="F40" s="81">
        <v>41.4</v>
      </c>
      <c r="G40" s="81">
        <v>0.0</v>
      </c>
      <c r="H40" s="81">
        <v>0.0</v>
      </c>
      <c r="I40" s="81">
        <v>0.0</v>
      </c>
      <c r="J40" s="81">
        <v>33.3</v>
      </c>
      <c r="K40" s="81">
        <v>81.0</v>
      </c>
      <c r="L40" s="81">
        <v>0.0</v>
      </c>
    </row>
    <row r="41" ht="15.75" customHeight="1">
      <c r="A41" s="53" t="s">
        <v>160</v>
      </c>
      <c r="B41" s="57" t="s">
        <v>158</v>
      </c>
      <c r="C41" s="61">
        <v>80.0</v>
      </c>
      <c r="D41" s="62" t="s">
        <v>25</v>
      </c>
      <c r="E41" s="81">
        <v>2.0</v>
      </c>
      <c r="F41" s="81">
        <v>0.0</v>
      </c>
      <c r="G41" s="81">
        <v>25.6</v>
      </c>
      <c r="H41" s="81">
        <v>0.0</v>
      </c>
      <c r="I41" s="81">
        <v>14.399999999999999</v>
      </c>
      <c r="J41" s="81">
        <v>0.0</v>
      </c>
      <c r="K41" s="81">
        <v>0.0</v>
      </c>
      <c r="L41" s="81">
        <v>12.8</v>
      </c>
    </row>
    <row r="42" ht="15.75" customHeight="1">
      <c r="A42" s="53" t="s">
        <v>160</v>
      </c>
      <c r="B42" s="57" t="s">
        <v>159</v>
      </c>
      <c r="C42" s="61">
        <v>5.0</v>
      </c>
      <c r="D42" s="62" t="s">
        <v>25</v>
      </c>
      <c r="E42" s="81">
        <v>5.0</v>
      </c>
      <c r="F42" s="81">
        <v>4.0</v>
      </c>
      <c r="G42" s="81">
        <v>0.0</v>
      </c>
      <c r="H42" s="81">
        <v>0.0</v>
      </c>
      <c r="I42" s="81">
        <v>0.0</v>
      </c>
      <c r="J42" s="81">
        <v>2.25</v>
      </c>
      <c r="K42" s="81">
        <v>3.75</v>
      </c>
      <c r="L42" s="81">
        <v>0.0</v>
      </c>
    </row>
    <row r="43" ht="15.75" customHeight="1">
      <c r="A43" s="53" t="s">
        <v>160</v>
      </c>
      <c r="B43" s="57" t="s">
        <v>166</v>
      </c>
      <c r="C43" s="61">
        <v>3.0</v>
      </c>
      <c r="D43" s="62" t="s">
        <v>25</v>
      </c>
      <c r="E43" s="81">
        <v>0.0</v>
      </c>
      <c r="F43" s="81">
        <v>0.0</v>
      </c>
      <c r="G43" s="81">
        <v>0.0</v>
      </c>
      <c r="H43" s="81">
        <v>0.0</v>
      </c>
      <c r="I43" s="81">
        <v>0.54</v>
      </c>
      <c r="J43" s="81">
        <v>0.15000000000000002</v>
      </c>
      <c r="K43" s="81">
        <v>0.21000000000000002</v>
      </c>
      <c r="L43" s="81">
        <v>0.0</v>
      </c>
    </row>
    <row r="44" ht="15.75" customHeight="1">
      <c r="A44" s="53" t="s">
        <v>160</v>
      </c>
      <c r="B44" s="57" t="s">
        <v>139</v>
      </c>
      <c r="C44" s="61">
        <v>4.0</v>
      </c>
      <c r="D44" s="62" t="s">
        <v>25</v>
      </c>
      <c r="E44" s="81">
        <v>0.8</v>
      </c>
      <c r="F44" s="81">
        <v>0.0</v>
      </c>
      <c r="G44" s="81">
        <v>0.0</v>
      </c>
      <c r="H44" s="81">
        <v>0.0</v>
      </c>
      <c r="I44" s="81">
        <v>4.0</v>
      </c>
      <c r="J44" s="81">
        <v>0.0</v>
      </c>
      <c r="K44" s="81">
        <v>0.0</v>
      </c>
      <c r="L44" s="81">
        <v>0.0</v>
      </c>
    </row>
    <row r="45" ht="15.75" customHeight="1">
      <c r="A45" s="53" t="s">
        <v>160</v>
      </c>
      <c r="B45" s="57" t="s">
        <v>141</v>
      </c>
      <c r="C45" s="61">
        <v>1.0</v>
      </c>
      <c r="D45" s="62" t="s">
        <v>25</v>
      </c>
      <c r="E45" s="81">
        <v>0.0035</v>
      </c>
      <c r="F45" s="81">
        <v>0.0</v>
      </c>
      <c r="G45" s="81">
        <v>0.0</v>
      </c>
      <c r="H45" s="81">
        <v>0.0</v>
      </c>
      <c r="I45" s="81">
        <v>1.0</v>
      </c>
      <c r="J45" s="81">
        <v>0.0</v>
      </c>
      <c r="K45" s="81">
        <v>3.0</v>
      </c>
      <c r="L45" s="81">
        <v>0.0</v>
      </c>
    </row>
    <row r="46" ht="15.75" customHeight="1">
      <c r="A46" s="53" t="s">
        <v>168</v>
      </c>
      <c r="B46" s="57" t="s">
        <v>58</v>
      </c>
      <c r="C46" s="61">
        <v>580.0</v>
      </c>
      <c r="D46" s="62" t="s">
        <v>25</v>
      </c>
      <c r="E46" s="81">
        <v>2.668</v>
      </c>
      <c r="F46" s="81">
        <v>0.0</v>
      </c>
      <c r="G46" s="81">
        <v>20.3</v>
      </c>
      <c r="H46" s="81">
        <v>52.199999999999996</v>
      </c>
      <c r="I46" s="81">
        <v>0.0</v>
      </c>
      <c r="J46" s="81">
        <v>4.524</v>
      </c>
      <c r="K46" s="81">
        <v>23.2</v>
      </c>
      <c r="L46" s="81">
        <v>20.3</v>
      </c>
    </row>
    <row r="47" ht="15.75" customHeight="1">
      <c r="A47" s="53" t="s">
        <v>168</v>
      </c>
      <c r="B47" s="57" t="s">
        <v>134</v>
      </c>
      <c r="C47" s="61">
        <v>155.0</v>
      </c>
      <c r="D47" s="62" t="s">
        <v>25</v>
      </c>
      <c r="E47" s="81">
        <v>2.945</v>
      </c>
      <c r="F47" s="81">
        <v>0.0</v>
      </c>
      <c r="G47" s="81">
        <v>54.25</v>
      </c>
      <c r="H47" s="81">
        <v>9.299999999999999</v>
      </c>
      <c r="I47" s="81">
        <v>0.0</v>
      </c>
      <c r="J47" s="81">
        <v>0.8370000000000001</v>
      </c>
      <c r="K47" s="81">
        <v>4.6499999999999995</v>
      </c>
      <c r="L47" s="81">
        <v>3.72</v>
      </c>
    </row>
    <row r="48" ht="15.75" customHeight="1">
      <c r="A48" s="53" t="s">
        <v>168</v>
      </c>
      <c r="B48" s="57" t="s">
        <v>135</v>
      </c>
      <c r="C48" s="61">
        <v>45.0</v>
      </c>
      <c r="D48" s="62" t="s">
        <v>25</v>
      </c>
      <c r="E48" s="81">
        <v>2.43</v>
      </c>
      <c r="F48" s="81">
        <v>0.0</v>
      </c>
      <c r="G48" s="81">
        <v>0.0</v>
      </c>
      <c r="H48" s="81">
        <v>43.65</v>
      </c>
      <c r="I48" s="81">
        <v>0.0</v>
      </c>
      <c r="J48" s="81">
        <v>3.6</v>
      </c>
      <c r="K48" s="81">
        <v>22.5</v>
      </c>
      <c r="L48" s="81">
        <v>16.2</v>
      </c>
    </row>
    <row r="49" ht="15.75" customHeight="1">
      <c r="A49" s="53" t="s">
        <v>168</v>
      </c>
      <c r="B49" s="57" t="s">
        <v>169</v>
      </c>
      <c r="C49" s="61">
        <v>120.0</v>
      </c>
      <c r="D49" s="62" t="s">
        <v>25</v>
      </c>
      <c r="E49" s="81">
        <v>2.16</v>
      </c>
      <c r="F49" s="81">
        <v>117.6</v>
      </c>
      <c r="G49" s="81">
        <v>0.0</v>
      </c>
      <c r="H49" s="81">
        <v>0.0</v>
      </c>
      <c r="I49" s="81">
        <v>0.0</v>
      </c>
      <c r="J49" s="81">
        <v>118.8</v>
      </c>
      <c r="K49" s="81">
        <v>123.60000000000001</v>
      </c>
      <c r="L49" s="81">
        <v>0.0</v>
      </c>
    </row>
    <row r="50" ht="15.75" customHeight="1">
      <c r="A50" s="53" t="s">
        <v>168</v>
      </c>
      <c r="B50" s="57" t="s">
        <v>63</v>
      </c>
      <c r="C50" s="61">
        <v>35.0</v>
      </c>
      <c r="D50" s="62" t="s">
        <v>25</v>
      </c>
      <c r="E50" s="81">
        <v>1.12</v>
      </c>
      <c r="F50" s="81">
        <v>32.2</v>
      </c>
      <c r="G50" s="81">
        <v>0.0</v>
      </c>
      <c r="H50" s="81">
        <v>0.0</v>
      </c>
      <c r="I50" s="81">
        <v>0.0</v>
      </c>
      <c r="J50" s="81">
        <v>25.9</v>
      </c>
      <c r="K50" s="81">
        <v>63.0</v>
      </c>
      <c r="L50" s="81">
        <v>0.0</v>
      </c>
    </row>
    <row r="51" ht="15.75" customHeight="1">
      <c r="A51" s="53" t="s">
        <v>168</v>
      </c>
      <c r="B51" s="57" t="s">
        <v>74</v>
      </c>
      <c r="C51" s="61">
        <v>30.0</v>
      </c>
      <c r="D51" s="62" t="s">
        <v>25</v>
      </c>
      <c r="E51" s="81">
        <v>1.14</v>
      </c>
      <c r="F51" s="81">
        <v>28.5</v>
      </c>
      <c r="G51" s="81">
        <v>0.0</v>
      </c>
      <c r="H51" s="81">
        <v>0.0</v>
      </c>
      <c r="I51" s="81">
        <v>0.0</v>
      </c>
      <c r="J51" s="81">
        <v>12.0</v>
      </c>
      <c r="K51" s="81">
        <v>21.0</v>
      </c>
      <c r="L51" s="81">
        <v>0.0</v>
      </c>
    </row>
    <row r="52" ht="15.75" customHeight="1">
      <c r="A52" s="53" t="s">
        <v>168</v>
      </c>
      <c r="B52" s="57" t="s">
        <v>170</v>
      </c>
      <c r="C52" s="61">
        <v>25.0</v>
      </c>
      <c r="D52" s="62" t="s">
        <v>25</v>
      </c>
      <c r="E52" s="81">
        <v>2.375</v>
      </c>
      <c r="F52" s="81">
        <v>0.0</v>
      </c>
      <c r="G52" s="81">
        <v>0.0</v>
      </c>
      <c r="H52" s="81">
        <v>0.0</v>
      </c>
      <c r="I52" s="81">
        <v>23.75</v>
      </c>
      <c r="J52" s="81">
        <v>0.0</v>
      </c>
      <c r="K52" s="81">
        <v>5.0</v>
      </c>
      <c r="L52" s="81">
        <v>0.0</v>
      </c>
    </row>
    <row r="53" ht="15.75" customHeight="1">
      <c r="A53" s="53" t="s">
        <v>168</v>
      </c>
      <c r="B53" s="57" t="s">
        <v>159</v>
      </c>
      <c r="C53" s="61">
        <v>7.0</v>
      </c>
      <c r="D53" s="62" t="s">
        <v>25</v>
      </c>
      <c r="E53" s="81">
        <v>7.0</v>
      </c>
      <c r="F53" s="81">
        <v>5.6000000000000005</v>
      </c>
      <c r="G53" s="81">
        <v>0.0</v>
      </c>
      <c r="H53" s="81">
        <v>0.0</v>
      </c>
      <c r="I53" s="81">
        <v>0.0</v>
      </c>
      <c r="J53" s="81">
        <v>3.15</v>
      </c>
      <c r="K53" s="81">
        <v>5.25</v>
      </c>
      <c r="L53" s="81">
        <v>0.0</v>
      </c>
    </row>
    <row r="54" ht="15.75" customHeight="1">
      <c r="A54" s="53" t="s">
        <v>168</v>
      </c>
      <c r="B54" s="57" t="s">
        <v>139</v>
      </c>
      <c r="C54" s="61">
        <v>4.0</v>
      </c>
      <c r="D54" s="62" t="s">
        <v>25</v>
      </c>
      <c r="E54" s="81">
        <v>0.8</v>
      </c>
      <c r="F54" s="81">
        <v>0.0</v>
      </c>
      <c r="G54" s="81">
        <v>0.0</v>
      </c>
      <c r="H54" s="81">
        <v>0.0</v>
      </c>
      <c r="I54" s="81">
        <v>4.0</v>
      </c>
      <c r="J54" s="81">
        <v>0.0</v>
      </c>
      <c r="K54" s="81">
        <v>0.0</v>
      </c>
      <c r="L54" s="81">
        <v>0.0</v>
      </c>
    </row>
    <row r="55" ht="15.75" customHeight="1">
      <c r="A55" s="53" t="s">
        <v>168</v>
      </c>
      <c r="B55" s="57" t="s">
        <v>141</v>
      </c>
      <c r="C55" s="61">
        <v>1.0</v>
      </c>
      <c r="D55" s="62" t="s">
        <v>25</v>
      </c>
      <c r="E55" s="81">
        <v>0.0035</v>
      </c>
      <c r="F55" s="81">
        <v>0.0</v>
      </c>
      <c r="G55" s="81">
        <v>0.0</v>
      </c>
      <c r="H55" s="81">
        <v>0.0</v>
      </c>
      <c r="I55" s="81">
        <v>1.0</v>
      </c>
      <c r="J55" s="81">
        <v>0.0</v>
      </c>
      <c r="K55" s="81">
        <v>3.0</v>
      </c>
      <c r="L55" s="81">
        <v>0.0</v>
      </c>
    </row>
    <row r="56" ht="15.75" customHeight="1">
      <c r="A56" s="53" t="s">
        <v>172</v>
      </c>
      <c r="B56" s="57" t="s">
        <v>173</v>
      </c>
      <c r="C56" s="61">
        <v>350.0</v>
      </c>
      <c r="D56" s="62" t="s">
        <v>25</v>
      </c>
      <c r="E56" s="81">
        <v>16.8</v>
      </c>
      <c r="F56" s="81">
        <v>171.5</v>
      </c>
      <c r="G56" s="81">
        <v>21.0</v>
      </c>
      <c r="H56" s="81">
        <v>47.25</v>
      </c>
      <c r="I56" s="81">
        <v>0.0</v>
      </c>
      <c r="J56" s="81">
        <v>164.5</v>
      </c>
      <c r="K56" s="81">
        <v>227.15</v>
      </c>
      <c r="L56" s="81">
        <v>30.099999999999998</v>
      </c>
    </row>
    <row r="57" ht="15.75" customHeight="1">
      <c r="A57" s="53" t="s">
        <v>172</v>
      </c>
      <c r="B57" s="57" t="s">
        <v>134</v>
      </c>
      <c r="C57" s="61">
        <v>145.0</v>
      </c>
      <c r="D57" s="62" t="s">
        <v>25</v>
      </c>
      <c r="E57" s="81">
        <v>2.755</v>
      </c>
      <c r="F57" s="81">
        <v>0.0</v>
      </c>
      <c r="G57" s="81">
        <v>50.75</v>
      </c>
      <c r="H57" s="81">
        <v>8.7</v>
      </c>
      <c r="I57" s="81">
        <v>0.0</v>
      </c>
      <c r="J57" s="81">
        <v>0.783</v>
      </c>
      <c r="K57" s="81">
        <v>4.35</v>
      </c>
      <c r="L57" s="81">
        <v>3.48</v>
      </c>
    </row>
    <row r="58" ht="15.75" customHeight="1">
      <c r="A58" s="53" t="s">
        <v>172</v>
      </c>
      <c r="B58" s="57" t="s">
        <v>58</v>
      </c>
      <c r="C58" s="61">
        <v>485.0</v>
      </c>
      <c r="D58" s="62" t="s">
        <v>25</v>
      </c>
      <c r="E58" s="81">
        <v>2.231</v>
      </c>
      <c r="F58" s="81">
        <v>0.0</v>
      </c>
      <c r="G58" s="81">
        <v>16.975</v>
      </c>
      <c r="H58" s="81">
        <v>43.65</v>
      </c>
      <c r="I58" s="81">
        <v>0.0</v>
      </c>
      <c r="J58" s="81">
        <v>3.783</v>
      </c>
      <c r="K58" s="81">
        <v>19.400000000000002</v>
      </c>
      <c r="L58" s="81">
        <v>16.975</v>
      </c>
    </row>
    <row r="59" ht="15.75" customHeight="1">
      <c r="A59" s="53" t="s">
        <v>172</v>
      </c>
      <c r="B59" s="57" t="s">
        <v>139</v>
      </c>
      <c r="C59" s="61">
        <v>5.0</v>
      </c>
      <c r="D59" s="62" t="s">
        <v>25</v>
      </c>
      <c r="E59" s="81">
        <v>1.0</v>
      </c>
      <c r="F59" s="81">
        <v>0.0</v>
      </c>
      <c r="G59" s="81">
        <v>0.0</v>
      </c>
      <c r="H59" s="81">
        <v>0.0</v>
      </c>
      <c r="I59" s="81">
        <v>5.0</v>
      </c>
      <c r="J59" s="81">
        <v>0.0</v>
      </c>
      <c r="K59" s="81">
        <v>0.0</v>
      </c>
      <c r="L59" s="81">
        <v>0.0</v>
      </c>
    </row>
    <row r="60" ht="15.75" customHeight="1">
      <c r="A60" s="53" t="s">
        <v>172</v>
      </c>
      <c r="B60" s="57" t="s">
        <v>141</v>
      </c>
      <c r="C60" s="61">
        <v>1.0</v>
      </c>
      <c r="D60" s="62" t="s">
        <v>25</v>
      </c>
      <c r="E60" s="81">
        <v>0.0035</v>
      </c>
      <c r="F60" s="81">
        <v>0.0</v>
      </c>
      <c r="G60" s="81">
        <v>0.0</v>
      </c>
      <c r="H60" s="81">
        <v>0.0</v>
      </c>
      <c r="I60" s="81">
        <v>1.0</v>
      </c>
      <c r="J60" s="81">
        <v>0.0</v>
      </c>
      <c r="K60" s="81">
        <v>3.0</v>
      </c>
      <c r="L60" s="81">
        <v>0.0</v>
      </c>
    </row>
    <row r="61" ht="15.75" customHeight="1">
      <c r="A61" s="53" t="s">
        <v>172</v>
      </c>
      <c r="B61" s="57" t="s">
        <v>63</v>
      </c>
      <c r="C61" s="61">
        <v>15.0</v>
      </c>
      <c r="D61" s="62" t="s">
        <v>25</v>
      </c>
      <c r="E61" s="81">
        <v>0.48</v>
      </c>
      <c r="F61" s="81">
        <v>13.8</v>
      </c>
      <c r="G61" s="81">
        <v>0.0</v>
      </c>
      <c r="H61" s="81">
        <v>0.0</v>
      </c>
      <c r="I61" s="81">
        <v>0.0</v>
      </c>
      <c r="J61" s="81">
        <v>11.1</v>
      </c>
      <c r="K61" s="81">
        <v>27.0</v>
      </c>
      <c r="L61" s="81">
        <v>0.0</v>
      </c>
    </row>
    <row r="62" ht="15.75" customHeight="1">
      <c r="A62" s="53" t="s">
        <v>175</v>
      </c>
      <c r="B62" s="57" t="s">
        <v>58</v>
      </c>
      <c r="C62" s="61">
        <v>680.0</v>
      </c>
      <c r="D62" s="62" t="s">
        <v>25</v>
      </c>
      <c r="E62" s="81">
        <v>3.1279999999999997</v>
      </c>
      <c r="F62" s="81">
        <v>0.0</v>
      </c>
      <c r="G62" s="81">
        <v>23.8</v>
      </c>
      <c r="H62" s="81">
        <v>61.199999999999996</v>
      </c>
      <c r="I62" s="81">
        <v>0.0</v>
      </c>
      <c r="J62" s="81">
        <v>5.303999999999999</v>
      </c>
      <c r="K62" s="81">
        <v>27.2</v>
      </c>
      <c r="L62" s="81">
        <v>23.8</v>
      </c>
    </row>
    <row r="63" ht="15.75" customHeight="1">
      <c r="A63" s="53" t="s">
        <v>175</v>
      </c>
      <c r="B63" s="57" t="s">
        <v>134</v>
      </c>
      <c r="C63" s="61">
        <v>110.0</v>
      </c>
      <c r="D63" s="62" t="s">
        <v>25</v>
      </c>
      <c r="E63" s="81">
        <v>2.09</v>
      </c>
      <c r="F63" s="81">
        <v>0.0</v>
      </c>
      <c r="G63" s="81">
        <v>38.5</v>
      </c>
      <c r="H63" s="81">
        <v>6.6</v>
      </c>
      <c r="I63" s="81">
        <v>0.0</v>
      </c>
      <c r="J63" s="81">
        <v>0.5940000000000001</v>
      </c>
      <c r="K63" s="81">
        <v>3.3</v>
      </c>
      <c r="L63" s="81">
        <v>2.64</v>
      </c>
    </row>
    <row r="64" ht="15.75" customHeight="1">
      <c r="A64" s="53" t="s">
        <v>175</v>
      </c>
      <c r="B64" s="57" t="s">
        <v>135</v>
      </c>
      <c r="C64" s="61">
        <v>35.0</v>
      </c>
      <c r="D64" s="62" t="s">
        <v>25</v>
      </c>
      <c r="E64" s="81">
        <v>1.89</v>
      </c>
      <c r="F64" s="81">
        <v>0.0</v>
      </c>
      <c r="G64" s="81">
        <v>0.0</v>
      </c>
      <c r="H64" s="81">
        <v>33.949999999999996</v>
      </c>
      <c r="I64" s="81">
        <v>0.0</v>
      </c>
      <c r="J64" s="81">
        <v>2.8000000000000003</v>
      </c>
      <c r="K64" s="81">
        <v>17.5</v>
      </c>
      <c r="L64" s="81">
        <v>12.6</v>
      </c>
    </row>
    <row r="65" ht="15.75" customHeight="1">
      <c r="A65" s="53" t="s">
        <v>175</v>
      </c>
      <c r="B65" s="57" t="s">
        <v>176</v>
      </c>
      <c r="C65" s="61">
        <v>130.0</v>
      </c>
      <c r="D65" s="62" t="s">
        <v>25</v>
      </c>
      <c r="E65" s="81">
        <v>4.55</v>
      </c>
      <c r="F65" s="81">
        <v>97.5</v>
      </c>
      <c r="G65" s="81">
        <v>3.9</v>
      </c>
      <c r="H65" s="81">
        <v>6.5</v>
      </c>
      <c r="I65" s="81">
        <v>18.200000000000003</v>
      </c>
      <c r="J65" s="81">
        <v>97.5</v>
      </c>
      <c r="K65" s="81">
        <v>104.0</v>
      </c>
      <c r="L65" s="81">
        <v>5.2</v>
      </c>
    </row>
    <row r="66" ht="15.75" customHeight="1">
      <c r="A66" s="53" t="s">
        <v>175</v>
      </c>
      <c r="B66" s="57" t="s">
        <v>74</v>
      </c>
      <c r="C66" s="61">
        <v>25.0</v>
      </c>
      <c r="D66" s="62" t="s">
        <v>25</v>
      </c>
      <c r="E66" s="81">
        <v>0.95</v>
      </c>
      <c r="F66" s="81">
        <v>23.75</v>
      </c>
      <c r="G66" s="81">
        <v>0.0</v>
      </c>
      <c r="H66" s="81">
        <v>0.0</v>
      </c>
      <c r="I66" s="81">
        <v>0.0</v>
      </c>
      <c r="J66" s="81">
        <v>10.0</v>
      </c>
      <c r="K66" s="81">
        <v>17.5</v>
      </c>
      <c r="L66" s="81">
        <v>0.0</v>
      </c>
    </row>
    <row r="67" ht="15.75" customHeight="1">
      <c r="A67" s="53" t="s">
        <v>175</v>
      </c>
      <c r="B67" s="57" t="s">
        <v>63</v>
      </c>
      <c r="C67" s="61">
        <v>15.0</v>
      </c>
      <c r="D67" s="62" t="s">
        <v>25</v>
      </c>
      <c r="E67" s="81">
        <v>0.48</v>
      </c>
      <c r="F67" s="81">
        <v>13.8</v>
      </c>
      <c r="G67" s="81">
        <v>0.0</v>
      </c>
      <c r="H67" s="81">
        <v>0.0</v>
      </c>
      <c r="I67" s="81">
        <v>0.0</v>
      </c>
      <c r="J67" s="81">
        <v>11.1</v>
      </c>
      <c r="K67" s="81">
        <v>27.0</v>
      </c>
      <c r="L67" s="81">
        <v>0.0</v>
      </c>
    </row>
    <row r="68" ht="15.75" customHeight="1">
      <c r="A68" s="53" t="s">
        <v>175</v>
      </c>
      <c r="B68" s="57" t="s">
        <v>139</v>
      </c>
      <c r="C68" s="61">
        <v>5.0</v>
      </c>
      <c r="D68" s="62" t="s">
        <v>25</v>
      </c>
      <c r="E68" s="81">
        <v>1.0</v>
      </c>
      <c r="F68" s="81">
        <v>0.0</v>
      </c>
      <c r="G68" s="81">
        <v>0.0</v>
      </c>
      <c r="H68" s="81">
        <v>0.0</v>
      </c>
      <c r="I68" s="81">
        <v>5.0</v>
      </c>
      <c r="J68" s="81">
        <v>0.0</v>
      </c>
      <c r="K68" s="81">
        <v>0.0</v>
      </c>
      <c r="L68" s="81">
        <v>0.0</v>
      </c>
    </row>
    <row r="69" ht="15.75" customHeight="1">
      <c r="A69" s="53" t="s">
        <v>175</v>
      </c>
      <c r="B69" s="57" t="s">
        <v>141</v>
      </c>
      <c r="C69" s="61">
        <v>1.0</v>
      </c>
      <c r="D69" s="62" t="s">
        <v>25</v>
      </c>
      <c r="E69" s="81">
        <v>0.0035</v>
      </c>
      <c r="F69" s="81">
        <v>0.0</v>
      </c>
      <c r="G69" s="81">
        <v>0.0</v>
      </c>
      <c r="H69" s="81">
        <v>0.0</v>
      </c>
      <c r="I69" s="81">
        <v>1.0</v>
      </c>
      <c r="J69" s="81">
        <v>0.0</v>
      </c>
      <c r="K69" s="81">
        <v>3.0</v>
      </c>
      <c r="L69" s="81">
        <v>0.0</v>
      </c>
    </row>
    <row r="70" ht="15.75" customHeight="1">
      <c r="A70" s="53" t="s">
        <v>177</v>
      </c>
      <c r="B70" s="57" t="s">
        <v>58</v>
      </c>
      <c r="C70" s="61">
        <v>520.0</v>
      </c>
      <c r="D70" s="62" t="s">
        <v>25</v>
      </c>
      <c r="E70" s="81">
        <v>2.392</v>
      </c>
      <c r="F70" s="81">
        <v>0.0</v>
      </c>
      <c r="G70" s="81">
        <v>18.200000000000003</v>
      </c>
      <c r="H70" s="81">
        <v>46.8</v>
      </c>
      <c r="I70" s="81">
        <v>0.0</v>
      </c>
      <c r="J70" s="81">
        <v>4.056</v>
      </c>
      <c r="K70" s="81">
        <v>20.8</v>
      </c>
      <c r="L70" s="81">
        <v>18.200000000000003</v>
      </c>
    </row>
    <row r="71" ht="15.75" customHeight="1">
      <c r="A71" s="53" t="s">
        <v>177</v>
      </c>
      <c r="B71" s="57" t="s">
        <v>178</v>
      </c>
      <c r="C71" s="61">
        <v>250.0</v>
      </c>
      <c r="D71" s="62" t="s">
        <v>25</v>
      </c>
      <c r="E71" s="81">
        <v>12.0</v>
      </c>
      <c r="F71" s="81">
        <v>0.0</v>
      </c>
      <c r="G71" s="81">
        <v>77.5</v>
      </c>
      <c r="H71" s="81">
        <v>25.0</v>
      </c>
      <c r="I71" s="81">
        <v>0.0</v>
      </c>
      <c r="J71" s="81">
        <v>0.0</v>
      </c>
      <c r="K71" s="81">
        <v>0.0</v>
      </c>
      <c r="L71" s="81">
        <v>21.5</v>
      </c>
    </row>
    <row r="72" ht="15.75" customHeight="1">
      <c r="A72" s="53" t="s">
        <v>177</v>
      </c>
      <c r="B72" s="57" t="s">
        <v>135</v>
      </c>
      <c r="C72" s="61">
        <v>35.0</v>
      </c>
      <c r="D72" s="62" t="s">
        <v>25</v>
      </c>
      <c r="E72" s="81">
        <v>1.89</v>
      </c>
      <c r="F72" s="81">
        <v>0.0</v>
      </c>
      <c r="G72" s="81">
        <v>0.0</v>
      </c>
      <c r="H72" s="81">
        <v>33.949999999999996</v>
      </c>
      <c r="I72" s="81">
        <v>0.0</v>
      </c>
      <c r="J72" s="81">
        <v>2.8000000000000003</v>
      </c>
      <c r="K72" s="81">
        <v>17.5</v>
      </c>
      <c r="L72" s="81">
        <v>12.6</v>
      </c>
    </row>
    <row r="73" ht="15.75" customHeight="1">
      <c r="A73" s="53" t="s">
        <v>177</v>
      </c>
      <c r="B73" s="57" t="s">
        <v>94</v>
      </c>
      <c r="C73" s="61">
        <v>125.0</v>
      </c>
      <c r="D73" s="62" t="s">
        <v>25</v>
      </c>
      <c r="E73" s="81">
        <v>0.5</v>
      </c>
      <c r="F73" s="81">
        <v>125.0</v>
      </c>
      <c r="G73" s="81">
        <v>0.0</v>
      </c>
      <c r="H73" s="81">
        <v>0.0</v>
      </c>
      <c r="I73" s="81">
        <v>0.0</v>
      </c>
      <c r="J73" s="81">
        <v>125.0</v>
      </c>
      <c r="K73" s="81">
        <v>125.0</v>
      </c>
      <c r="L73" s="81">
        <v>0.0</v>
      </c>
    </row>
    <row r="74" ht="15.75" customHeight="1">
      <c r="A74" s="53" t="s">
        <v>177</v>
      </c>
      <c r="B74" s="57" t="s">
        <v>63</v>
      </c>
      <c r="C74" s="61">
        <v>45.0</v>
      </c>
      <c r="D74" s="62" t="s">
        <v>25</v>
      </c>
      <c r="E74" s="81">
        <v>1.44</v>
      </c>
      <c r="F74" s="81">
        <v>41.4</v>
      </c>
      <c r="G74" s="81">
        <v>0.0</v>
      </c>
      <c r="H74" s="81">
        <v>0.0</v>
      </c>
      <c r="I74" s="81">
        <v>0.0</v>
      </c>
      <c r="J74" s="81">
        <v>33.3</v>
      </c>
      <c r="K74" s="81">
        <v>81.0</v>
      </c>
      <c r="L74" s="81">
        <v>0.0</v>
      </c>
    </row>
    <row r="75" ht="15.75" customHeight="1">
      <c r="A75" s="53" t="s">
        <v>177</v>
      </c>
      <c r="B75" s="57" t="s">
        <v>162</v>
      </c>
      <c r="C75" s="61">
        <v>20.0</v>
      </c>
      <c r="D75" s="62" t="s">
        <v>25</v>
      </c>
      <c r="E75" s="81">
        <v>0.26</v>
      </c>
      <c r="F75" s="81">
        <v>0.4</v>
      </c>
      <c r="G75" s="81">
        <v>0.0</v>
      </c>
      <c r="H75" s="81">
        <v>0.0</v>
      </c>
      <c r="I75" s="81">
        <v>1.2</v>
      </c>
      <c r="J75" s="81">
        <v>0.6</v>
      </c>
      <c r="K75" s="81">
        <v>0.64</v>
      </c>
      <c r="L75" s="81">
        <v>0.0</v>
      </c>
    </row>
    <row r="76" ht="15.75" customHeight="1">
      <c r="A76" s="53" t="s">
        <v>177</v>
      </c>
      <c r="B76" s="57" t="s">
        <v>139</v>
      </c>
      <c r="C76" s="61">
        <v>5.0</v>
      </c>
      <c r="D76" s="62" t="s">
        <v>25</v>
      </c>
      <c r="E76" s="81">
        <v>1.0</v>
      </c>
      <c r="F76" s="81">
        <v>0.0</v>
      </c>
      <c r="G76" s="81">
        <v>0.0</v>
      </c>
      <c r="H76" s="81">
        <v>0.0</v>
      </c>
      <c r="I76" s="81">
        <v>5.0</v>
      </c>
      <c r="J76" s="81">
        <v>0.0</v>
      </c>
      <c r="K76" s="81">
        <v>0.0</v>
      </c>
      <c r="L76" s="81">
        <v>0.0</v>
      </c>
    </row>
    <row r="77" ht="15.75" customHeight="1">
      <c r="A77" s="53" t="s">
        <v>177</v>
      </c>
      <c r="B77" s="57" t="s">
        <v>141</v>
      </c>
      <c r="C77" s="61">
        <v>1.0</v>
      </c>
      <c r="D77" s="62" t="s">
        <v>25</v>
      </c>
      <c r="E77" s="81">
        <v>0.0035</v>
      </c>
      <c r="F77" s="81">
        <v>0.0</v>
      </c>
      <c r="G77" s="81">
        <v>0.0</v>
      </c>
      <c r="H77" s="81">
        <v>0.0</v>
      </c>
      <c r="I77" s="81">
        <v>1.0</v>
      </c>
      <c r="J77" s="81">
        <v>0.0</v>
      </c>
      <c r="K77" s="81">
        <v>3.0</v>
      </c>
      <c r="L77" s="81">
        <v>0.0</v>
      </c>
    </row>
    <row r="78" ht="15.75" customHeight="1">
      <c r="A78" s="53" t="s">
        <v>180</v>
      </c>
      <c r="B78" s="57" t="s">
        <v>58</v>
      </c>
      <c r="C78" s="61">
        <v>580.0</v>
      </c>
      <c r="D78" s="62" t="s">
        <v>25</v>
      </c>
      <c r="E78" s="81">
        <v>2.668</v>
      </c>
      <c r="F78" s="81">
        <v>0.0</v>
      </c>
      <c r="G78" s="81">
        <v>20.3</v>
      </c>
      <c r="H78" s="81">
        <v>52.199999999999996</v>
      </c>
      <c r="I78" s="81">
        <v>0.0</v>
      </c>
      <c r="J78" s="81">
        <v>4.524</v>
      </c>
      <c r="K78" s="81">
        <v>23.2</v>
      </c>
      <c r="L78" s="81">
        <v>20.3</v>
      </c>
    </row>
    <row r="79" ht="15.75" customHeight="1">
      <c r="A79" s="53" t="s">
        <v>180</v>
      </c>
      <c r="B79" s="57" t="s">
        <v>181</v>
      </c>
      <c r="C79" s="61">
        <v>150.0</v>
      </c>
      <c r="D79" s="62" t="s">
        <v>25</v>
      </c>
      <c r="E79" s="81">
        <v>17.55</v>
      </c>
      <c r="F79" s="81">
        <v>0.0</v>
      </c>
      <c r="G79" s="81">
        <v>43.5</v>
      </c>
      <c r="H79" s="81">
        <v>57.0</v>
      </c>
      <c r="I79" s="81">
        <v>0.0</v>
      </c>
      <c r="J79" s="81">
        <v>0.0</v>
      </c>
      <c r="K79" s="81">
        <v>0.0</v>
      </c>
      <c r="L79" s="81">
        <v>53.4</v>
      </c>
    </row>
    <row r="80" ht="15.75" customHeight="1">
      <c r="A80" s="53" t="s">
        <v>180</v>
      </c>
      <c r="B80" s="57" t="s">
        <v>134</v>
      </c>
      <c r="C80" s="61">
        <v>50.0</v>
      </c>
      <c r="D80" s="62" t="s">
        <v>25</v>
      </c>
      <c r="E80" s="81">
        <v>0.95</v>
      </c>
      <c r="F80" s="81">
        <v>0.0</v>
      </c>
      <c r="G80" s="81">
        <v>17.5</v>
      </c>
      <c r="H80" s="81">
        <v>3.0</v>
      </c>
      <c r="I80" s="81">
        <v>0.0</v>
      </c>
      <c r="J80" s="81">
        <v>0.27</v>
      </c>
      <c r="K80" s="81">
        <v>1.5</v>
      </c>
      <c r="L80" s="81">
        <v>1.2</v>
      </c>
    </row>
    <row r="81" ht="15.75" customHeight="1">
      <c r="A81" s="53" t="s">
        <v>180</v>
      </c>
      <c r="B81" s="57" t="s">
        <v>135</v>
      </c>
      <c r="C81" s="61">
        <v>35.0</v>
      </c>
      <c r="D81" s="62" t="s">
        <v>25</v>
      </c>
      <c r="E81" s="81">
        <v>1.89</v>
      </c>
      <c r="F81" s="81">
        <v>0.0</v>
      </c>
      <c r="G81" s="81">
        <v>0.0</v>
      </c>
      <c r="H81" s="81">
        <v>33.949999999999996</v>
      </c>
      <c r="I81" s="81">
        <v>0.0</v>
      </c>
      <c r="J81" s="81">
        <v>2.8000000000000003</v>
      </c>
      <c r="K81" s="81">
        <v>17.5</v>
      </c>
      <c r="L81" s="81">
        <v>12.6</v>
      </c>
    </row>
    <row r="82" ht="15.75" customHeight="1">
      <c r="A82" s="53" t="s">
        <v>180</v>
      </c>
      <c r="B82" s="57" t="s">
        <v>94</v>
      </c>
      <c r="C82" s="61">
        <v>120.0</v>
      </c>
      <c r="D82" s="62" t="s">
        <v>25</v>
      </c>
      <c r="E82" s="81">
        <v>0.48</v>
      </c>
      <c r="F82" s="81">
        <v>120.0</v>
      </c>
      <c r="G82" s="81">
        <v>0.0</v>
      </c>
      <c r="H82" s="81">
        <v>0.0</v>
      </c>
      <c r="I82" s="81">
        <v>0.0</v>
      </c>
      <c r="J82" s="81">
        <v>120.0</v>
      </c>
      <c r="K82" s="81">
        <v>120.0</v>
      </c>
      <c r="L82" s="81">
        <v>0.0</v>
      </c>
    </row>
    <row r="83" ht="15.75" customHeight="1">
      <c r="A83" s="53" t="s">
        <v>180</v>
      </c>
      <c r="B83" s="57" t="s">
        <v>63</v>
      </c>
      <c r="C83" s="61">
        <v>55.0</v>
      </c>
      <c r="D83" s="62" t="s">
        <v>25</v>
      </c>
      <c r="E83" s="81">
        <v>1.76</v>
      </c>
      <c r="F83" s="81">
        <v>50.6</v>
      </c>
      <c r="G83" s="81">
        <v>0.0</v>
      </c>
      <c r="H83" s="81">
        <v>0.0</v>
      </c>
      <c r="I83" s="81">
        <v>0.0</v>
      </c>
      <c r="J83" s="81">
        <v>40.7</v>
      </c>
      <c r="K83" s="81">
        <v>99.0</v>
      </c>
      <c r="L83" s="81">
        <v>0.0</v>
      </c>
    </row>
    <row r="84" ht="15.75" customHeight="1">
      <c r="A84" s="53" t="s">
        <v>180</v>
      </c>
      <c r="B84" s="57" t="s">
        <v>139</v>
      </c>
      <c r="C84" s="61">
        <v>5.0</v>
      </c>
      <c r="D84" s="62" t="s">
        <v>25</v>
      </c>
      <c r="E84" s="81">
        <v>1.0</v>
      </c>
      <c r="F84" s="81">
        <v>0.0</v>
      </c>
      <c r="G84" s="81">
        <v>0.0</v>
      </c>
      <c r="H84" s="81">
        <v>0.0</v>
      </c>
      <c r="I84" s="81">
        <v>5.0</v>
      </c>
      <c r="J84" s="81">
        <v>0.0</v>
      </c>
      <c r="K84" s="81">
        <v>0.0</v>
      </c>
      <c r="L84" s="81">
        <v>0.0</v>
      </c>
    </row>
    <row r="85" ht="15.75" customHeight="1">
      <c r="A85" s="53" t="s">
        <v>180</v>
      </c>
      <c r="B85" s="57" t="s">
        <v>141</v>
      </c>
      <c r="C85" s="61">
        <v>2.0</v>
      </c>
      <c r="D85" s="62" t="s">
        <v>25</v>
      </c>
      <c r="E85" s="81">
        <v>0.007</v>
      </c>
      <c r="F85" s="81">
        <v>0.0</v>
      </c>
      <c r="G85" s="81">
        <v>0.0</v>
      </c>
      <c r="H85" s="81">
        <v>0.0</v>
      </c>
      <c r="I85" s="81">
        <v>2.0</v>
      </c>
      <c r="J85" s="81">
        <v>0.0</v>
      </c>
      <c r="K85" s="81">
        <v>6.0</v>
      </c>
      <c r="L85" s="81">
        <v>0.0</v>
      </c>
    </row>
    <row r="86" ht="15.75" customHeight="1">
      <c r="A86" s="53" t="s">
        <v>182</v>
      </c>
      <c r="B86" s="57" t="s">
        <v>58</v>
      </c>
      <c r="C86" s="61">
        <v>580.0</v>
      </c>
      <c r="D86" s="62" t="s">
        <v>25</v>
      </c>
      <c r="E86" s="81">
        <v>2.668</v>
      </c>
      <c r="F86" s="81">
        <v>0.0</v>
      </c>
      <c r="G86" s="81">
        <v>20.3</v>
      </c>
      <c r="H86" s="81">
        <v>52.199999999999996</v>
      </c>
      <c r="I86" s="81">
        <v>0.0</v>
      </c>
      <c r="J86" s="81">
        <v>4.524</v>
      </c>
      <c r="K86" s="81">
        <v>23.2</v>
      </c>
      <c r="L86" s="81">
        <v>20.3</v>
      </c>
    </row>
    <row r="87" ht="15.75" customHeight="1">
      <c r="A87" s="53" t="s">
        <v>182</v>
      </c>
      <c r="B87" s="57" t="s">
        <v>183</v>
      </c>
      <c r="C87" s="61">
        <v>200.0</v>
      </c>
      <c r="D87" s="62" t="s">
        <v>25</v>
      </c>
      <c r="E87" s="81">
        <v>18.0</v>
      </c>
      <c r="F87" s="81">
        <v>0.0</v>
      </c>
      <c r="G87" s="81">
        <v>64.0</v>
      </c>
      <c r="H87" s="81">
        <v>42.0</v>
      </c>
      <c r="I87" s="81">
        <v>4.0</v>
      </c>
      <c r="J87" s="81">
        <v>0.0</v>
      </c>
      <c r="K87" s="81">
        <v>10.0</v>
      </c>
      <c r="L87" s="81">
        <v>42.0</v>
      </c>
    </row>
    <row r="88" ht="15.75" customHeight="1">
      <c r="A88" s="53" t="s">
        <v>182</v>
      </c>
      <c r="B88" s="57" t="s">
        <v>135</v>
      </c>
      <c r="C88" s="61">
        <v>35.0</v>
      </c>
      <c r="D88" s="62" t="s">
        <v>25</v>
      </c>
      <c r="E88" s="81">
        <v>1.89</v>
      </c>
      <c r="F88" s="81">
        <v>0.0</v>
      </c>
      <c r="G88" s="81">
        <v>0.0</v>
      </c>
      <c r="H88" s="81">
        <v>33.949999999999996</v>
      </c>
      <c r="I88" s="81">
        <v>0.0</v>
      </c>
      <c r="J88" s="81">
        <v>2.8000000000000003</v>
      </c>
      <c r="K88" s="81">
        <v>17.5</v>
      </c>
      <c r="L88" s="81">
        <v>12.6</v>
      </c>
    </row>
    <row r="89" ht="15.75" customHeight="1">
      <c r="A89" s="53" t="s">
        <v>182</v>
      </c>
      <c r="B89" s="57" t="s">
        <v>94</v>
      </c>
      <c r="C89" s="61">
        <v>120.0</v>
      </c>
      <c r="D89" s="62" t="s">
        <v>25</v>
      </c>
      <c r="E89" s="81">
        <v>0.48</v>
      </c>
      <c r="F89" s="81">
        <v>120.0</v>
      </c>
      <c r="G89" s="81">
        <v>0.0</v>
      </c>
      <c r="H89" s="81">
        <v>0.0</v>
      </c>
      <c r="I89" s="81">
        <v>0.0</v>
      </c>
      <c r="J89" s="81">
        <v>120.0</v>
      </c>
      <c r="K89" s="81">
        <v>120.0</v>
      </c>
      <c r="L89" s="81">
        <v>0.0</v>
      </c>
    </row>
    <row r="90" ht="15.75" customHeight="1">
      <c r="A90" s="53" t="s">
        <v>182</v>
      </c>
      <c r="B90" s="57" t="s">
        <v>63</v>
      </c>
      <c r="C90" s="61">
        <v>55.0</v>
      </c>
      <c r="D90" s="62" t="s">
        <v>25</v>
      </c>
      <c r="E90" s="81">
        <v>1.76</v>
      </c>
      <c r="F90" s="81">
        <v>50.6</v>
      </c>
      <c r="G90" s="81">
        <v>0.0</v>
      </c>
      <c r="H90" s="81">
        <v>0.0</v>
      </c>
      <c r="I90" s="81">
        <v>0.0</v>
      </c>
      <c r="J90" s="81">
        <v>40.7</v>
      </c>
      <c r="K90" s="81">
        <v>99.0</v>
      </c>
      <c r="L90" s="81">
        <v>0.0</v>
      </c>
    </row>
    <row r="91" ht="15.75" customHeight="1">
      <c r="A91" s="53" t="s">
        <v>182</v>
      </c>
      <c r="B91" s="57" t="s">
        <v>139</v>
      </c>
      <c r="C91" s="61">
        <v>5.0</v>
      </c>
      <c r="D91" s="62" t="s">
        <v>25</v>
      </c>
      <c r="E91" s="81">
        <v>1.0</v>
      </c>
      <c r="F91" s="81">
        <v>0.0</v>
      </c>
      <c r="G91" s="81">
        <v>0.0</v>
      </c>
      <c r="H91" s="81">
        <v>0.0</v>
      </c>
      <c r="I91" s="81">
        <v>5.0</v>
      </c>
      <c r="J91" s="81">
        <v>0.0</v>
      </c>
      <c r="K91" s="81">
        <v>0.0</v>
      </c>
      <c r="L91" s="81">
        <v>0.0</v>
      </c>
    </row>
    <row r="92" ht="15.75" customHeight="1">
      <c r="A92" s="53" t="s">
        <v>182</v>
      </c>
      <c r="B92" s="57" t="s">
        <v>141</v>
      </c>
      <c r="C92" s="61">
        <v>1.0</v>
      </c>
      <c r="D92" s="62" t="s">
        <v>25</v>
      </c>
      <c r="E92" s="81">
        <v>0.0035</v>
      </c>
      <c r="F92" s="81">
        <v>0.0</v>
      </c>
      <c r="G92" s="81">
        <v>0.0</v>
      </c>
      <c r="H92" s="81">
        <v>0.0</v>
      </c>
      <c r="I92" s="81">
        <v>1.0</v>
      </c>
      <c r="J92" s="81">
        <v>0.0</v>
      </c>
      <c r="K92" s="81">
        <v>3.0</v>
      </c>
      <c r="L92" s="81">
        <v>0.0</v>
      </c>
    </row>
    <row r="93" ht="15.75" customHeight="1">
      <c r="A93" s="53" t="s">
        <v>185</v>
      </c>
      <c r="B93" s="57" t="s">
        <v>58</v>
      </c>
      <c r="C93" s="61">
        <v>675.0</v>
      </c>
      <c r="D93" s="62" t="s">
        <v>25</v>
      </c>
      <c r="E93" s="81">
        <v>3.1049999999999995</v>
      </c>
      <c r="F93" s="81">
        <v>0.0</v>
      </c>
      <c r="G93" s="81">
        <v>23.625000000000004</v>
      </c>
      <c r="H93" s="81">
        <v>60.75</v>
      </c>
      <c r="I93" s="81">
        <v>0.0</v>
      </c>
      <c r="J93" s="81">
        <v>5.265</v>
      </c>
      <c r="K93" s="81">
        <v>27.0</v>
      </c>
      <c r="L93" s="81">
        <v>23.625000000000004</v>
      </c>
    </row>
    <row r="94" ht="15.75" customHeight="1">
      <c r="A94" s="53" t="s">
        <v>185</v>
      </c>
      <c r="B94" s="57" t="s">
        <v>186</v>
      </c>
      <c r="C94" s="61">
        <v>160.0</v>
      </c>
      <c r="D94" s="62" t="s">
        <v>25</v>
      </c>
      <c r="E94" s="81">
        <v>25.6</v>
      </c>
      <c r="F94" s="81">
        <v>88.0</v>
      </c>
      <c r="G94" s="81">
        <v>32.0</v>
      </c>
      <c r="H94" s="81">
        <v>24.0</v>
      </c>
      <c r="I94" s="81">
        <v>16.0</v>
      </c>
      <c r="J94" s="81">
        <v>94.39999999999999</v>
      </c>
      <c r="K94" s="81">
        <v>40.0</v>
      </c>
      <c r="L94" s="81">
        <v>6.4</v>
      </c>
    </row>
    <row r="95" ht="15.75" customHeight="1">
      <c r="A95" s="53" t="s">
        <v>185</v>
      </c>
      <c r="B95" s="57" t="s">
        <v>135</v>
      </c>
      <c r="C95" s="61">
        <v>30.0</v>
      </c>
      <c r="D95" s="62" t="s">
        <v>25</v>
      </c>
      <c r="E95" s="81">
        <v>1.62</v>
      </c>
      <c r="F95" s="81">
        <v>0.0</v>
      </c>
      <c r="G95" s="81">
        <v>0.0</v>
      </c>
      <c r="H95" s="81">
        <v>29.099999999999998</v>
      </c>
      <c r="I95" s="81">
        <v>0.0</v>
      </c>
      <c r="J95" s="81">
        <v>2.4</v>
      </c>
      <c r="K95" s="81">
        <v>15.0</v>
      </c>
      <c r="L95" s="81">
        <v>10.799999999999999</v>
      </c>
    </row>
    <row r="96" ht="15.75" customHeight="1">
      <c r="A96" s="53" t="s">
        <v>185</v>
      </c>
      <c r="B96" s="57" t="s">
        <v>94</v>
      </c>
      <c r="C96" s="61">
        <v>50.0</v>
      </c>
      <c r="D96" s="62" t="s">
        <v>25</v>
      </c>
      <c r="E96" s="81">
        <v>0.2</v>
      </c>
      <c r="F96" s="81">
        <v>50.0</v>
      </c>
      <c r="G96" s="81">
        <v>0.0</v>
      </c>
      <c r="H96" s="81">
        <v>0.0</v>
      </c>
      <c r="I96" s="81">
        <v>0.0</v>
      </c>
      <c r="J96" s="81">
        <v>50.0</v>
      </c>
      <c r="K96" s="81">
        <v>50.0</v>
      </c>
      <c r="L96" s="81">
        <v>0.0</v>
      </c>
    </row>
    <row r="97" ht="15.75" customHeight="1">
      <c r="A97" s="53" t="s">
        <v>185</v>
      </c>
      <c r="B97" s="57" t="s">
        <v>63</v>
      </c>
      <c r="C97" s="61">
        <v>25.0</v>
      </c>
      <c r="D97" s="62" t="s">
        <v>25</v>
      </c>
      <c r="E97" s="81">
        <v>0.8</v>
      </c>
      <c r="F97" s="81">
        <v>23.0</v>
      </c>
      <c r="G97" s="81">
        <v>0.0</v>
      </c>
      <c r="H97" s="81">
        <v>0.0</v>
      </c>
      <c r="I97" s="81">
        <v>0.0</v>
      </c>
      <c r="J97" s="81">
        <v>18.5</v>
      </c>
      <c r="K97" s="81">
        <v>45.0</v>
      </c>
      <c r="L97" s="81">
        <v>0.0</v>
      </c>
    </row>
    <row r="98" ht="15.75" customHeight="1">
      <c r="A98" s="53" t="s">
        <v>185</v>
      </c>
      <c r="B98" s="57" t="s">
        <v>74</v>
      </c>
      <c r="C98" s="61">
        <v>25.0</v>
      </c>
      <c r="D98" s="62" t="s">
        <v>25</v>
      </c>
      <c r="E98" s="81">
        <v>0.95</v>
      </c>
      <c r="F98" s="81">
        <v>23.75</v>
      </c>
      <c r="G98" s="81">
        <v>0.0</v>
      </c>
      <c r="H98" s="81">
        <v>0.0</v>
      </c>
      <c r="I98" s="81">
        <v>0.0</v>
      </c>
      <c r="J98" s="81">
        <v>10.0</v>
      </c>
      <c r="K98" s="81">
        <v>17.5</v>
      </c>
      <c r="L98" s="81">
        <v>0.0</v>
      </c>
    </row>
    <row r="99" ht="15.75" customHeight="1">
      <c r="A99" s="53" t="s">
        <v>185</v>
      </c>
      <c r="B99" s="57" t="s">
        <v>188</v>
      </c>
      <c r="C99" s="61">
        <v>30.0</v>
      </c>
      <c r="D99" s="62" t="s">
        <v>25</v>
      </c>
      <c r="E99" s="81">
        <v>1.8</v>
      </c>
      <c r="F99" s="81">
        <v>1.7999999999999998</v>
      </c>
      <c r="G99" s="81">
        <v>1.7999999999999998</v>
      </c>
      <c r="H99" s="81">
        <v>0.0</v>
      </c>
      <c r="I99" s="81">
        <v>11.4</v>
      </c>
      <c r="J99" s="81">
        <v>1.7999999999999998</v>
      </c>
      <c r="K99" s="81">
        <v>75.0</v>
      </c>
      <c r="L99" s="81">
        <v>3.5999999999999996</v>
      </c>
    </row>
    <row r="100" ht="15.75" customHeight="1">
      <c r="A100" s="53" t="s">
        <v>185</v>
      </c>
      <c r="B100" s="57" t="s">
        <v>139</v>
      </c>
      <c r="C100" s="61">
        <v>5.0</v>
      </c>
      <c r="D100" s="62" t="s">
        <v>25</v>
      </c>
      <c r="E100" s="81">
        <v>1.0</v>
      </c>
      <c r="F100" s="81">
        <v>0.0</v>
      </c>
      <c r="G100" s="81">
        <v>0.0</v>
      </c>
      <c r="H100" s="81">
        <v>0.0</v>
      </c>
      <c r="I100" s="81">
        <v>5.0</v>
      </c>
      <c r="J100" s="81">
        <v>0.0</v>
      </c>
      <c r="K100" s="81">
        <v>0.0</v>
      </c>
      <c r="L100" s="81">
        <v>0.0</v>
      </c>
    </row>
    <row r="101" ht="15.75" customHeight="1">
      <c r="A101" s="53" t="s">
        <v>189</v>
      </c>
      <c r="B101" s="57" t="s">
        <v>58</v>
      </c>
      <c r="C101" s="61">
        <v>200.0</v>
      </c>
      <c r="D101" s="62" t="s">
        <v>25</v>
      </c>
      <c r="E101" s="81">
        <v>0.9199999999999999</v>
      </c>
      <c r="F101" s="81">
        <v>0.0</v>
      </c>
      <c r="G101" s="81">
        <v>7.000000000000001</v>
      </c>
      <c r="H101" s="81">
        <v>18.0</v>
      </c>
      <c r="I101" s="81">
        <v>0.0</v>
      </c>
      <c r="J101" s="81">
        <v>1.5599999999999998</v>
      </c>
      <c r="K101" s="81">
        <v>8.0</v>
      </c>
      <c r="L101" s="81">
        <v>7.000000000000001</v>
      </c>
    </row>
    <row r="102" ht="15.75" customHeight="1">
      <c r="A102" s="53" t="s">
        <v>189</v>
      </c>
      <c r="B102" s="57" t="s">
        <v>190</v>
      </c>
      <c r="C102" s="61">
        <v>480.0</v>
      </c>
      <c r="D102" s="62" t="s">
        <v>25</v>
      </c>
      <c r="E102" s="81">
        <v>0.0</v>
      </c>
      <c r="F102" s="81">
        <v>0.0</v>
      </c>
      <c r="G102" s="81">
        <v>18.72</v>
      </c>
      <c r="H102" s="81">
        <v>45.6</v>
      </c>
      <c r="I102" s="81">
        <v>0.0</v>
      </c>
      <c r="J102" s="81">
        <v>3.456</v>
      </c>
      <c r="K102" s="81">
        <v>21.599999999999998</v>
      </c>
      <c r="L102" s="81">
        <v>22.56</v>
      </c>
    </row>
    <row r="103" ht="15.75" customHeight="1">
      <c r="A103" s="53" t="s">
        <v>189</v>
      </c>
      <c r="B103" s="57" t="s">
        <v>134</v>
      </c>
      <c r="C103" s="61">
        <v>80.0</v>
      </c>
      <c r="D103" s="62" t="s">
        <v>25</v>
      </c>
      <c r="E103" s="81">
        <v>1.52</v>
      </c>
      <c r="F103" s="81">
        <v>0.0</v>
      </c>
      <c r="G103" s="81">
        <v>28.0</v>
      </c>
      <c r="H103" s="81">
        <v>4.8</v>
      </c>
      <c r="I103" s="81">
        <v>0.0</v>
      </c>
      <c r="J103" s="81">
        <v>0.43200000000000005</v>
      </c>
      <c r="K103" s="81">
        <v>2.4</v>
      </c>
      <c r="L103" s="81">
        <v>1.92</v>
      </c>
    </row>
    <row r="104" ht="15.75" customHeight="1">
      <c r="A104" s="53" t="s">
        <v>189</v>
      </c>
      <c r="B104" s="57" t="s">
        <v>135</v>
      </c>
      <c r="C104" s="61">
        <v>35.0</v>
      </c>
      <c r="D104" s="62" t="s">
        <v>25</v>
      </c>
      <c r="E104" s="81">
        <v>1.89</v>
      </c>
      <c r="F104" s="81">
        <v>0.0</v>
      </c>
      <c r="G104" s="81">
        <v>0.0</v>
      </c>
      <c r="H104" s="81">
        <v>33.949999999999996</v>
      </c>
      <c r="I104" s="81">
        <v>0.0</v>
      </c>
      <c r="J104" s="81">
        <v>2.8000000000000003</v>
      </c>
      <c r="K104" s="81">
        <v>17.5</v>
      </c>
      <c r="L104" s="81">
        <v>12.6</v>
      </c>
    </row>
    <row r="105" ht="15.75" customHeight="1">
      <c r="A105" s="53" t="s">
        <v>189</v>
      </c>
      <c r="B105" s="57" t="s">
        <v>94</v>
      </c>
      <c r="C105" s="61">
        <v>120.0</v>
      </c>
      <c r="D105" s="62" t="s">
        <v>25</v>
      </c>
      <c r="E105" s="81">
        <v>0.48</v>
      </c>
      <c r="F105" s="81">
        <v>120.0</v>
      </c>
      <c r="G105" s="81">
        <v>0.0</v>
      </c>
      <c r="H105" s="81">
        <v>0.0</v>
      </c>
      <c r="I105" s="81">
        <v>0.0</v>
      </c>
      <c r="J105" s="81">
        <v>120.0</v>
      </c>
      <c r="K105" s="81">
        <v>120.0</v>
      </c>
      <c r="L105" s="81">
        <v>0.0</v>
      </c>
    </row>
    <row r="106" ht="15.75" customHeight="1">
      <c r="A106" s="53" t="s">
        <v>189</v>
      </c>
      <c r="B106" s="57" t="s">
        <v>63</v>
      </c>
      <c r="C106" s="61">
        <v>60.0</v>
      </c>
      <c r="D106" s="62" t="s">
        <v>25</v>
      </c>
      <c r="E106" s="81">
        <v>1.92</v>
      </c>
      <c r="F106" s="81">
        <v>55.2</v>
      </c>
      <c r="G106" s="81">
        <v>0.0</v>
      </c>
      <c r="H106" s="81">
        <v>0.0</v>
      </c>
      <c r="I106" s="81">
        <v>0.0</v>
      </c>
      <c r="J106" s="81">
        <v>44.4</v>
      </c>
      <c r="K106" s="81">
        <v>108.0</v>
      </c>
      <c r="L106" s="81">
        <v>0.0</v>
      </c>
    </row>
    <row r="107" ht="15.75" customHeight="1">
      <c r="A107" s="53" t="s">
        <v>189</v>
      </c>
      <c r="B107" s="57" t="s">
        <v>170</v>
      </c>
      <c r="C107" s="61">
        <v>25.0</v>
      </c>
      <c r="D107" s="62" t="s">
        <v>25</v>
      </c>
      <c r="E107" s="81">
        <v>2.375</v>
      </c>
      <c r="F107" s="81">
        <v>0.0</v>
      </c>
      <c r="G107" s="81">
        <v>0.0</v>
      </c>
      <c r="H107" s="81">
        <v>0.0</v>
      </c>
      <c r="I107" s="81">
        <v>23.75</v>
      </c>
      <c r="J107" s="81">
        <v>0.0</v>
      </c>
      <c r="K107" s="81">
        <v>5.0</v>
      </c>
      <c r="L107" s="81">
        <v>0.0</v>
      </c>
    </row>
    <row r="108" ht="15.75" customHeight="1">
      <c r="A108" s="53" t="s">
        <v>189</v>
      </c>
      <c r="B108" s="57" t="s">
        <v>141</v>
      </c>
      <c r="C108" s="61">
        <v>1.0</v>
      </c>
      <c r="D108" s="62" t="s">
        <v>25</v>
      </c>
      <c r="E108" s="81">
        <v>0.0035</v>
      </c>
      <c r="F108" s="81">
        <v>0.0</v>
      </c>
      <c r="G108" s="81">
        <v>0.0</v>
      </c>
      <c r="H108" s="81">
        <v>0.0</v>
      </c>
      <c r="I108" s="81">
        <v>1.0</v>
      </c>
      <c r="J108" s="81">
        <v>0.0</v>
      </c>
      <c r="K108" s="81">
        <v>3.0</v>
      </c>
      <c r="L108" s="81">
        <v>0.0</v>
      </c>
    </row>
    <row r="109" ht="15.75" customHeight="1">
      <c r="A109" s="53" t="s">
        <v>189</v>
      </c>
      <c r="B109" s="57" t="s">
        <v>139</v>
      </c>
      <c r="C109" s="61">
        <v>5.0</v>
      </c>
      <c r="D109" s="62" t="s">
        <v>25</v>
      </c>
      <c r="E109" s="81">
        <v>1.0</v>
      </c>
      <c r="F109" s="81">
        <v>0.0</v>
      </c>
      <c r="G109" s="81">
        <v>0.0</v>
      </c>
      <c r="H109" s="81">
        <v>0.0</v>
      </c>
      <c r="I109" s="81">
        <v>5.0</v>
      </c>
      <c r="J109" s="81">
        <v>0.0</v>
      </c>
      <c r="K109" s="81">
        <v>0.0</v>
      </c>
      <c r="L109" s="81">
        <v>0.0</v>
      </c>
    </row>
    <row r="110" ht="15.75" customHeight="1">
      <c r="A110" s="53" t="s">
        <v>192</v>
      </c>
      <c r="B110" s="57" t="s">
        <v>58</v>
      </c>
      <c r="C110" s="61">
        <v>500.0</v>
      </c>
      <c r="D110" s="62" t="s">
        <v>25</v>
      </c>
      <c r="E110" s="81">
        <v>2.3</v>
      </c>
      <c r="F110" s="81">
        <v>0.0</v>
      </c>
      <c r="G110" s="81">
        <v>17.5</v>
      </c>
      <c r="H110" s="81">
        <v>45.0</v>
      </c>
      <c r="I110" s="81">
        <v>0.0</v>
      </c>
      <c r="J110" s="81">
        <v>3.9</v>
      </c>
      <c r="K110" s="81">
        <v>20.0</v>
      </c>
      <c r="L110" s="81">
        <v>17.5</v>
      </c>
    </row>
    <row r="111" ht="15.75" customHeight="1">
      <c r="A111" s="53" t="s">
        <v>192</v>
      </c>
      <c r="B111" s="57" t="s">
        <v>193</v>
      </c>
      <c r="C111" s="61">
        <v>220.0</v>
      </c>
      <c r="D111" s="62" t="s">
        <v>25</v>
      </c>
      <c r="E111" s="81">
        <v>3.3</v>
      </c>
      <c r="F111" s="81">
        <v>13.2</v>
      </c>
      <c r="G111" s="81">
        <v>2.2</v>
      </c>
      <c r="H111" s="81">
        <v>0.0</v>
      </c>
      <c r="I111" s="81">
        <v>39.6</v>
      </c>
      <c r="J111" s="81">
        <v>13.2</v>
      </c>
      <c r="K111" s="81">
        <v>13.2</v>
      </c>
      <c r="L111" s="81">
        <v>6.6</v>
      </c>
    </row>
    <row r="112" ht="15.75" customHeight="1">
      <c r="A112" s="53" t="s">
        <v>192</v>
      </c>
      <c r="B112" s="57" t="s">
        <v>134</v>
      </c>
      <c r="C112" s="61">
        <v>80.0</v>
      </c>
      <c r="D112" s="62" t="s">
        <v>25</v>
      </c>
      <c r="E112" s="81">
        <v>1.52</v>
      </c>
      <c r="F112" s="81">
        <v>0.0</v>
      </c>
      <c r="G112" s="81">
        <v>28.0</v>
      </c>
      <c r="H112" s="81">
        <v>4.8</v>
      </c>
      <c r="I112" s="81">
        <v>0.0</v>
      </c>
      <c r="J112" s="81">
        <v>0.43200000000000005</v>
      </c>
      <c r="K112" s="81">
        <v>2.4</v>
      </c>
      <c r="L112" s="81">
        <v>1.92</v>
      </c>
    </row>
    <row r="113" ht="15.75" customHeight="1">
      <c r="A113" s="53" t="s">
        <v>192</v>
      </c>
      <c r="B113" s="57" t="s">
        <v>135</v>
      </c>
      <c r="C113" s="61">
        <v>45.0</v>
      </c>
      <c r="D113" s="62" t="s">
        <v>25</v>
      </c>
      <c r="E113" s="81">
        <v>2.43</v>
      </c>
      <c r="F113" s="81">
        <v>0.0</v>
      </c>
      <c r="G113" s="81">
        <v>0.0</v>
      </c>
      <c r="H113" s="81">
        <v>43.65</v>
      </c>
      <c r="I113" s="81">
        <v>0.0</v>
      </c>
      <c r="J113" s="81">
        <v>3.6</v>
      </c>
      <c r="K113" s="81">
        <v>22.5</v>
      </c>
      <c r="L113" s="81">
        <v>16.2</v>
      </c>
    </row>
    <row r="114" ht="15.75" customHeight="1">
      <c r="A114" s="53" t="s">
        <v>192</v>
      </c>
      <c r="B114" s="57" t="s">
        <v>94</v>
      </c>
      <c r="C114" s="61">
        <v>140.0</v>
      </c>
      <c r="D114" s="62" t="s">
        <v>25</v>
      </c>
      <c r="E114" s="81">
        <v>0.56</v>
      </c>
      <c r="F114" s="81">
        <v>140.0</v>
      </c>
      <c r="G114" s="81">
        <v>0.0</v>
      </c>
      <c r="H114" s="81">
        <v>0.0</v>
      </c>
      <c r="I114" s="81">
        <v>0.0</v>
      </c>
      <c r="J114" s="81">
        <v>140.0</v>
      </c>
      <c r="K114" s="81">
        <v>140.0</v>
      </c>
      <c r="L114" s="81">
        <v>0.0</v>
      </c>
    </row>
    <row r="115" ht="15.75" customHeight="1">
      <c r="A115" s="53" t="s">
        <v>192</v>
      </c>
      <c r="B115" s="57" t="s">
        <v>63</v>
      </c>
      <c r="C115" s="61">
        <v>40.0</v>
      </c>
      <c r="D115" s="62" t="s">
        <v>25</v>
      </c>
      <c r="E115" s="81">
        <v>1.28</v>
      </c>
      <c r="F115" s="81">
        <v>36.800000000000004</v>
      </c>
      <c r="G115" s="81">
        <v>0.0</v>
      </c>
      <c r="H115" s="81">
        <v>0.0</v>
      </c>
      <c r="I115" s="81">
        <v>0.0</v>
      </c>
      <c r="J115" s="81">
        <v>29.6</v>
      </c>
      <c r="K115" s="81">
        <v>72.0</v>
      </c>
      <c r="L115" s="81">
        <v>0.0</v>
      </c>
    </row>
    <row r="116" ht="15.75" customHeight="1">
      <c r="A116" s="53" t="s">
        <v>192</v>
      </c>
      <c r="B116" s="57" t="s">
        <v>170</v>
      </c>
      <c r="C116" s="61">
        <v>15.0</v>
      </c>
      <c r="D116" s="62" t="s">
        <v>25</v>
      </c>
      <c r="E116" s="81">
        <v>1.425</v>
      </c>
      <c r="F116" s="81">
        <v>0.0</v>
      </c>
      <c r="G116" s="81">
        <v>0.0</v>
      </c>
      <c r="H116" s="81">
        <v>0.0</v>
      </c>
      <c r="I116" s="81">
        <v>14.25</v>
      </c>
      <c r="J116" s="81">
        <v>0.0</v>
      </c>
      <c r="K116" s="81">
        <v>3.0</v>
      </c>
      <c r="L116" s="81">
        <v>0.0</v>
      </c>
    </row>
    <row r="117" ht="15.75" customHeight="1">
      <c r="A117" s="53" t="s">
        <v>192</v>
      </c>
      <c r="B117" s="57" t="s">
        <v>141</v>
      </c>
      <c r="C117" s="61">
        <v>1.0</v>
      </c>
      <c r="D117" s="62" t="s">
        <v>25</v>
      </c>
      <c r="E117" s="81">
        <v>0.0035</v>
      </c>
      <c r="F117" s="81">
        <v>0.0</v>
      </c>
      <c r="G117" s="81">
        <v>0.0</v>
      </c>
      <c r="H117" s="81">
        <v>0.0</v>
      </c>
      <c r="I117" s="81">
        <v>1.0</v>
      </c>
      <c r="J117" s="81">
        <v>0.0</v>
      </c>
      <c r="K117" s="81">
        <v>3.0</v>
      </c>
      <c r="L117" s="81">
        <v>0.0</v>
      </c>
    </row>
    <row r="118" ht="15.75" customHeight="1">
      <c r="A118" s="53" t="s">
        <v>192</v>
      </c>
      <c r="B118" s="57" t="s">
        <v>139</v>
      </c>
      <c r="C118" s="61">
        <v>5.0</v>
      </c>
      <c r="D118" s="62" t="s">
        <v>25</v>
      </c>
      <c r="E118" s="81">
        <v>1.0</v>
      </c>
      <c r="F118" s="81">
        <v>0.0</v>
      </c>
      <c r="G118" s="81">
        <v>0.0</v>
      </c>
      <c r="H118" s="81">
        <v>0.0</v>
      </c>
      <c r="I118" s="81">
        <v>5.0</v>
      </c>
      <c r="J118" s="81">
        <v>0.0</v>
      </c>
      <c r="K118" s="81">
        <v>0.0</v>
      </c>
      <c r="L118" s="81">
        <v>0.0</v>
      </c>
    </row>
    <row r="119" ht="15.75" customHeight="1">
      <c r="A119" s="53" t="s">
        <v>194</v>
      </c>
      <c r="B119" s="57" t="s">
        <v>58</v>
      </c>
      <c r="C119" s="61">
        <v>150.0</v>
      </c>
      <c r="D119" s="62" t="s">
        <v>25</v>
      </c>
      <c r="E119" s="81">
        <v>0.69</v>
      </c>
      <c r="F119" s="81">
        <v>0.0</v>
      </c>
      <c r="G119" s="81">
        <v>5.250000000000001</v>
      </c>
      <c r="H119" s="81">
        <v>13.5</v>
      </c>
      <c r="I119" s="81">
        <v>0.0</v>
      </c>
      <c r="J119" s="81">
        <v>1.17</v>
      </c>
      <c r="K119" s="81">
        <v>6.0</v>
      </c>
      <c r="L119" s="81">
        <v>5.250000000000001</v>
      </c>
    </row>
    <row r="120" ht="15.75" customHeight="1">
      <c r="A120" s="53" t="s">
        <v>194</v>
      </c>
      <c r="B120" s="57" t="s">
        <v>195</v>
      </c>
      <c r="C120" s="61">
        <v>520.0</v>
      </c>
      <c r="D120" s="62" t="s">
        <v>25</v>
      </c>
      <c r="E120" s="81">
        <v>0.0</v>
      </c>
      <c r="F120" s="81">
        <v>43.68</v>
      </c>
      <c r="G120" s="81">
        <v>26.0</v>
      </c>
      <c r="H120" s="81">
        <v>0.0</v>
      </c>
      <c r="I120" s="81">
        <v>18.200000000000003</v>
      </c>
      <c r="J120" s="81">
        <v>67.60000000000001</v>
      </c>
      <c r="K120" s="81">
        <v>43.68</v>
      </c>
      <c r="L120" s="81">
        <v>0.0</v>
      </c>
    </row>
    <row r="121" ht="15.75" customHeight="1">
      <c r="A121" s="53" t="s">
        <v>194</v>
      </c>
      <c r="B121" s="57" t="s">
        <v>134</v>
      </c>
      <c r="C121" s="61">
        <v>100.0</v>
      </c>
      <c r="D121" s="62" t="s">
        <v>25</v>
      </c>
      <c r="E121" s="81">
        <v>1.9</v>
      </c>
      <c r="F121" s="81">
        <v>0.0</v>
      </c>
      <c r="G121" s="81">
        <v>35.0</v>
      </c>
      <c r="H121" s="81">
        <v>6.0</v>
      </c>
      <c r="I121" s="81">
        <v>0.0</v>
      </c>
      <c r="J121" s="81">
        <v>0.54</v>
      </c>
      <c r="K121" s="81">
        <v>3.0</v>
      </c>
      <c r="L121" s="81">
        <v>2.4</v>
      </c>
    </row>
    <row r="122" ht="15.75" customHeight="1">
      <c r="A122" s="53" t="s">
        <v>194</v>
      </c>
      <c r="B122" s="57" t="s">
        <v>135</v>
      </c>
      <c r="C122" s="61">
        <v>70.0</v>
      </c>
      <c r="D122" s="62" t="s">
        <v>25</v>
      </c>
      <c r="E122" s="81">
        <v>3.78</v>
      </c>
      <c r="F122" s="81">
        <v>0.0</v>
      </c>
      <c r="G122" s="81">
        <v>0.0</v>
      </c>
      <c r="H122" s="81">
        <v>67.89999999999999</v>
      </c>
      <c r="I122" s="81">
        <v>0.0</v>
      </c>
      <c r="J122" s="81">
        <v>5.6000000000000005</v>
      </c>
      <c r="K122" s="81">
        <v>35.0</v>
      </c>
      <c r="L122" s="81">
        <v>25.2</v>
      </c>
    </row>
    <row r="123" ht="15.75" customHeight="1">
      <c r="A123" s="53" t="s">
        <v>194</v>
      </c>
      <c r="B123" s="57" t="s">
        <v>94</v>
      </c>
      <c r="C123" s="61">
        <v>110.0</v>
      </c>
      <c r="D123" s="62" t="s">
        <v>25</v>
      </c>
      <c r="E123" s="81">
        <v>0.44</v>
      </c>
      <c r="F123" s="81">
        <v>110.0</v>
      </c>
      <c r="G123" s="81">
        <v>0.0</v>
      </c>
      <c r="H123" s="81">
        <v>0.0</v>
      </c>
      <c r="I123" s="81">
        <v>0.0</v>
      </c>
      <c r="J123" s="81">
        <v>110.0</v>
      </c>
      <c r="K123" s="81">
        <v>110.0</v>
      </c>
      <c r="L123" s="81">
        <v>0.0</v>
      </c>
    </row>
    <row r="124" ht="15.75" customHeight="1">
      <c r="A124" s="53" t="s">
        <v>194</v>
      </c>
      <c r="B124" s="57" t="s">
        <v>63</v>
      </c>
      <c r="C124" s="61">
        <v>35.0</v>
      </c>
      <c r="D124" s="62" t="s">
        <v>25</v>
      </c>
      <c r="E124" s="81">
        <v>1.12</v>
      </c>
      <c r="F124" s="81">
        <v>32.2</v>
      </c>
      <c r="G124" s="81">
        <v>0.0</v>
      </c>
      <c r="H124" s="81">
        <v>0.0</v>
      </c>
      <c r="I124" s="81">
        <v>0.0</v>
      </c>
      <c r="J124" s="81">
        <v>25.9</v>
      </c>
      <c r="K124" s="81">
        <v>63.0</v>
      </c>
      <c r="L124" s="81">
        <v>0.0</v>
      </c>
    </row>
    <row r="125" ht="15.75" customHeight="1">
      <c r="A125" s="53" t="s">
        <v>194</v>
      </c>
      <c r="B125" s="57" t="s">
        <v>170</v>
      </c>
      <c r="C125" s="61">
        <v>15.0</v>
      </c>
      <c r="D125" s="62" t="s">
        <v>25</v>
      </c>
      <c r="E125" s="81">
        <v>1.425</v>
      </c>
      <c r="F125" s="81">
        <v>0.0</v>
      </c>
      <c r="G125" s="81">
        <v>0.0</v>
      </c>
      <c r="H125" s="81">
        <v>0.0</v>
      </c>
      <c r="I125" s="81">
        <v>14.25</v>
      </c>
      <c r="J125" s="81">
        <v>0.0</v>
      </c>
      <c r="K125" s="81">
        <v>3.0</v>
      </c>
      <c r="L125" s="81">
        <v>0.0</v>
      </c>
    </row>
    <row r="126" ht="15.75" customHeight="1">
      <c r="A126" s="53" t="s">
        <v>194</v>
      </c>
      <c r="B126" s="57" t="s">
        <v>141</v>
      </c>
      <c r="C126" s="61">
        <v>1.0</v>
      </c>
      <c r="D126" s="62" t="s">
        <v>25</v>
      </c>
      <c r="E126" s="81">
        <v>0.0035</v>
      </c>
      <c r="F126" s="81">
        <v>0.0</v>
      </c>
      <c r="G126" s="81">
        <v>0.0</v>
      </c>
      <c r="H126" s="81">
        <v>0.0</v>
      </c>
      <c r="I126" s="81">
        <v>1.0</v>
      </c>
      <c r="J126" s="81">
        <v>0.0</v>
      </c>
      <c r="K126" s="81">
        <v>3.0</v>
      </c>
      <c r="L126" s="81">
        <v>0.0</v>
      </c>
    </row>
    <row r="127" ht="15.75" customHeight="1">
      <c r="A127" s="53" t="s">
        <v>194</v>
      </c>
      <c r="B127" s="57" t="s">
        <v>139</v>
      </c>
      <c r="C127" s="61">
        <v>5.0</v>
      </c>
      <c r="D127" s="62" t="s">
        <v>25</v>
      </c>
      <c r="E127" s="81">
        <v>1.0</v>
      </c>
      <c r="F127" s="81">
        <v>0.0</v>
      </c>
      <c r="G127" s="81">
        <v>0.0</v>
      </c>
      <c r="H127" s="81">
        <v>0.0</v>
      </c>
      <c r="I127" s="81">
        <v>5.0</v>
      </c>
      <c r="J127" s="81">
        <v>0.0</v>
      </c>
      <c r="K127" s="81">
        <v>0.0</v>
      </c>
      <c r="L127" s="81">
        <v>0.0</v>
      </c>
    </row>
    <row r="128" ht="15.75" customHeight="1">
      <c r="A128" s="53" t="s">
        <v>196</v>
      </c>
      <c r="B128" s="57" t="s">
        <v>58</v>
      </c>
      <c r="C128" s="61">
        <v>635.0</v>
      </c>
      <c r="D128" s="62" t="s">
        <v>25</v>
      </c>
      <c r="E128" s="81">
        <v>2.921</v>
      </c>
      <c r="F128" s="81">
        <v>0.0</v>
      </c>
      <c r="G128" s="81">
        <v>22.225</v>
      </c>
      <c r="H128" s="81">
        <v>57.15</v>
      </c>
      <c r="I128" s="81">
        <v>0.0</v>
      </c>
      <c r="J128" s="81">
        <v>4.952999999999999</v>
      </c>
      <c r="K128" s="81">
        <v>25.400000000000002</v>
      </c>
      <c r="L128" s="81">
        <v>22.225</v>
      </c>
    </row>
    <row r="129" ht="15.75" customHeight="1">
      <c r="A129" s="53" t="s">
        <v>196</v>
      </c>
      <c r="B129" s="57" t="s">
        <v>197</v>
      </c>
      <c r="C129" s="61">
        <v>100.0</v>
      </c>
      <c r="D129" s="62" t="s">
        <v>25</v>
      </c>
      <c r="E129" s="81">
        <v>3.5</v>
      </c>
      <c r="F129" s="81">
        <v>37.0</v>
      </c>
      <c r="G129" s="81">
        <v>0.0</v>
      </c>
      <c r="H129" s="81">
        <v>0.0</v>
      </c>
      <c r="I129" s="81">
        <v>57.99999999999999</v>
      </c>
      <c r="J129" s="81">
        <v>37.0</v>
      </c>
      <c r="K129" s="81">
        <v>37.0</v>
      </c>
      <c r="L129" s="81">
        <v>5.0</v>
      </c>
    </row>
    <row r="130" ht="15.75" customHeight="1">
      <c r="A130" s="53" t="s">
        <v>196</v>
      </c>
      <c r="B130" s="57" t="s">
        <v>134</v>
      </c>
      <c r="C130" s="61">
        <v>120.0</v>
      </c>
      <c r="D130" s="62" t="s">
        <v>25</v>
      </c>
      <c r="E130" s="81">
        <v>2.28</v>
      </c>
      <c r="F130" s="81">
        <v>0.0</v>
      </c>
      <c r="G130" s="81">
        <v>42.0</v>
      </c>
      <c r="H130" s="81">
        <v>7.199999999999999</v>
      </c>
      <c r="I130" s="81">
        <v>0.0</v>
      </c>
      <c r="J130" s="81">
        <v>0.648</v>
      </c>
      <c r="K130" s="81">
        <v>3.5999999999999996</v>
      </c>
      <c r="L130" s="81">
        <v>2.88</v>
      </c>
    </row>
    <row r="131" ht="15.75" customHeight="1">
      <c r="A131" s="53" t="s">
        <v>196</v>
      </c>
      <c r="B131" s="57" t="s">
        <v>135</v>
      </c>
      <c r="C131" s="61">
        <v>45.0</v>
      </c>
      <c r="D131" s="62" t="s">
        <v>25</v>
      </c>
      <c r="E131" s="81">
        <v>2.43</v>
      </c>
      <c r="F131" s="81">
        <v>0.0</v>
      </c>
      <c r="G131" s="81">
        <v>0.0</v>
      </c>
      <c r="H131" s="81">
        <v>43.65</v>
      </c>
      <c r="I131" s="81">
        <v>0.0</v>
      </c>
      <c r="J131" s="81">
        <v>3.6</v>
      </c>
      <c r="K131" s="81">
        <v>22.5</v>
      </c>
      <c r="L131" s="81">
        <v>16.2</v>
      </c>
    </row>
    <row r="132" ht="15.75" customHeight="1">
      <c r="A132" s="53" t="s">
        <v>196</v>
      </c>
      <c r="B132" s="57" t="s">
        <v>94</v>
      </c>
      <c r="C132" s="61">
        <v>120.0</v>
      </c>
      <c r="D132" s="62" t="s">
        <v>25</v>
      </c>
      <c r="E132" s="81">
        <v>0.48</v>
      </c>
      <c r="F132" s="81">
        <v>120.0</v>
      </c>
      <c r="G132" s="81">
        <v>0.0</v>
      </c>
      <c r="H132" s="81">
        <v>0.0</v>
      </c>
      <c r="I132" s="81">
        <v>0.0</v>
      </c>
      <c r="J132" s="81">
        <v>120.0</v>
      </c>
      <c r="K132" s="81">
        <v>120.0</v>
      </c>
      <c r="L132" s="81">
        <v>0.0</v>
      </c>
    </row>
    <row r="133" ht="15.75" customHeight="1">
      <c r="A133" s="53" t="s">
        <v>196</v>
      </c>
      <c r="B133" s="57" t="s">
        <v>63</v>
      </c>
      <c r="C133" s="61">
        <v>40.0</v>
      </c>
      <c r="D133" s="62" t="s">
        <v>25</v>
      </c>
      <c r="E133" s="81">
        <v>1.28</v>
      </c>
      <c r="F133" s="81">
        <v>36.800000000000004</v>
      </c>
      <c r="G133" s="81">
        <v>0.0</v>
      </c>
      <c r="H133" s="81">
        <v>0.0</v>
      </c>
      <c r="I133" s="81">
        <v>0.0</v>
      </c>
      <c r="J133" s="81">
        <v>29.6</v>
      </c>
      <c r="K133" s="81">
        <v>72.0</v>
      </c>
      <c r="L133" s="81">
        <v>0.0</v>
      </c>
    </row>
    <row r="134" ht="15.75" customHeight="1">
      <c r="A134" s="53" t="s">
        <v>196</v>
      </c>
      <c r="B134" s="57" t="s">
        <v>74</v>
      </c>
      <c r="C134" s="61">
        <v>35.0</v>
      </c>
      <c r="D134" s="62" t="s">
        <v>25</v>
      </c>
      <c r="E134" s="81">
        <v>1.33</v>
      </c>
      <c r="F134" s="81">
        <v>33.25</v>
      </c>
      <c r="G134" s="81">
        <v>0.0</v>
      </c>
      <c r="H134" s="81">
        <v>0.0</v>
      </c>
      <c r="I134" s="81">
        <v>0.0</v>
      </c>
      <c r="J134" s="81">
        <v>14.0</v>
      </c>
      <c r="K134" s="81">
        <v>24.5</v>
      </c>
      <c r="L134" s="81">
        <v>0.0</v>
      </c>
    </row>
    <row r="135" ht="15.75" customHeight="1">
      <c r="A135" s="53" t="s">
        <v>196</v>
      </c>
      <c r="B135" s="57" t="s">
        <v>141</v>
      </c>
      <c r="C135" s="61">
        <v>1.0</v>
      </c>
      <c r="D135" s="62" t="s">
        <v>25</v>
      </c>
      <c r="E135" s="81">
        <v>0.0035</v>
      </c>
      <c r="F135" s="81">
        <v>0.0</v>
      </c>
      <c r="G135" s="81">
        <v>0.0</v>
      </c>
      <c r="H135" s="81">
        <v>0.0</v>
      </c>
      <c r="I135" s="81">
        <v>1.0</v>
      </c>
      <c r="J135" s="81">
        <v>0.0</v>
      </c>
      <c r="K135" s="81">
        <v>3.0</v>
      </c>
      <c r="L135" s="81">
        <v>0.0</v>
      </c>
    </row>
    <row r="136" ht="15.75" customHeight="1">
      <c r="A136" s="53" t="s">
        <v>196</v>
      </c>
      <c r="B136" s="57" t="s">
        <v>139</v>
      </c>
      <c r="C136" s="61">
        <v>5.0</v>
      </c>
      <c r="D136" s="62" t="s">
        <v>25</v>
      </c>
      <c r="E136" s="81">
        <v>1.0</v>
      </c>
      <c r="F136" s="81">
        <v>0.0</v>
      </c>
      <c r="G136" s="81">
        <v>0.0</v>
      </c>
      <c r="H136" s="81">
        <v>0.0</v>
      </c>
      <c r="I136" s="81">
        <v>5.0</v>
      </c>
      <c r="J136" s="81">
        <v>0.0</v>
      </c>
      <c r="K136" s="81">
        <v>0.0</v>
      </c>
      <c r="L136" s="81">
        <v>0.0</v>
      </c>
    </row>
    <row r="137" ht="15.75" customHeight="1">
      <c r="A137" s="53" t="s">
        <v>203</v>
      </c>
      <c r="B137" s="57" t="s">
        <v>58</v>
      </c>
      <c r="C137" s="61">
        <v>600.0</v>
      </c>
      <c r="D137" s="62" t="s">
        <v>25</v>
      </c>
      <c r="E137" s="81">
        <v>2.76</v>
      </c>
      <c r="F137" s="81">
        <v>0.0</v>
      </c>
      <c r="G137" s="81">
        <v>21.000000000000004</v>
      </c>
      <c r="H137" s="81">
        <v>54.0</v>
      </c>
      <c r="I137" s="81">
        <v>0.0</v>
      </c>
      <c r="J137" s="81">
        <v>4.68</v>
      </c>
      <c r="K137" s="81">
        <v>24.0</v>
      </c>
      <c r="L137" s="81">
        <v>21.000000000000004</v>
      </c>
    </row>
    <row r="138" ht="15.75" customHeight="1">
      <c r="A138" s="53" t="s">
        <v>203</v>
      </c>
      <c r="B138" s="57" t="s">
        <v>134</v>
      </c>
      <c r="C138" s="61">
        <v>75.0</v>
      </c>
      <c r="D138" s="62" t="s">
        <v>25</v>
      </c>
      <c r="E138" s="81">
        <v>1.425</v>
      </c>
      <c r="F138" s="81">
        <v>0.0</v>
      </c>
      <c r="G138" s="81">
        <v>26.25</v>
      </c>
      <c r="H138" s="81">
        <v>4.5</v>
      </c>
      <c r="I138" s="81">
        <v>0.0</v>
      </c>
      <c r="J138" s="81">
        <v>0.405</v>
      </c>
      <c r="K138" s="81">
        <v>2.25</v>
      </c>
      <c r="L138" s="81">
        <v>1.8</v>
      </c>
    </row>
    <row r="139" ht="15.75" customHeight="1">
      <c r="A139" s="53" t="s">
        <v>203</v>
      </c>
      <c r="B139" s="57" t="s">
        <v>135</v>
      </c>
      <c r="C139" s="61">
        <v>35.0</v>
      </c>
      <c r="D139" s="62" t="s">
        <v>25</v>
      </c>
      <c r="E139" s="81">
        <v>1.89</v>
      </c>
      <c r="F139" s="81">
        <v>0.0</v>
      </c>
      <c r="G139" s="81">
        <v>0.0</v>
      </c>
      <c r="H139" s="81">
        <v>33.949999999999996</v>
      </c>
      <c r="I139" s="81">
        <v>0.0</v>
      </c>
      <c r="J139" s="81">
        <v>2.8000000000000003</v>
      </c>
      <c r="K139" s="81">
        <v>17.5</v>
      </c>
      <c r="L139" s="81">
        <v>12.6</v>
      </c>
    </row>
    <row r="140" ht="15.75" customHeight="1">
      <c r="A140" s="53" t="s">
        <v>203</v>
      </c>
      <c r="B140" s="57" t="s">
        <v>94</v>
      </c>
      <c r="C140" s="61">
        <v>125.0</v>
      </c>
      <c r="D140" s="62" t="s">
        <v>25</v>
      </c>
      <c r="E140" s="81">
        <v>0.5</v>
      </c>
      <c r="F140" s="81">
        <v>125.0</v>
      </c>
      <c r="G140" s="81">
        <v>0.0</v>
      </c>
      <c r="H140" s="81">
        <v>0.0</v>
      </c>
      <c r="I140" s="81">
        <v>0.0</v>
      </c>
      <c r="J140" s="81">
        <v>125.0</v>
      </c>
      <c r="K140" s="81">
        <v>125.0</v>
      </c>
      <c r="L140" s="81">
        <v>0.0</v>
      </c>
    </row>
    <row r="141" ht="15.75" customHeight="1">
      <c r="A141" s="53" t="s">
        <v>203</v>
      </c>
      <c r="B141" s="57" t="s">
        <v>63</v>
      </c>
      <c r="C141" s="61">
        <v>65.0</v>
      </c>
      <c r="D141" s="62" t="s">
        <v>25</v>
      </c>
      <c r="E141" s="81">
        <v>2.08</v>
      </c>
      <c r="F141" s="81">
        <v>59.800000000000004</v>
      </c>
      <c r="G141" s="81">
        <v>0.0</v>
      </c>
      <c r="H141" s="81">
        <v>0.0</v>
      </c>
      <c r="I141" s="81">
        <v>0.0</v>
      </c>
      <c r="J141" s="81">
        <v>48.1</v>
      </c>
      <c r="K141" s="81">
        <v>117.0</v>
      </c>
      <c r="L141" s="81">
        <v>0.0</v>
      </c>
    </row>
    <row r="142" ht="15.75" customHeight="1">
      <c r="A142" s="53" t="s">
        <v>203</v>
      </c>
      <c r="B142" s="57" t="s">
        <v>139</v>
      </c>
      <c r="C142" s="61">
        <v>4.0</v>
      </c>
      <c r="D142" s="62" t="s">
        <v>25</v>
      </c>
      <c r="E142" s="81">
        <v>0.8</v>
      </c>
      <c r="F142" s="81">
        <v>0.0</v>
      </c>
      <c r="G142" s="81">
        <v>0.0</v>
      </c>
      <c r="H142" s="81">
        <v>0.0</v>
      </c>
      <c r="I142" s="81">
        <v>4.0</v>
      </c>
      <c r="J142" s="81">
        <v>0.0</v>
      </c>
      <c r="K142" s="81">
        <v>0.0</v>
      </c>
      <c r="L142" s="81">
        <v>0.0</v>
      </c>
    </row>
    <row r="143" ht="15.75" customHeight="1">
      <c r="A143" s="53" t="s">
        <v>203</v>
      </c>
      <c r="B143" s="57" t="s">
        <v>111</v>
      </c>
      <c r="C143" s="61">
        <v>70.0</v>
      </c>
      <c r="D143" s="62" t="s">
        <v>25</v>
      </c>
      <c r="E143" s="81">
        <v>2.94</v>
      </c>
      <c r="F143" s="81">
        <v>0.0</v>
      </c>
      <c r="G143" s="81">
        <v>7.7</v>
      </c>
      <c r="H143" s="81">
        <v>0.0</v>
      </c>
      <c r="I143" s="81">
        <v>58.8</v>
      </c>
      <c r="J143" s="81">
        <v>0.0</v>
      </c>
      <c r="K143" s="81">
        <v>0.0</v>
      </c>
      <c r="L143" s="81">
        <v>12.6</v>
      </c>
    </row>
    <row r="144" ht="15.75" customHeight="1">
      <c r="A144" s="53" t="s">
        <v>203</v>
      </c>
      <c r="B144" s="57" t="s">
        <v>141</v>
      </c>
      <c r="C144" s="61">
        <v>1.0</v>
      </c>
      <c r="D144" s="62" t="s">
        <v>25</v>
      </c>
      <c r="E144" s="81">
        <v>0.0035</v>
      </c>
      <c r="F144" s="81">
        <v>0.0</v>
      </c>
      <c r="G144" s="81">
        <v>0.0</v>
      </c>
      <c r="H144" s="81">
        <v>0.0</v>
      </c>
      <c r="I144" s="81">
        <v>1.0</v>
      </c>
      <c r="J144" s="81">
        <v>0.0</v>
      </c>
      <c r="K144" s="81">
        <v>3.0</v>
      </c>
      <c r="L144" s="81">
        <v>0.0</v>
      </c>
    </row>
    <row r="145" ht="15.75" customHeight="1">
      <c r="A145" s="53" t="s">
        <v>204</v>
      </c>
      <c r="B145" s="57" t="s">
        <v>58</v>
      </c>
      <c r="C145" s="61">
        <v>590.0</v>
      </c>
      <c r="D145" s="62" t="s">
        <v>25</v>
      </c>
      <c r="E145" s="81">
        <v>2.714</v>
      </c>
      <c r="F145" s="81">
        <v>0.0</v>
      </c>
      <c r="G145" s="81">
        <v>20.650000000000002</v>
      </c>
      <c r="H145" s="81">
        <v>53.1</v>
      </c>
      <c r="I145" s="81">
        <v>0.0</v>
      </c>
      <c r="J145" s="81">
        <v>4.601999999999999</v>
      </c>
      <c r="K145" s="81">
        <v>23.6</v>
      </c>
      <c r="L145" s="81">
        <v>20.650000000000002</v>
      </c>
    </row>
    <row r="146" ht="15.75" customHeight="1">
      <c r="A146" s="53" t="s">
        <v>204</v>
      </c>
      <c r="B146" s="57" t="s">
        <v>134</v>
      </c>
      <c r="C146" s="61">
        <v>75.0</v>
      </c>
      <c r="D146" s="62" t="s">
        <v>25</v>
      </c>
      <c r="E146" s="81">
        <v>1.425</v>
      </c>
      <c r="F146" s="81">
        <v>0.0</v>
      </c>
      <c r="G146" s="81">
        <v>26.25</v>
      </c>
      <c r="H146" s="81">
        <v>4.5</v>
      </c>
      <c r="I146" s="81">
        <v>0.0</v>
      </c>
      <c r="J146" s="81">
        <v>0.405</v>
      </c>
      <c r="K146" s="81">
        <v>2.25</v>
      </c>
      <c r="L146" s="81">
        <v>1.8</v>
      </c>
    </row>
    <row r="147" ht="15.75" customHeight="1">
      <c r="A147" s="53" t="s">
        <v>204</v>
      </c>
      <c r="B147" s="57" t="s">
        <v>135</v>
      </c>
      <c r="C147" s="61">
        <v>25.0</v>
      </c>
      <c r="D147" s="62" t="s">
        <v>25</v>
      </c>
      <c r="E147" s="81">
        <v>1.35</v>
      </c>
      <c r="F147" s="81">
        <v>0.0</v>
      </c>
      <c r="G147" s="81">
        <v>0.0</v>
      </c>
      <c r="H147" s="81">
        <v>24.25</v>
      </c>
      <c r="I147" s="81">
        <v>0.0</v>
      </c>
      <c r="J147" s="81">
        <v>2.0</v>
      </c>
      <c r="K147" s="81">
        <v>12.5</v>
      </c>
      <c r="L147" s="81">
        <v>9.0</v>
      </c>
    </row>
    <row r="148" ht="15.75" customHeight="1">
      <c r="A148" s="53" t="s">
        <v>204</v>
      </c>
      <c r="B148" s="57" t="s">
        <v>94</v>
      </c>
      <c r="C148" s="61">
        <v>65.0</v>
      </c>
      <c r="D148" s="62" t="s">
        <v>25</v>
      </c>
      <c r="E148" s="81">
        <v>0.26</v>
      </c>
      <c r="F148" s="81">
        <v>65.0</v>
      </c>
      <c r="G148" s="81">
        <v>0.0</v>
      </c>
      <c r="H148" s="81">
        <v>0.0</v>
      </c>
      <c r="I148" s="81">
        <v>0.0</v>
      </c>
      <c r="J148" s="81">
        <v>65.0</v>
      </c>
      <c r="K148" s="81">
        <v>65.0</v>
      </c>
      <c r="L148" s="81">
        <v>0.0</v>
      </c>
    </row>
    <row r="149" ht="15.75" customHeight="1">
      <c r="A149" s="53" t="s">
        <v>204</v>
      </c>
      <c r="B149" s="57" t="s">
        <v>63</v>
      </c>
      <c r="C149" s="61">
        <v>45.0</v>
      </c>
      <c r="D149" s="62" t="s">
        <v>25</v>
      </c>
      <c r="E149" s="81">
        <v>1.44</v>
      </c>
      <c r="F149" s="81">
        <v>41.4</v>
      </c>
      <c r="G149" s="81">
        <v>0.0</v>
      </c>
      <c r="H149" s="81">
        <v>0.0</v>
      </c>
      <c r="I149" s="81">
        <v>0.0</v>
      </c>
      <c r="J149" s="81">
        <v>33.3</v>
      </c>
      <c r="K149" s="81">
        <v>81.0</v>
      </c>
      <c r="L149" s="81">
        <v>0.0</v>
      </c>
    </row>
    <row r="150" ht="15.75" customHeight="1">
      <c r="A150" s="53" t="s">
        <v>204</v>
      </c>
      <c r="B150" s="57" t="s">
        <v>139</v>
      </c>
      <c r="C150" s="61">
        <v>3.0</v>
      </c>
      <c r="D150" s="62" t="s">
        <v>25</v>
      </c>
      <c r="E150" s="81">
        <v>0.6</v>
      </c>
      <c r="F150" s="81">
        <v>0.0</v>
      </c>
      <c r="G150" s="81">
        <v>0.0</v>
      </c>
      <c r="H150" s="81">
        <v>0.0</v>
      </c>
      <c r="I150" s="81">
        <v>3.0</v>
      </c>
      <c r="J150" s="81">
        <v>0.0</v>
      </c>
      <c r="K150" s="81">
        <v>0.0</v>
      </c>
      <c r="L150" s="81">
        <v>0.0</v>
      </c>
    </row>
    <row r="151" ht="15.75" customHeight="1">
      <c r="A151" s="53" t="s">
        <v>204</v>
      </c>
      <c r="B151" s="57" t="s">
        <v>155</v>
      </c>
      <c r="C151" s="61">
        <v>200.0</v>
      </c>
      <c r="D151" s="62" t="s">
        <v>25</v>
      </c>
      <c r="E151" s="81">
        <v>35.0</v>
      </c>
      <c r="F151" s="81">
        <v>60.0</v>
      </c>
      <c r="G151" s="81">
        <v>76.0</v>
      </c>
      <c r="H151" s="81">
        <v>0.0</v>
      </c>
      <c r="I151" s="81">
        <v>64.0</v>
      </c>
      <c r="J151" s="81">
        <v>115.99999999999999</v>
      </c>
      <c r="K151" s="81">
        <v>0.0</v>
      </c>
      <c r="L151" s="81">
        <v>10.0</v>
      </c>
    </row>
    <row r="152" ht="15.75" customHeight="1">
      <c r="A152" s="53" t="s">
        <v>204</v>
      </c>
      <c r="B152" s="57" t="s">
        <v>141</v>
      </c>
      <c r="C152" s="61">
        <v>1.0</v>
      </c>
      <c r="D152" s="62" t="s">
        <v>25</v>
      </c>
      <c r="E152" s="81">
        <v>0.0035</v>
      </c>
      <c r="F152" s="81">
        <v>0.0</v>
      </c>
      <c r="G152" s="81">
        <v>0.0</v>
      </c>
      <c r="H152" s="81">
        <v>0.0</v>
      </c>
      <c r="I152" s="81">
        <v>1.0</v>
      </c>
      <c r="J152" s="81">
        <v>0.0</v>
      </c>
      <c r="K152" s="81">
        <v>3.0</v>
      </c>
      <c r="L152" s="81">
        <v>0.0</v>
      </c>
    </row>
    <row r="153" ht="15.75" customHeight="1">
      <c r="A153" s="53" t="s">
        <v>205</v>
      </c>
      <c r="B153" s="57" t="s">
        <v>58</v>
      </c>
      <c r="C153" s="61">
        <v>610.0</v>
      </c>
      <c r="D153" s="62" t="s">
        <v>25</v>
      </c>
      <c r="E153" s="81">
        <v>2.806</v>
      </c>
      <c r="F153" s="81">
        <v>0.0</v>
      </c>
      <c r="G153" s="81">
        <v>21.35</v>
      </c>
      <c r="H153" s="81">
        <v>54.9</v>
      </c>
      <c r="I153" s="81">
        <v>0.0</v>
      </c>
      <c r="J153" s="81">
        <v>4.758</v>
      </c>
      <c r="K153" s="81">
        <v>24.400000000000002</v>
      </c>
      <c r="L153" s="81">
        <v>21.35</v>
      </c>
    </row>
    <row r="154" ht="15.75" customHeight="1">
      <c r="A154" s="53" t="s">
        <v>205</v>
      </c>
      <c r="B154" s="57" t="s">
        <v>134</v>
      </c>
      <c r="C154" s="61">
        <v>90.0</v>
      </c>
      <c r="D154" s="62" t="s">
        <v>25</v>
      </c>
      <c r="E154" s="81">
        <v>1.71</v>
      </c>
      <c r="F154" s="81">
        <v>0.0</v>
      </c>
      <c r="G154" s="81">
        <v>31.499999999999996</v>
      </c>
      <c r="H154" s="81">
        <v>5.3999999999999995</v>
      </c>
      <c r="I154" s="81">
        <v>0.0</v>
      </c>
      <c r="J154" s="81">
        <v>0.48600000000000004</v>
      </c>
      <c r="K154" s="81">
        <v>2.6999999999999997</v>
      </c>
      <c r="L154" s="81">
        <v>2.16</v>
      </c>
    </row>
    <row r="155" ht="15.75" customHeight="1">
      <c r="A155" s="53" t="s">
        <v>205</v>
      </c>
      <c r="B155" s="57" t="s">
        <v>135</v>
      </c>
      <c r="C155" s="61">
        <v>40.0</v>
      </c>
      <c r="D155" s="62" t="s">
        <v>25</v>
      </c>
      <c r="E155" s="81">
        <v>2.16</v>
      </c>
      <c r="F155" s="81">
        <v>0.0</v>
      </c>
      <c r="G155" s="81">
        <v>0.0</v>
      </c>
      <c r="H155" s="81">
        <v>38.8</v>
      </c>
      <c r="I155" s="81">
        <v>0.0</v>
      </c>
      <c r="J155" s="81">
        <v>3.2</v>
      </c>
      <c r="K155" s="81">
        <v>20.0</v>
      </c>
      <c r="L155" s="81">
        <v>14.399999999999999</v>
      </c>
    </row>
    <row r="156" ht="15.75" customHeight="1">
      <c r="A156" s="53" t="s">
        <v>205</v>
      </c>
      <c r="B156" s="57" t="s">
        <v>94</v>
      </c>
      <c r="C156" s="61">
        <v>125.0</v>
      </c>
      <c r="D156" s="62" t="s">
        <v>25</v>
      </c>
      <c r="E156" s="81">
        <v>0.5</v>
      </c>
      <c r="F156" s="81">
        <v>125.0</v>
      </c>
      <c r="G156" s="81">
        <v>0.0</v>
      </c>
      <c r="H156" s="81">
        <v>0.0</v>
      </c>
      <c r="I156" s="81">
        <v>0.0</v>
      </c>
      <c r="J156" s="81">
        <v>125.0</v>
      </c>
      <c r="K156" s="81">
        <v>125.0</v>
      </c>
      <c r="L156" s="81">
        <v>0.0</v>
      </c>
    </row>
    <row r="157" ht="15.75" customHeight="1">
      <c r="A157" s="53" t="s">
        <v>205</v>
      </c>
      <c r="B157" s="57" t="s">
        <v>63</v>
      </c>
      <c r="C157" s="61">
        <v>40.0</v>
      </c>
      <c r="D157" s="62" t="s">
        <v>25</v>
      </c>
      <c r="E157" s="81">
        <v>1.28</v>
      </c>
      <c r="F157" s="81">
        <v>36.800000000000004</v>
      </c>
      <c r="G157" s="81">
        <v>0.0</v>
      </c>
      <c r="H157" s="81">
        <v>0.0</v>
      </c>
      <c r="I157" s="81">
        <v>0.0</v>
      </c>
      <c r="J157" s="81">
        <v>29.6</v>
      </c>
      <c r="K157" s="81">
        <v>72.0</v>
      </c>
      <c r="L157" s="81">
        <v>0.0</v>
      </c>
    </row>
    <row r="158" ht="15.75" customHeight="1">
      <c r="A158" s="53" t="s">
        <v>205</v>
      </c>
      <c r="B158" s="57" t="s">
        <v>206</v>
      </c>
      <c r="C158" s="61">
        <v>90.0</v>
      </c>
      <c r="D158" s="62" t="s">
        <v>25</v>
      </c>
      <c r="E158" s="81">
        <v>26.1</v>
      </c>
      <c r="F158" s="81">
        <v>4.05</v>
      </c>
      <c r="G158" s="81">
        <v>50.400000000000006</v>
      </c>
      <c r="H158" s="81">
        <v>0.0</v>
      </c>
      <c r="I158" s="81">
        <v>35.550000000000004</v>
      </c>
      <c r="J158" s="81">
        <v>0.0</v>
      </c>
      <c r="K158" s="81">
        <v>0.0</v>
      </c>
      <c r="L158" s="81">
        <v>11.700000000000001</v>
      </c>
    </row>
    <row r="159" ht="15.75" customHeight="1">
      <c r="A159" s="53" t="s">
        <v>205</v>
      </c>
      <c r="B159" s="57" t="s">
        <v>141</v>
      </c>
      <c r="C159" s="61">
        <v>1.0</v>
      </c>
      <c r="D159" s="62" t="s">
        <v>25</v>
      </c>
      <c r="E159" s="81">
        <v>0.0035</v>
      </c>
      <c r="F159" s="81">
        <v>0.0</v>
      </c>
      <c r="G159" s="81">
        <v>0.0</v>
      </c>
      <c r="H159" s="81">
        <v>0.0</v>
      </c>
      <c r="I159" s="81">
        <v>1.0</v>
      </c>
      <c r="J159" s="81">
        <v>0.0</v>
      </c>
      <c r="K159" s="81">
        <v>3.0</v>
      </c>
      <c r="L159" s="81">
        <v>0.0</v>
      </c>
    </row>
    <row r="160" ht="15.75" customHeight="1">
      <c r="A160" s="53" t="s">
        <v>205</v>
      </c>
      <c r="B160" s="57" t="s">
        <v>139</v>
      </c>
      <c r="C160" s="61">
        <v>5.0</v>
      </c>
      <c r="D160" s="62" t="s">
        <v>25</v>
      </c>
      <c r="E160" s="81">
        <v>1.0</v>
      </c>
      <c r="F160" s="81">
        <v>0.0</v>
      </c>
      <c r="G160" s="81">
        <v>0.0</v>
      </c>
      <c r="H160" s="81">
        <v>0.0</v>
      </c>
      <c r="I160" s="81">
        <v>5.0</v>
      </c>
      <c r="J160" s="81">
        <v>0.0</v>
      </c>
      <c r="K160" s="81">
        <v>0.0</v>
      </c>
      <c r="L160" s="81">
        <v>0.0</v>
      </c>
    </row>
    <row r="161" ht="15.75" customHeight="1">
      <c r="A161" s="53" t="s">
        <v>207</v>
      </c>
      <c r="B161" s="57" t="s">
        <v>58</v>
      </c>
      <c r="C161" s="61">
        <v>552.0</v>
      </c>
      <c r="D161" s="62" t="s">
        <v>25</v>
      </c>
      <c r="E161" s="81">
        <v>2.5391999999999997</v>
      </c>
      <c r="F161" s="81">
        <v>0.0</v>
      </c>
      <c r="G161" s="81">
        <v>19.32</v>
      </c>
      <c r="H161" s="81">
        <v>49.68</v>
      </c>
      <c r="I161" s="81">
        <v>0.0</v>
      </c>
      <c r="J161" s="81">
        <v>4.3056</v>
      </c>
      <c r="K161" s="81">
        <v>22.080000000000002</v>
      </c>
      <c r="L161" s="81">
        <v>19.32</v>
      </c>
    </row>
    <row r="162" ht="15.75" customHeight="1">
      <c r="A162" s="53" t="s">
        <v>207</v>
      </c>
      <c r="B162" s="57" t="s">
        <v>134</v>
      </c>
      <c r="C162" s="61">
        <v>216.0</v>
      </c>
      <c r="D162" s="62" t="s">
        <v>25</v>
      </c>
      <c r="E162" s="81">
        <v>4.104</v>
      </c>
      <c r="F162" s="81">
        <v>0.0</v>
      </c>
      <c r="G162" s="81">
        <v>75.6</v>
      </c>
      <c r="H162" s="81">
        <v>12.959999999999999</v>
      </c>
      <c r="I162" s="81">
        <v>0.0</v>
      </c>
      <c r="J162" s="81">
        <v>1.1664</v>
      </c>
      <c r="K162" s="81">
        <v>6.4799999999999995</v>
      </c>
      <c r="L162" s="81">
        <v>5.184</v>
      </c>
    </row>
    <row r="163" ht="15.75" customHeight="1">
      <c r="A163" s="53" t="s">
        <v>207</v>
      </c>
      <c r="B163" s="57" t="s">
        <v>94</v>
      </c>
      <c r="C163" s="61">
        <v>146.0</v>
      </c>
      <c r="D163" s="62" t="s">
        <v>25</v>
      </c>
      <c r="E163" s="81">
        <v>0.584</v>
      </c>
      <c r="F163" s="81">
        <v>146.0</v>
      </c>
      <c r="G163" s="81">
        <v>0.0</v>
      </c>
      <c r="H163" s="81">
        <v>0.0</v>
      </c>
      <c r="I163" s="81">
        <v>0.0</v>
      </c>
      <c r="J163" s="81">
        <v>146.0</v>
      </c>
      <c r="K163" s="81">
        <v>146.0</v>
      </c>
      <c r="L163" s="81">
        <v>0.0</v>
      </c>
    </row>
    <row r="164" ht="15.75" customHeight="1">
      <c r="A164" s="53" t="s">
        <v>207</v>
      </c>
      <c r="B164" s="57" t="s">
        <v>63</v>
      </c>
      <c r="C164" s="61">
        <v>19.0</v>
      </c>
      <c r="D164" s="62" t="s">
        <v>25</v>
      </c>
      <c r="E164" s="81">
        <v>0.608</v>
      </c>
      <c r="F164" s="81">
        <v>17.48</v>
      </c>
      <c r="G164" s="81">
        <v>0.0</v>
      </c>
      <c r="H164" s="81">
        <v>0.0</v>
      </c>
      <c r="I164" s="81">
        <v>0.0</v>
      </c>
      <c r="J164" s="81">
        <v>14.06</v>
      </c>
      <c r="K164" s="81">
        <v>34.2</v>
      </c>
      <c r="L164" s="81">
        <v>0.0</v>
      </c>
    </row>
    <row r="165" ht="15.75" customHeight="1">
      <c r="A165" s="53" t="s">
        <v>207</v>
      </c>
      <c r="B165" s="57" t="s">
        <v>74</v>
      </c>
      <c r="C165" s="61">
        <v>19.0</v>
      </c>
      <c r="D165" s="62" t="s">
        <v>25</v>
      </c>
      <c r="E165" s="81">
        <v>0.722</v>
      </c>
      <c r="F165" s="81">
        <v>18.05</v>
      </c>
      <c r="G165" s="81">
        <v>0.0</v>
      </c>
      <c r="H165" s="81">
        <v>0.0</v>
      </c>
      <c r="I165" s="81">
        <v>0.0</v>
      </c>
      <c r="J165" s="81">
        <v>7.6000000000000005</v>
      </c>
      <c r="K165" s="81">
        <v>13.299999999999999</v>
      </c>
      <c r="L165" s="81">
        <v>0.0</v>
      </c>
    </row>
    <row r="166" ht="15.75" customHeight="1">
      <c r="A166" s="53" t="s">
        <v>207</v>
      </c>
      <c r="B166" s="57" t="s">
        <v>135</v>
      </c>
      <c r="C166" s="61">
        <v>48.0</v>
      </c>
      <c r="D166" s="62" t="s">
        <v>25</v>
      </c>
      <c r="E166" s="81">
        <v>2.592</v>
      </c>
      <c r="F166" s="81">
        <v>0.0</v>
      </c>
      <c r="G166" s="81">
        <v>0.0</v>
      </c>
      <c r="H166" s="81">
        <v>46.56</v>
      </c>
      <c r="I166" s="81">
        <v>0.0</v>
      </c>
      <c r="J166" s="81">
        <v>3.84</v>
      </c>
      <c r="K166" s="81">
        <v>24.0</v>
      </c>
      <c r="L166" s="81">
        <v>17.28</v>
      </c>
    </row>
    <row r="167" ht="15.75" customHeight="1">
      <c r="A167" s="53" t="s">
        <v>207</v>
      </c>
      <c r="B167" s="57" t="s">
        <v>139</v>
      </c>
      <c r="C167" s="61">
        <v>4.0</v>
      </c>
      <c r="D167" s="62" t="s">
        <v>25</v>
      </c>
      <c r="E167" s="81">
        <v>0.8</v>
      </c>
      <c r="F167" s="81">
        <v>0.0</v>
      </c>
      <c r="G167" s="81">
        <v>0.0</v>
      </c>
      <c r="H167" s="81">
        <v>0.0</v>
      </c>
      <c r="I167" s="81">
        <v>4.0</v>
      </c>
      <c r="J167" s="81">
        <v>0.0</v>
      </c>
      <c r="K167" s="81">
        <v>0.0</v>
      </c>
      <c r="L167" s="81">
        <v>0.0</v>
      </c>
    </row>
    <row r="168" ht="15.75" customHeight="1">
      <c r="A168" s="53" t="s">
        <v>209</v>
      </c>
      <c r="B168" s="57" t="s">
        <v>58</v>
      </c>
      <c r="C168" s="61">
        <v>554.0</v>
      </c>
      <c r="D168" s="62" t="s">
        <v>25</v>
      </c>
      <c r="E168" s="81">
        <v>2.5483999999999996</v>
      </c>
      <c r="F168" s="81">
        <v>0.0</v>
      </c>
      <c r="G168" s="81">
        <v>19.39</v>
      </c>
      <c r="H168" s="81">
        <v>49.86</v>
      </c>
      <c r="I168" s="81">
        <v>0.0</v>
      </c>
      <c r="J168" s="81">
        <v>4.3212</v>
      </c>
      <c r="K168" s="81">
        <v>22.16</v>
      </c>
      <c r="L168" s="81">
        <v>19.39</v>
      </c>
    </row>
    <row r="169" ht="15.75" customHeight="1">
      <c r="A169" s="53" t="s">
        <v>209</v>
      </c>
      <c r="B169" s="57" t="s">
        <v>134</v>
      </c>
      <c r="C169" s="61">
        <v>220.0</v>
      </c>
      <c r="D169" s="62" t="s">
        <v>25</v>
      </c>
      <c r="E169" s="81">
        <v>4.18</v>
      </c>
      <c r="F169" s="81">
        <v>0.0</v>
      </c>
      <c r="G169" s="81">
        <v>77.0</v>
      </c>
      <c r="H169" s="81">
        <v>13.2</v>
      </c>
      <c r="I169" s="81">
        <v>0.0</v>
      </c>
      <c r="J169" s="81">
        <v>1.1880000000000002</v>
      </c>
      <c r="K169" s="81">
        <v>6.6</v>
      </c>
      <c r="L169" s="81">
        <v>5.28</v>
      </c>
    </row>
    <row r="170" ht="15.75" customHeight="1">
      <c r="A170" s="53" t="s">
        <v>209</v>
      </c>
      <c r="B170" s="57" t="s">
        <v>94</v>
      </c>
      <c r="C170" s="61">
        <v>131.0</v>
      </c>
      <c r="D170" s="62" t="s">
        <v>25</v>
      </c>
      <c r="E170" s="81">
        <v>0.524</v>
      </c>
      <c r="F170" s="81">
        <v>131.0</v>
      </c>
      <c r="G170" s="81">
        <v>0.0</v>
      </c>
      <c r="H170" s="81">
        <v>0.0</v>
      </c>
      <c r="I170" s="81">
        <v>0.0</v>
      </c>
      <c r="J170" s="81">
        <v>131.0</v>
      </c>
      <c r="K170" s="81">
        <v>131.0</v>
      </c>
      <c r="L170" s="81">
        <v>0.0</v>
      </c>
    </row>
    <row r="171" ht="15.75" customHeight="1">
      <c r="A171" s="53" t="s">
        <v>209</v>
      </c>
      <c r="B171" s="57" t="s">
        <v>63</v>
      </c>
      <c r="C171" s="61">
        <v>25.0</v>
      </c>
      <c r="D171" s="62" t="s">
        <v>25</v>
      </c>
      <c r="E171" s="81">
        <v>0.8</v>
      </c>
      <c r="F171" s="81">
        <v>23.0</v>
      </c>
      <c r="G171" s="81">
        <v>0.0</v>
      </c>
      <c r="H171" s="81">
        <v>0.0</v>
      </c>
      <c r="I171" s="81">
        <v>0.0</v>
      </c>
      <c r="J171" s="81">
        <v>18.5</v>
      </c>
      <c r="K171" s="81">
        <v>45.0</v>
      </c>
      <c r="L171" s="81">
        <v>0.0</v>
      </c>
    </row>
    <row r="172" ht="15.75" customHeight="1">
      <c r="A172" s="53" t="s">
        <v>209</v>
      </c>
      <c r="B172" s="57" t="s">
        <v>74</v>
      </c>
      <c r="C172" s="61">
        <v>19.0</v>
      </c>
      <c r="D172" s="62" t="s">
        <v>25</v>
      </c>
      <c r="E172" s="81">
        <v>0.722</v>
      </c>
      <c r="F172" s="81">
        <v>18.05</v>
      </c>
      <c r="G172" s="81">
        <v>0.0</v>
      </c>
      <c r="H172" s="81">
        <v>0.0</v>
      </c>
      <c r="I172" s="81">
        <v>0.0</v>
      </c>
      <c r="J172" s="81">
        <v>7.6000000000000005</v>
      </c>
      <c r="K172" s="81">
        <v>13.299999999999999</v>
      </c>
      <c r="L172" s="81">
        <v>0.0</v>
      </c>
    </row>
    <row r="173" ht="15.75" customHeight="1">
      <c r="A173" s="53" t="s">
        <v>209</v>
      </c>
      <c r="B173" s="57" t="s">
        <v>135</v>
      </c>
      <c r="C173" s="61">
        <v>38.0</v>
      </c>
      <c r="D173" s="62" t="s">
        <v>25</v>
      </c>
      <c r="E173" s="81">
        <v>2.052</v>
      </c>
      <c r="F173" s="81">
        <v>0.0</v>
      </c>
      <c r="G173" s="81">
        <v>0.0</v>
      </c>
      <c r="H173" s="81">
        <v>36.86</v>
      </c>
      <c r="I173" s="81">
        <v>0.0</v>
      </c>
      <c r="J173" s="81">
        <v>3.04</v>
      </c>
      <c r="K173" s="81">
        <v>19.0</v>
      </c>
      <c r="L173" s="81">
        <v>13.68</v>
      </c>
    </row>
    <row r="174" ht="15.75" customHeight="1">
      <c r="A174" s="53" t="s">
        <v>209</v>
      </c>
      <c r="B174" s="57" t="s">
        <v>139</v>
      </c>
      <c r="C174" s="61">
        <v>4.0</v>
      </c>
      <c r="D174" s="62" t="s">
        <v>25</v>
      </c>
      <c r="E174" s="81">
        <v>0.8</v>
      </c>
      <c r="F174" s="81">
        <v>0.0</v>
      </c>
      <c r="G174" s="81">
        <v>0.0</v>
      </c>
      <c r="H174" s="81">
        <v>0.0</v>
      </c>
      <c r="I174" s="81">
        <v>4.0</v>
      </c>
      <c r="J174" s="81">
        <v>0.0</v>
      </c>
      <c r="K174" s="81">
        <v>0.0</v>
      </c>
      <c r="L174" s="81">
        <v>0.0</v>
      </c>
    </row>
    <row r="175" ht="15.75" customHeight="1">
      <c r="A175" s="53" t="s">
        <v>225</v>
      </c>
      <c r="B175" s="57" t="s">
        <v>58</v>
      </c>
      <c r="C175" s="61">
        <v>165.0</v>
      </c>
      <c r="D175" s="62" t="s">
        <v>25</v>
      </c>
      <c r="E175" s="81">
        <v>0.7589999999999999</v>
      </c>
      <c r="F175" s="81">
        <v>0.0</v>
      </c>
      <c r="G175" s="81">
        <v>5.775</v>
      </c>
      <c r="H175" s="81">
        <v>14.85</v>
      </c>
      <c r="I175" s="81">
        <v>0.0</v>
      </c>
      <c r="J175" s="81">
        <v>1.287</v>
      </c>
      <c r="K175" s="81">
        <v>6.6000000000000005</v>
      </c>
      <c r="L175" s="81">
        <v>5.775</v>
      </c>
    </row>
    <row r="176" ht="15.75" customHeight="1">
      <c r="A176" s="53" t="s">
        <v>225</v>
      </c>
      <c r="B176" s="57" t="s">
        <v>135</v>
      </c>
      <c r="C176" s="61">
        <v>10.0</v>
      </c>
      <c r="D176" s="62" t="s">
        <v>25</v>
      </c>
      <c r="E176" s="81">
        <v>0.54</v>
      </c>
      <c r="F176" s="81">
        <v>0.0</v>
      </c>
      <c r="G176" s="81">
        <v>0.0</v>
      </c>
      <c r="H176" s="81">
        <v>9.7</v>
      </c>
      <c r="I176" s="81">
        <v>0.0</v>
      </c>
      <c r="J176" s="81">
        <v>0.8</v>
      </c>
      <c r="K176" s="81">
        <v>5.0</v>
      </c>
      <c r="L176" s="81">
        <v>3.5999999999999996</v>
      </c>
    </row>
    <row r="177" ht="15.75" customHeight="1">
      <c r="A177" s="53" t="s">
        <v>225</v>
      </c>
      <c r="B177" s="57" t="s">
        <v>134</v>
      </c>
      <c r="C177" s="61">
        <v>60.0</v>
      </c>
      <c r="D177" s="62" t="s">
        <v>25</v>
      </c>
      <c r="E177" s="81">
        <v>1.14</v>
      </c>
      <c r="F177" s="81">
        <v>0.0</v>
      </c>
      <c r="G177" s="81">
        <v>21.0</v>
      </c>
      <c r="H177" s="81">
        <v>3.5999999999999996</v>
      </c>
      <c r="I177" s="81">
        <v>0.0</v>
      </c>
      <c r="J177" s="81">
        <v>0.324</v>
      </c>
      <c r="K177" s="81">
        <v>1.7999999999999998</v>
      </c>
      <c r="L177" s="81">
        <v>1.44</v>
      </c>
    </row>
    <row r="178" ht="15.75" customHeight="1">
      <c r="A178" s="53" t="s">
        <v>225</v>
      </c>
      <c r="B178" s="57" t="s">
        <v>94</v>
      </c>
      <c r="C178" s="61">
        <v>82.0</v>
      </c>
      <c r="D178" s="62" t="s">
        <v>25</v>
      </c>
      <c r="E178" s="81">
        <v>0.328</v>
      </c>
      <c r="F178" s="81">
        <v>82.0</v>
      </c>
      <c r="G178" s="81">
        <v>0.0</v>
      </c>
      <c r="H178" s="81">
        <v>0.0</v>
      </c>
      <c r="I178" s="81">
        <v>0.0</v>
      </c>
      <c r="J178" s="81">
        <v>82.0</v>
      </c>
      <c r="K178" s="81">
        <v>82.0</v>
      </c>
      <c r="L178" s="81">
        <v>0.0</v>
      </c>
    </row>
    <row r="179" ht="15.75" customHeight="1">
      <c r="A179" s="53" t="s">
        <v>225</v>
      </c>
      <c r="B179" s="57" t="s">
        <v>63</v>
      </c>
      <c r="C179" s="61">
        <v>90.0</v>
      </c>
      <c r="D179" s="62" t="s">
        <v>25</v>
      </c>
      <c r="E179" s="81">
        <v>2.88</v>
      </c>
      <c r="F179" s="81">
        <v>82.8</v>
      </c>
      <c r="G179" s="81">
        <v>0.0</v>
      </c>
      <c r="H179" s="81">
        <v>0.0</v>
      </c>
      <c r="I179" s="81">
        <v>0.0</v>
      </c>
      <c r="J179" s="81">
        <v>66.6</v>
      </c>
      <c r="K179" s="81">
        <v>162.0</v>
      </c>
      <c r="L179" s="81">
        <v>0.0</v>
      </c>
    </row>
    <row r="180" ht="15.75" customHeight="1">
      <c r="A180" s="53" t="s">
        <v>225</v>
      </c>
      <c r="B180" s="57" t="s">
        <v>74</v>
      </c>
      <c r="C180" s="61">
        <v>90.0</v>
      </c>
      <c r="D180" s="62" t="s">
        <v>25</v>
      </c>
      <c r="E180" s="81">
        <v>3.42</v>
      </c>
      <c r="F180" s="81">
        <v>85.5</v>
      </c>
      <c r="G180" s="81">
        <v>0.0</v>
      </c>
      <c r="H180" s="81">
        <v>0.0</v>
      </c>
      <c r="I180" s="81">
        <v>0.0</v>
      </c>
      <c r="J180" s="81">
        <v>36.0</v>
      </c>
      <c r="K180" s="81">
        <v>62.99999999999999</v>
      </c>
      <c r="L180" s="81">
        <v>0.0</v>
      </c>
    </row>
    <row r="181" ht="15.75" customHeight="1">
      <c r="A181" s="53" t="s">
        <v>225</v>
      </c>
      <c r="B181" s="57" t="s">
        <v>139</v>
      </c>
      <c r="C181" s="61">
        <v>3.0</v>
      </c>
      <c r="D181" s="62" t="s">
        <v>25</v>
      </c>
      <c r="E181" s="81">
        <v>0.6</v>
      </c>
      <c r="F181" s="81">
        <v>0.0</v>
      </c>
      <c r="G181" s="81">
        <v>0.0</v>
      </c>
      <c r="H181" s="81">
        <v>0.0</v>
      </c>
      <c r="I181" s="81">
        <v>3.0</v>
      </c>
      <c r="J181" s="81">
        <v>0.0</v>
      </c>
      <c r="K181" s="81">
        <v>0.0</v>
      </c>
      <c r="L181" s="81">
        <v>0.0</v>
      </c>
    </row>
    <row r="182" ht="15.75" customHeight="1">
      <c r="A182" s="53" t="s">
        <v>225</v>
      </c>
      <c r="B182" s="57" t="s">
        <v>190</v>
      </c>
      <c r="C182" s="61">
        <v>510.0</v>
      </c>
      <c r="D182" s="62" t="s">
        <v>25</v>
      </c>
      <c r="E182" s="81">
        <v>0.0</v>
      </c>
      <c r="F182" s="81">
        <v>0.0</v>
      </c>
      <c r="G182" s="81">
        <v>19.89</v>
      </c>
      <c r="H182" s="81">
        <v>48.45</v>
      </c>
      <c r="I182" s="81">
        <v>0.0</v>
      </c>
      <c r="J182" s="81">
        <v>3.6719999999999997</v>
      </c>
      <c r="K182" s="81">
        <v>22.95</v>
      </c>
      <c r="L182" s="81">
        <v>23.97</v>
      </c>
    </row>
    <row r="183" ht="15.75" customHeight="1">
      <c r="A183" s="53" t="s">
        <v>225</v>
      </c>
      <c r="B183" s="57" t="s">
        <v>162</v>
      </c>
      <c r="C183" s="61">
        <v>30.0</v>
      </c>
      <c r="D183" s="62" t="s">
        <v>25</v>
      </c>
      <c r="E183" s="81">
        <v>0.39</v>
      </c>
      <c r="F183" s="81">
        <v>0.6</v>
      </c>
      <c r="G183" s="81">
        <v>0.0</v>
      </c>
      <c r="H183" s="81">
        <v>0.0</v>
      </c>
      <c r="I183" s="81">
        <v>1.7999999999999998</v>
      </c>
      <c r="J183" s="81">
        <v>0.8999999999999999</v>
      </c>
      <c r="K183" s="81">
        <v>0.96</v>
      </c>
      <c r="L183" s="81">
        <v>0.0</v>
      </c>
    </row>
    <row r="184" ht="15.75" customHeight="1">
      <c r="A184" s="53" t="s">
        <v>226</v>
      </c>
      <c r="B184" s="57" t="s">
        <v>58</v>
      </c>
      <c r="C184" s="61">
        <v>494.0</v>
      </c>
      <c r="D184" s="62" t="s">
        <v>25</v>
      </c>
      <c r="E184" s="81">
        <v>2.2723999999999998</v>
      </c>
      <c r="F184" s="81">
        <v>0.0</v>
      </c>
      <c r="G184" s="81">
        <v>17.290000000000003</v>
      </c>
      <c r="H184" s="81">
        <v>44.46</v>
      </c>
      <c r="I184" s="81">
        <v>0.0</v>
      </c>
      <c r="J184" s="81">
        <v>3.8531999999999997</v>
      </c>
      <c r="K184" s="81">
        <v>19.76</v>
      </c>
      <c r="L184" s="81">
        <v>17.290000000000003</v>
      </c>
    </row>
    <row r="185" ht="15.75" customHeight="1">
      <c r="A185" s="53" t="s">
        <v>226</v>
      </c>
      <c r="B185" s="57" t="s">
        <v>134</v>
      </c>
      <c r="C185" s="61">
        <v>72.0</v>
      </c>
      <c r="D185" s="62" t="s">
        <v>25</v>
      </c>
      <c r="E185" s="81">
        <v>1.368</v>
      </c>
      <c r="F185" s="81">
        <v>0.0</v>
      </c>
      <c r="G185" s="81">
        <v>25.2</v>
      </c>
      <c r="H185" s="81">
        <v>4.32</v>
      </c>
      <c r="I185" s="81">
        <v>0.0</v>
      </c>
      <c r="J185" s="81">
        <v>0.38880000000000003</v>
      </c>
      <c r="K185" s="81">
        <v>2.16</v>
      </c>
      <c r="L185" s="81">
        <v>1.728</v>
      </c>
    </row>
    <row r="186" ht="15.75" customHeight="1">
      <c r="A186" s="53" t="s">
        <v>226</v>
      </c>
      <c r="B186" s="57" t="s">
        <v>94</v>
      </c>
      <c r="C186" s="61">
        <v>174.0</v>
      </c>
      <c r="D186" s="62" t="s">
        <v>25</v>
      </c>
      <c r="E186" s="81">
        <v>0.696</v>
      </c>
      <c r="F186" s="81">
        <v>174.0</v>
      </c>
      <c r="G186" s="81">
        <v>0.0</v>
      </c>
      <c r="H186" s="81">
        <v>0.0</v>
      </c>
      <c r="I186" s="81">
        <v>0.0</v>
      </c>
      <c r="J186" s="81">
        <v>174.0</v>
      </c>
      <c r="K186" s="81">
        <v>174.0</v>
      </c>
      <c r="L186" s="81">
        <v>0.0</v>
      </c>
    </row>
    <row r="187" ht="15.75" customHeight="1">
      <c r="A187" s="53" t="s">
        <v>226</v>
      </c>
      <c r="B187" s="57" t="s">
        <v>63</v>
      </c>
      <c r="C187" s="61">
        <v>28.0</v>
      </c>
      <c r="D187" s="62" t="s">
        <v>25</v>
      </c>
      <c r="E187" s="81">
        <v>0.896</v>
      </c>
      <c r="F187" s="81">
        <v>25.76</v>
      </c>
      <c r="G187" s="81">
        <v>0.0</v>
      </c>
      <c r="H187" s="81">
        <v>0.0</v>
      </c>
      <c r="I187" s="81">
        <v>0.0</v>
      </c>
      <c r="J187" s="81">
        <v>20.72</v>
      </c>
      <c r="K187" s="81">
        <v>50.4</v>
      </c>
      <c r="L187" s="81">
        <v>0.0</v>
      </c>
    </row>
    <row r="188" ht="15.75" customHeight="1">
      <c r="A188" s="53" t="s">
        <v>226</v>
      </c>
      <c r="B188" s="57" t="s">
        <v>74</v>
      </c>
      <c r="C188" s="61">
        <v>16.0</v>
      </c>
      <c r="D188" s="62" t="s">
        <v>25</v>
      </c>
      <c r="E188" s="81">
        <v>0.608</v>
      </c>
      <c r="F188" s="81">
        <v>15.2</v>
      </c>
      <c r="G188" s="81">
        <v>0.0</v>
      </c>
      <c r="H188" s="81">
        <v>0.0</v>
      </c>
      <c r="I188" s="81">
        <v>0.0</v>
      </c>
      <c r="J188" s="81">
        <v>6.4</v>
      </c>
      <c r="K188" s="81">
        <v>11.2</v>
      </c>
      <c r="L188" s="81">
        <v>0.0</v>
      </c>
    </row>
    <row r="189" ht="15.75" customHeight="1">
      <c r="A189" s="53" t="s">
        <v>226</v>
      </c>
      <c r="B189" s="57" t="s">
        <v>135</v>
      </c>
      <c r="C189" s="61">
        <v>30.0</v>
      </c>
      <c r="D189" s="62" t="s">
        <v>25</v>
      </c>
      <c r="E189" s="81">
        <v>1.62</v>
      </c>
      <c r="F189" s="81">
        <v>0.0</v>
      </c>
      <c r="G189" s="81">
        <v>0.0</v>
      </c>
      <c r="H189" s="81">
        <v>29.099999999999998</v>
      </c>
      <c r="I189" s="81">
        <v>0.0</v>
      </c>
      <c r="J189" s="81">
        <v>2.4</v>
      </c>
      <c r="K189" s="81">
        <v>15.0</v>
      </c>
      <c r="L189" s="81">
        <v>10.799999999999999</v>
      </c>
    </row>
    <row r="190" ht="15.75" customHeight="1">
      <c r="A190" s="53" t="s">
        <v>226</v>
      </c>
      <c r="B190" s="57" t="s">
        <v>139</v>
      </c>
      <c r="C190" s="61">
        <v>4.0</v>
      </c>
      <c r="D190" s="62" t="s">
        <v>25</v>
      </c>
      <c r="E190" s="81">
        <v>0.8</v>
      </c>
      <c r="F190" s="81">
        <v>0.0</v>
      </c>
      <c r="G190" s="81">
        <v>0.0</v>
      </c>
      <c r="H190" s="81">
        <v>0.0</v>
      </c>
      <c r="I190" s="81">
        <v>4.0</v>
      </c>
      <c r="J190" s="81">
        <v>0.0</v>
      </c>
      <c r="K190" s="81">
        <v>0.0</v>
      </c>
      <c r="L190" s="81">
        <v>0.0</v>
      </c>
    </row>
    <row r="191" ht="15.75" customHeight="1">
      <c r="A191" s="53" t="s">
        <v>226</v>
      </c>
      <c r="B191" s="57" t="s">
        <v>178</v>
      </c>
      <c r="C191" s="61">
        <v>200.0</v>
      </c>
      <c r="D191" s="62" t="s">
        <v>25</v>
      </c>
      <c r="E191" s="81">
        <v>9.6</v>
      </c>
      <c r="F191" s="81">
        <v>0.0</v>
      </c>
      <c r="G191" s="81">
        <v>62.0</v>
      </c>
      <c r="H191" s="81">
        <v>20.0</v>
      </c>
      <c r="I191" s="81">
        <v>0.0</v>
      </c>
      <c r="J191" s="81">
        <v>0.0</v>
      </c>
      <c r="K191" s="81">
        <v>0.0</v>
      </c>
      <c r="L191" s="81">
        <v>17.2</v>
      </c>
    </row>
    <row r="192" ht="15.75" customHeight="1">
      <c r="A192" s="53" t="s">
        <v>263</v>
      </c>
      <c r="B192" s="57" t="s">
        <v>58</v>
      </c>
      <c r="C192" s="61">
        <v>565.0</v>
      </c>
      <c r="D192" s="62" t="s">
        <v>25</v>
      </c>
      <c r="E192" s="81">
        <v>2.599</v>
      </c>
      <c r="F192" s="81">
        <v>0.0</v>
      </c>
      <c r="G192" s="81">
        <v>19.775000000000002</v>
      </c>
      <c r="H192" s="81">
        <v>50.85</v>
      </c>
      <c r="I192" s="81">
        <v>0.0</v>
      </c>
      <c r="J192" s="81">
        <v>4.407</v>
      </c>
      <c r="K192" s="81">
        <v>22.6</v>
      </c>
      <c r="L192" s="81">
        <v>19.775000000000002</v>
      </c>
    </row>
    <row r="193" ht="15.75" customHeight="1">
      <c r="A193" s="53" t="s">
        <v>263</v>
      </c>
      <c r="B193" s="57" t="s">
        <v>134</v>
      </c>
      <c r="C193" s="61">
        <v>140.0</v>
      </c>
      <c r="D193" s="62" t="s">
        <v>25</v>
      </c>
      <c r="E193" s="81">
        <v>2.66</v>
      </c>
      <c r="F193" s="81">
        <v>0.0</v>
      </c>
      <c r="G193" s="81">
        <v>49.0</v>
      </c>
      <c r="H193" s="81">
        <v>8.4</v>
      </c>
      <c r="I193" s="81">
        <v>0.0</v>
      </c>
      <c r="J193" s="81">
        <v>0.756</v>
      </c>
      <c r="K193" s="81">
        <v>4.2</v>
      </c>
      <c r="L193" s="81">
        <v>3.36</v>
      </c>
    </row>
    <row r="194" ht="15.75" customHeight="1">
      <c r="A194" s="53" t="s">
        <v>263</v>
      </c>
      <c r="B194" s="57" t="s">
        <v>158</v>
      </c>
      <c r="C194" s="61">
        <v>55.0</v>
      </c>
      <c r="D194" s="62" t="s">
        <v>25</v>
      </c>
      <c r="E194" s="81">
        <v>1.375</v>
      </c>
      <c r="F194" s="81">
        <v>0.0</v>
      </c>
      <c r="G194" s="81">
        <v>17.6</v>
      </c>
      <c r="H194" s="81">
        <v>0.0</v>
      </c>
      <c r="I194" s="81">
        <v>9.9</v>
      </c>
      <c r="J194" s="81">
        <v>0.0</v>
      </c>
      <c r="K194" s="81">
        <v>0.0</v>
      </c>
      <c r="L194" s="81">
        <v>8.8</v>
      </c>
    </row>
    <row r="195" ht="15.75" customHeight="1">
      <c r="A195" s="53" t="s">
        <v>263</v>
      </c>
      <c r="B195" s="57" t="s">
        <v>94</v>
      </c>
      <c r="C195" s="61">
        <v>145.0</v>
      </c>
      <c r="D195" s="62" t="s">
        <v>25</v>
      </c>
      <c r="E195" s="81">
        <v>0.58</v>
      </c>
      <c r="F195" s="81">
        <v>145.0</v>
      </c>
      <c r="G195" s="81">
        <v>0.0</v>
      </c>
      <c r="H195" s="81">
        <v>0.0</v>
      </c>
      <c r="I195" s="81">
        <v>0.0</v>
      </c>
      <c r="J195" s="81">
        <v>145.0</v>
      </c>
      <c r="K195" s="81">
        <v>145.0</v>
      </c>
      <c r="L195" s="81">
        <v>0.0</v>
      </c>
    </row>
    <row r="196" ht="15.75" customHeight="1">
      <c r="A196" s="53" t="s">
        <v>263</v>
      </c>
      <c r="B196" s="57" t="s">
        <v>63</v>
      </c>
      <c r="C196" s="61">
        <v>46.0</v>
      </c>
      <c r="D196" s="62" t="s">
        <v>25</v>
      </c>
      <c r="E196" s="81">
        <v>1.472</v>
      </c>
      <c r="F196" s="81">
        <v>42.32</v>
      </c>
      <c r="G196" s="81">
        <v>0.0</v>
      </c>
      <c r="H196" s="81">
        <v>0.0</v>
      </c>
      <c r="I196" s="81">
        <v>0.0</v>
      </c>
      <c r="J196" s="81">
        <v>34.04</v>
      </c>
      <c r="K196" s="81">
        <v>82.8</v>
      </c>
      <c r="L196" s="81">
        <v>0.0</v>
      </c>
    </row>
    <row r="197" ht="15.75" customHeight="1">
      <c r="A197" s="53" t="s">
        <v>263</v>
      </c>
      <c r="B197" s="57" t="s">
        <v>74</v>
      </c>
      <c r="C197" s="61">
        <v>25.0</v>
      </c>
      <c r="D197" s="62" t="s">
        <v>25</v>
      </c>
      <c r="E197" s="81">
        <v>0.95</v>
      </c>
      <c r="F197" s="81">
        <v>23.75</v>
      </c>
      <c r="G197" s="81">
        <v>0.0</v>
      </c>
      <c r="H197" s="81">
        <v>0.0</v>
      </c>
      <c r="I197" s="81">
        <v>0.0</v>
      </c>
      <c r="J197" s="81">
        <v>10.0</v>
      </c>
      <c r="K197" s="81">
        <v>17.5</v>
      </c>
      <c r="L197" s="81">
        <v>0.0</v>
      </c>
    </row>
    <row r="198" ht="15.75" customHeight="1">
      <c r="A198" s="53" t="s">
        <v>263</v>
      </c>
      <c r="B198" s="57" t="s">
        <v>135</v>
      </c>
      <c r="C198" s="61">
        <v>40.0</v>
      </c>
      <c r="D198" s="62" t="s">
        <v>25</v>
      </c>
      <c r="E198" s="81">
        <v>2.16</v>
      </c>
      <c r="F198" s="81">
        <v>0.0</v>
      </c>
      <c r="G198" s="81">
        <v>0.0</v>
      </c>
      <c r="H198" s="81">
        <v>38.8</v>
      </c>
      <c r="I198" s="81">
        <v>0.0</v>
      </c>
      <c r="J198" s="81">
        <v>3.2</v>
      </c>
      <c r="K198" s="81">
        <v>20.0</v>
      </c>
      <c r="L198" s="81">
        <v>14.399999999999999</v>
      </c>
    </row>
    <row r="199" ht="15.75" customHeight="1">
      <c r="A199" s="53" t="s">
        <v>263</v>
      </c>
      <c r="B199" s="57" t="s">
        <v>139</v>
      </c>
      <c r="C199" s="61">
        <v>5.0</v>
      </c>
      <c r="D199" s="62" t="s">
        <v>25</v>
      </c>
      <c r="E199" s="81">
        <v>1.0</v>
      </c>
      <c r="F199" s="81">
        <v>0.0</v>
      </c>
      <c r="G199" s="81">
        <v>0.0</v>
      </c>
      <c r="H199" s="81">
        <v>0.0</v>
      </c>
      <c r="I199" s="81">
        <v>5.0</v>
      </c>
      <c r="J199" s="81">
        <v>0.0</v>
      </c>
      <c r="K199" s="81">
        <v>0.0</v>
      </c>
      <c r="L199" s="81">
        <v>0.0</v>
      </c>
    </row>
    <row r="200" ht="15.75" customHeight="1">
      <c r="A200" s="53" t="s">
        <v>288</v>
      </c>
      <c r="B200" s="57" t="s">
        <v>58</v>
      </c>
      <c r="C200" s="61">
        <v>570.0</v>
      </c>
      <c r="D200" s="62" t="s">
        <v>25</v>
      </c>
      <c r="E200" s="81">
        <v>2.622</v>
      </c>
      <c r="F200" s="81">
        <v>0.0</v>
      </c>
      <c r="G200" s="81">
        <v>19.950000000000003</v>
      </c>
      <c r="H200" s="81">
        <v>51.3</v>
      </c>
      <c r="I200" s="81">
        <v>0.0</v>
      </c>
      <c r="J200" s="81">
        <v>4.446</v>
      </c>
      <c r="K200" s="81">
        <v>22.8</v>
      </c>
      <c r="L200" s="81">
        <v>19.950000000000003</v>
      </c>
    </row>
    <row r="201" ht="15.75" customHeight="1">
      <c r="A201" s="53" t="s">
        <v>288</v>
      </c>
      <c r="B201" s="57" t="s">
        <v>134</v>
      </c>
      <c r="C201" s="61">
        <v>125.0</v>
      </c>
      <c r="D201" s="62" t="s">
        <v>25</v>
      </c>
      <c r="E201" s="81">
        <v>2.375</v>
      </c>
      <c r="F201" s="81">
        <v>0.0</v>
      </c>
      <c r="G201" s="81">
        <v>43.75</v>
      </c>
      <c r="H201" s="81">
        <v>7.5</v>
      </c>
      <c r="I201" s="81">
        <v>0.0</v>
      </c>
      <c r="J201" s="81">
        <v>0.675</v>
      </c>
      <c r="K201" s="81">
        <v>3.75</v>
      </c>
      <c r="L201" s="81">
        <v>3.0</v>
      </c>
    </row>
    <row r="202" ht="15.75" customHeight="1">
      <c r="A202" s="53" t="s">
        <v>288</v>
      </c>
      <c r="B202" s="57" t="s">
        <v>94</v>
      </c>
      <c r="C202" s="61">
        <v>100.0</v>
      </c>
      <c r="D202" s="62" t="s">
        <v>25</v>
      </c>
      <c r="E202" s="81">
        <v>0.4</v>
      </c>
      <c r="F202" s="81">
        <v>100.0</v>
      </c>
      <c r="G202" s="81">
        <v>0.0</v>
      </c>
      <c r="H202" s="81">
        <v>0.0</v>
      </c>
      <c r="I202" s="81">
        <v>0.0</v>
      </c>
      <c r="J202" s="81">
        <v>100.0</v>
      </c>
      <c r="K202" s="81">
        <v>100.0</v>
      </c>
      <c r="L202" s="81">
        <v>0.0</v>
      </c>
    </row>
    <row r="203" ht="15.75" customHeight="1">
      <c r="A203" s="53" t="s">
        <v>288</v>
      </c>
      <c r="B203" s="57" t="s">
        <v>63</v>
      </c>
      <c r="C203" s="61">
        <v>60.0</v>
      </c>
      <c r="D203" s="62" t="s">
        <v>25</v>
      </c>
      <c r="E203" s="81">
        <v>1.92</v>
      </c>
      <c r="F203" s="81">
        <v>55.2</v>
      </c>
      <c r="G203" s="81">
        <v>0.0</v>
      </c>
      <c r="H203" s="81">
        <v>0.0</v>
      </c>
      <c r="I203" s="81">
        <v>0.0</v>
      </c>
      <c r="J203" s="81">
        <v>44.4</v>
      </c>
      <c r="K203" s="81">
        <v>108.0</v>
      </c>
      <c r="L203" s="81">
        <v>0.0</v>
      </c>
    </row>
    <row r="204" ht="15.75" customHeight="1">
      <c r="A204" s="53" t="s">
        <v>288</v>
      </c>
      <c r="B204" s="57" t="s">
        <v>74</v>
      </c>
      <c r="C204" s="61">
        <v>15.0</v>
      </c>
      <c r="D204" s="62" t="s">
        <v>25</v>
      </c>
      <c r="E204" s="81">
        <v>0.57</v>
      </c>
      <c r="F204" s="81">
        <v>14.25</v>
      </c>
      <c r="G204" s="81">
        <v>0.0</v>
      </c>
      <c r="H204" s="81">
        <v>0.0</v>
      </c>
      <c r="I204" s="81">
        <v>0.0</v>
      </c>
      <c r="J204" s="81">
        <v>6.0</v>
      </c>
      <c r="K204" s="81">
        <v>10.5</v>
      </c>
      <c r="L204" s="81">
        <v>0.0</v>
      </c>
    </row>
    <row r="205" ht="15.75" customHeight="1">
      <c r="A205" s="53" t="s">
        <v>288</v>
      </c>
      <c r="B205" s="57" t="s">
        <v>135</v>
      </c>
      <c r="C205" s="61">
        <v>14.0</v>
      </c>
      <c r="D205" s="62" t="s">
        <v>25</v>
      </c>
      <c r="E205" s="81">
        <v>0.756</v>
      </c>
      <c r="F205" s="81">
        <v>0.0</v>
      </c>
      <c r="G205" s="81">
        <v>0.0</v>
      </c>
      <c r="H205" s="81">
        <v>13.58</v>
      </c>
      <c r="I205" s="81">
        <v>0.0</v>
      </c>
      <c r="J205" s="81">
        <v>1.12</v>
      </c>
      <c r="K205" s="81">
        <v>7.0</v>
      </c>
      <c r="L205" s="81">
        <v>5.04</v>
      </c>
    </row>
    <row r="206" ht="15.75" customHeight="1">
      <c r="A206" s="53" t="s">
        <v>288</v>
      </c>
      <c r="B206" s="57" t="s">
        <v>139</v>
      </c>
      <c r="C206" s="61">
        <v>4.0</v>
      </c>
      <c r="D206" s="62" t="s">
        <v>25</v>
      </c>
      <c r="E206" s="81">
        <v>0.8</v>
      </c>
      <c r="F206" s="81">
        <v>0.0</v>
      </c>
      <c r="G206" s="81">
        <v>0.0</v>
      </c>
      <c r="H206" s="81">
        <v>0.0</v>
      </c>
      <c r="I206" s="81">
        <v>4.0</v>
      </c>
      <c r="J206" s="81">
        <v>0.0</v>
      </c>
      <c r="K206" s="81">
        <v>0.0</v>
      </c>
      <c r="L206" s="81">
        <v>0.0</v>
      </c>
    </row>
    <row r="207" ht="15.75" customHeight="1">
      <c r="A207" s="53" t="s">
        <v>288</v>
      </c>
      <c r="B207" s="57" t="s">
        <v>309</v>
      </c>
      <c r="C207" s="61">
        <v>150.0</v>
      </c>
      <c r="D207" s="62" t="s">
        <v>25</v>
      </c>
      <c r="E207" s="81">
        <v>14.25</v>
      </c>
      <c r="F207" s="81">
        <v>0.0</v>
      </c>
      <c r="G207" s="81">
        <v>42.00000000000001</v>
      </c>
      <c r="H207" s="81">
        <v>30.0</v>
      </c>
      <c r="I207" s="81">
        <v>0.0</v>
      </c>
      <c r="J207" s="81">
        <v>0.0</v>
      </c>
      <c r="K207" s="81">
        <v>0.0</v>
      </c>
      <c r="L207" s="81">
        <v>30.0</v>
      </c>
    </row>
    <row r="208" ht="15.75" customHeight="1">
      <c r="A208" s="53" t="s">
        <v>313</v>
      </c>
      <c r="B208" s="57" t="s">
        <v>58</v>
      </c>
      <c r="C208" s="61">
        <v>554.0</v>
      </c>
      <c r="D208" s="62" t="s">
        <v>25</v>
      </c>
      <c r="E208" s="81">
        <v>2.5483999999999996</v>
      </c>
      <c r="F208" s="81">
        <v>0.0</v>
      </c>
      <c r="G208" s="81">
        <v>19.39</v>
      </c>
      <c r="H208" s="81">
        <v>49.86</v>
      </c>
      <c r="I208" s="81">
        <v>0.0</v>
      </c>
      <c r="J208" s="81">
        <v>4.3212</v>
      </c>
      <c r="K208" s="81">
        <v>22.16</v>
      </c>
      <c r="L208" s="81">
        <v>19.39</v>
      </c>
    </row>
    <row r="209" ht="15.75" customHeight="1">
      <c r="A209" s="53" t="s">
        <v>313</v>
      </c>
      <c r="B209" s="57" t="s">
        <v>134</v>
      </c>
      <c r="C209" s="61">
        <v>250.0</v>
      </c>
      <c r="D209" s="62" t="s">
        <v>25</v>
      </c>
      <c r="E209" s="81">
        <v>4.75</v>
      </c>
      <c r="F209" s="81">
        <v>0.0</v>
      </c>
      <c r="G209" s="81">
        <v>87.5</v>
      </c>
      <c r="H209" s="81">
        <v>15.0</v>
      </c>
      <c r="I209" s="81">
        <v>0.0</v>
      </c>
      <c r="J209" s="81">
        <v>1.35</v>
      </c>
      <c r="K209" s="81">
        <v>7.5</v>
      </c>
      <c r="L209" s="81">
        <v>6.0</v>
      </c>
    </row>
    <row r="210" ht="15.75" customHeight="1">
      <c r="A210" s="53" t="s">
        <v>313</v>
      </c>
      <c r="B210" s="57" t="s">
        <v>94</v>
      </c>
      <c r="C210" s="61">
        <v>116.0</v>
      </c>
      <c r="D210" s="62" t="s">
        <v>25</v>
      </c>
      <c r="E210" s="81">
        <v>0.464</v>
      </c>
      <c r="F210" s="81">
        <v>116.0</v>
      </c>
      <c r="G210" s="81">
        <v>0.0</v>
      </c>
      <c r="H210" s="81">
        <v>0.0</v>
      </c>
      <c r="I210" s="81">
        <v>0.0</v>
      </c>
      <c r="J210" s="81">
        <v>116.0</v>
      </c>
      <c r="K210" s="81">
        <v>116.0</v>
      </c>
      <c r="L210" s="81">
        <v>0.0</v>
      </c>
    </row>
    <row r="211" ht="15.75" customHeight="1">
      <c r="A211" s="53" t="s">
        <v>313</v>
      </c>
      <c r="B211" s="57" t="s">
        <v>74</v>
      </c>
      <c r="C211" s="61">
        <v>19.0</v>
      </c>
      <c r="D211" s="62" t="s">
        <v>25</v>
      </c>
      <c r="E211" s="81">
        <v>0.722</v>
      </c>
      <c r="F211" s="81">
        <v>18.05</v>
      </c>
      <c r="G211" s="81">
        <v>0.0</v>
      </c>
      <c r="H211" s="81">
        <v>0.0</v>
      </c>
      <c r="I211" s="81">
        <v>0.0</v>
      </c>
      <c r="J211" s="81">
        <v>7.6000000000000005</v>
      </c>
      <c r="K211" s="81">
        <v>13.299999999999999</v>
      </c>
      <c r="L211" s="81">
        <v>0.0</v>
      </c>
    </row>
    <row r="212" ht="15.75" customHeight="1">
      <c r="A212" s="53" t="s">
        <v>313</v>
      </c>
      <c r="B212" s="57" t="s">
        <v>135</v>
      </c>
      <c r="C212" s="61">
        <v>38.0</v>
      </c>
      <c r="D212" s="62" t="s">
        <v>25</v>
      </c>
      <c r="E212" s="81">
        <v>2.052</v>
      </c>
      <c r="F212" s="81">
        <v>0.0</v>
      </c>
      <c r="G212" s="81">
        <v>0.0</v>
      </c>
      <c r="H212" s="81">
        <v>36.86</v>
      </c>
      <c r="I212" s="81">
        <v>0.0</v>
      </c>
      <c r="J212" s="81">
        <v>3.04</v>
      </c>
      <c r="K212" s="81">
        <v>19.0</v>
      </c>
      <c r="L212" s="81">
        <v>13.68</v>
      </c>
    </row>
    <row r="213" ht="15.75" customHeight="1">
      <c r="A213" s="53" t="s">
        <v>313</v>
      </c>
      <c r="B213" s="57" t="s">
        <v>173</v>
      </c>
      <c r="C213" s="61">
        <v>100.0</v>
      </c>
      <c r="D213" s="62" t="s">
        <v>25</v>
      </c>
      <c r="E213" s="81">
        <v>4.8</v>
      </c>
      <c r="F213" s="81">
        <v>49.0</v>
      </c>
      <c r="G213" s="81">
        <v>6.0</v>
      </c>
      <c r="H213" s="81">
        <v>13.5</v>
      </c>
      <c r="I213" s="81">
        <v>0.0</v>
      </c>
      <c r="J213" s="81">
        <v>47.0</v>
      </c>
      <c r="K213" s="81">
        <v>64.9</v>
      </c>
      <c r="L213" s="81">
        <v>8.6</v>
      </c>
    </row>
    <row r="214" ht="15.75" customHeight="1">
      <c r="A214" s="53" t="s">
        <v>313</v>
      </c>
      <c r="B214" s="57" t="s">
        <v>139</v>
      </c>
      <c r="C214" s="61">
        <v>4.0</v>
      </c>
      <c r="D214" s="62" t="s">
        <v>25</v>
      </c>
      <c r="E214" s="81">
        <v>0.8</v>
      </c>
      <c r="F214" s="81">
        <v>0.0</v>
      </c>
      <c r="G214" s="81">
        <v>0.0</v>
      </c>
      <c r="H214" s="81">
        <v>0.0</v>
      </c>
      <c r="I214" s="81">
        <v>4.0</v>
      </c>
      <c r="J214" s="81">
        <v>0.0</v>
      </c>
      <c r="K214" s="81">
        <v>0.0</v>
      </c>
      <c r="L214" s="81">
        <v>0.0</v>
      </c>
    </row>
    <row r="215" ht="15.75" customHeight="1">
      <c r="A215" s="53" t="s">
        <v>320</v>
      </c>
      <c r="B215" s="57" t="s">
        <v>58</v>
      </c>
      <c r="C215" s="61">
        <v>554.0</v>
      </c>
      <c r="D215" s="62" t="s">
        <v>25</v>
      </c>
      <c r="E215" s="81">
        <v>2.5483999999999996</v>
      </c>
      <c r="F215" s="81">
        <v>0.0</v>
      </c>
      <c r="G215" s="81">
        <v>19.39</v>
      </c>
      <c r="H215" s="81">
        <v>49.86</v>
      </c>
      <c r="I215" s="81">
        <v>0.0</v>
      </c>
      <c r="J215" s="81">
        <v>4.3212</v>
      </c>
      <c r="K215" s="81">
        <v>22.16</v>
      </c>
      <c r="L215" s="81">
        <v>19.39</v>
      </c>
    </row>
    <row r="216" ht="15.75" customHeight="1">
      <c r="A216" s="53" t="s">
        <v>320</v>
      </c>
      <c r="B216" s="57" t="s">
        <v>134</v>
      </c>
      <c r="C216" s="61">
        <v>80.0</v>
      </c>
      <c r="D216" s="62" t="s">
        <v>25</v>
      </c>
      <c r="E216" s="81">
        <v>1.52</v>
      </c>
      <c r="F216" s="81">
        <v>0.0</v>
      </c>
      <c r="G216" s="81">
        <v>28.0</v>
      </c>
      <c r="H216" s="81">
        <v>4.8</v>
      </c>
      <c r="I216" s="81">
        <v>0.0</v>
      </c>
      <c r="J216" s="81">
        <v>0.43200000000000005</v>
      </c>
      <c r="K216" s="81">
        <v>2.4</v>
      </c>
      <c r="L216" s="81">
        <v>1.92</v>
      </c>
    </row>
    <row r="217" ht="15.75" customHeight="1">
      <c r="A217" s="53" t="s">
        <v>320</v>
      </c>
      <c r="B217" s="57" t="s">
        <v>206</v>
      </c>
      <c r="C217" s="61">
        <v>120.0</v>
      </c>
      <c r="D217" s="62" t="s">
        <v>25</v>
      </c>
      <c r="E217" s="81">
        <v>34.8</v>
      </c>
      <c r="F217" s="81">
        <v>5.3999999999999995</v>
      </c>
      <c r="G217" s="81">
        <v>67.2</v>
      </c>
      <c r="H217" s="81">
        <v>0.0</v>
      </c>
      <c r="I217" s="81">
        <v>47.400000000000006</v>
      </c>
      <c r="J217" s="81">
        <v>0.0</v>
      </c>
      <c r="K217" s="81">
        <v>0.0</v>
      </c>
      <c r="L217" s="81">
        <v>15.600000000000001</v>
      </c>
    </row>
    <row r="218" ht="15.75" customHeight="1">
      <c r="A218" s="53" t="s">
        <v>320</v>
      </c>
      <c r="B218" s="57" t="s">
        <v>94</v>
      </c>
      <c r="C218" s="61">
        <v>75.0</v>
      </c>
      <c r="D218" s="62" t="s">
        <v>25</v>
      </c>
      <c r="E218" s="81">
        <v>0.3</v>
      </c>
      <c r="F218" s="81">
        <v>75.0</v>
      </c>
      <c r="G218" s="81">
        <v>0.0</v>
      </c>
      <c r="H218" s="81">
        <v>0.0</v>
      </c>
      <c r="I218" s="81">
        <v>0.0</v>
      </c>
      <c r="J218" s="81">
        <v>75.0</v>
      </c>
      <c r="K218" s="81">
        <v>75.0</v>
      </c>
      <c r="L218" s="81">
        <v>0.0</v>
      </c>
    </row>
    <row r="219" ht="15.75" customHeight="1">
      <c r="A219" s="53" t="s">
        <v>320</v>
      </c>
      <c r="B219" s="57" t="s">
        <v>63</v>
      </c>
      <c r="C219" s="61">
        <v>50.0</v>
      </c>
      <c r="D219" s="62" t="s">
        <v>25</v>
      </c>
      <c r="E219" s="81">
        <v>1.6</v>
      </c>
      <c r="F219" s="81">
        <v>46.0</v>
      </c>
      <c r="G219" s="81">
        <v>0.0</v>
      </c>
      <c r="H219" s="81">
        <v>0.0</v>
      </c>
      <c r="I219" s="81">
        <v>0.0</v>
      </c>
      <c r="J219" s="81">
        <v>37.0</v>
      </c>
      <c r="K219" s="81">
        <v>90.0</v>
      </c>
      <c r="L219" s="81">
        <v>0.0</v>
      </c>
    </row>
    <row r="220" ht="15.75" customHeight="1">
      <c r="A220" s="53" t="s">
        <v>320</v>
      </c>
      <c r="B220" s="57" t="s">
        <v>74</v>
      </c>
      <c r="C220" s="61">
        <v>19.0</v>
      </c>
      <c r="D220" s="62" t="s">
        <v>25</v>
      </c>
      <c r="E220" s="81">
        <v>0.722</v>
      </c>
      <c r="F220" s="81">
        <v>18.05</v>
      </c>
      <c r="G220" s="81">
        <v>0.0</v>
      </c>
      <c r="H220" s="81">
        <v>0.0</v>
      </c>
      <c r="I220" s="81">
        <v>0.0</v>
      </c>
      <c r="J220" s="81">
        <v>7.6000000000000005</v>
      </c>
      <c r="K220" s="81">
        <v>13.299999999999999</v>
      </c>
      <c r="L220" s="81">
        <v>0.0</v>
      </c>
    </row>
    <row r="221" ht="15.75" customHeight="1">
      <c r="A221" s="53" t="s">
        <v>320</v>
      </c>
      <c r="B221" s="57" t="s">
        <v>135</v>
      </c>
      <c r="C221" s="61">
        <v>38.0</v>
      </c>
      <c r="D221" s="62" t="s">
        <v>25</v>
      </c>
      <c r="E221" s="81">
        <v>2.052</v>
      </c>
      <c r="F221" s="81">
        <v>0.0</v>
      </c>
      <c r="G221" s="81">
        <v>0.0</v>
      </c>
      <c r="H221" s="81">
        <v>36.86</v>
      </c>
      <c r="I221" s="81">
        <v>0.0</v>
      </c>
      <c r="J221" s="81">
        <v>3.04</v>
      </c>
      <c r="K221" s="81">
        <v>19.0</v>
      </c>
      <c r="L221" s="81">
        <v>13.68</v>
      </c>
    </row>
    <row r="222" ht="15.75" customHeight="1">
      <c r="A222" s="53" t="s">
        <v>320</v>
      </c>
      <c r="B222" s="57" t="s">
        <v>139</v>
      </c>
      <c r="C222" s="61">
        <v>4.0</v>
      </c>
      <c r="D222" s="62" t="s">
        <v>25</v>
      </c>
      <c r="E222" s="81">
        <v>0.8</v>
      </c>
      <c r="F222" s="81">
        <v>0.0</v>
      </c>
      <c r="G222" s="81">
        <v>0.0</v>
      </c>
      <c r="H222" s="81">
        <v>0.0</v>
      </c>
      <c r="I222" s="81">
        <v>4.0</v>
      </c>
      <c r="J222" s="81">
        <v>0.0</v>
      </c>
      <c r="K222" s="81">
        <v>0.0</v>
      </c>
      <c r="L222" s="81">
        <v>0.0</v>
      </c>
    </row>
    <row r="223" ht="15.75" customHeight="1">
      <c r="A223" s="53" t="s">
        <v>320</v>
      </c>
      <c r="B223" s="57" t="s">
        <v>141</v>
      </c>
      <c r="C223" s="61">
        <v>2.0</v>
      </c>
      <c r="D223" s="62" t="s">
        <v>25</v>
      </c>
      <c r="E223" s="81">
        <v>0.007</v>
      </c>
      <c r="F223" s="81">
        <v>0.0</v>
      </c>
      <c r="G223" s="81">
        <v>0.0</v>
      </c>
      <c r="H223" s="81">
        <v>0.0</v>
      </c>
      <c r="I223" s="81">
        <v>2.0</v>
      </c>
      <c r="J223" s="81">
        <v>0.0</v>
      </c>
      <c r="K223" s="81">
        <v>6.0</v>
      </c>
      <c r="L223" s="81">
        <v>0.0</v>
      </c>
    </row>
    <row r="224" ht="15.75" customHeight="1">
      <c r="A224" s="53" t="s">
        <v>321</v>
      </c>
      <c r="B224" s="57" t="s">
        <v>14</v>
      </c>
      <c r="C224" s="61">
        <v>322.0</v>
      </c>
      <c r="D224" s="62" t="s">
        <v>25</v>
      </c>
      <c r="E224" s="81">
        <v>0.0</v>
      </c>
      <c r="F224" s="81">
        <v>0.0</v>
      </c>
      <c r="G224" s="81">
        <v>0.0</v>
      </c>
      <c r="H224" s="81">
        <v>0.0</v>
      </c>
      <c r="I224" s="81">
        <v>0.0</v>
      </c>
      <c r="J224" s="81">
        <v>0.0</v>
      </c>
      <c r="K224" s="81">
        <v>0.0</v>
      </c>
      <c r="L224" s="81">
        <v>0.0</v>
      </c>
    </row>
    <row r="225" ht="15.75" customHeight="1">
      <c r="A225" s="53" t="s">
        <v>321</v>
      </c>
      <c r="B225" s="57" t="s">
        <v>58</v>
      </c>
      <c r="C225" s="61">
        <v>256.0</v>
      </c>
      <c r="D225" s="62" t="s">
        <v>25</v>
      </c>
      <c r="E225" s="81">
        <v>1.1776</v>
      </c>
      <c r="F225" s="81">
        <v>0.0</v>
      </c>
      <c r="G225" s="81">
        <v>8.96</v>
      </c>
      <c r="H225" s="81">
        <v>23.04</v>
      </c>
      <c r="I225" s="81">
        <v>0.0</v>
      </c>
      <c r="J225" s="81">
        <v>1.9968</v>
      </c>
      <c r="K225" s="81">
        <v>10.24</v>
      </c>
      <c r="L225" s="81">
        <v>8.96</v>
      </c>
    </row>
    <row r="226" ht="15.75" customHeight="1">
      <c r="A226" s="53" t="s">
        <v>321</v>
      </c>
      <c r="B226" s="57" t="s">
        <v>134</v>
      </c>
      <c r="C226" s="61">
        <v>60.0</v>
      </c>
      <c r="D226" s="62" t="s">
        <v>25</v>
      </c>
      <c r="E226" s="81">
        <v>1.14</v>
      </c>
      <c r="F226" s="81">
        <v>0.0</v>
      </c>
      <c r="G226" s="81">
        <v>21.0</v>
      </c>
      <c r="H226" s="81">
        <v>3.5999999999999996</v>
      </c>
      <c r="I226" s="81">
        <v>0.0</v>
      </c>
      <c r="J226" s="81">
        <v>0.324</v>
      </c>
      <c r="K226" s="81">
        <v>1.7999999999999998</v>
      </c>
      <c r="L226" s="81">
        <v>1.44</v>
      </c>
    </row>
    <row r="227" ht="15.75" customHeight="1">
      <c r="A227" s="53" t="s">
        <v>321</v>
      </c>
      <c r="B227" s="57" t="s">
        <v>94</v>
      </c>
      <c r="C227" s="61">
        <v>77.0</v>
      </c>
      <c r="D227" s="62" t="s">
        <v>25</v>
      </c>
      <c r="E227" s="81">
        <v>0.308</v>
      </c>
      <c r="F227" s="81">
        <v>77.0</v>
      </c>
      <c r="G227" s="81">
        <v>0.0</v>
      </c>
      <c r="H227" s="81">
        <v>0.0</v>
      </c>
      <c r="I227" s="81">
        <v>0.0</v>
      </c>
      <c r="J227" s="81">
        <v>77.0</v>
      </c>
      <c r="K227" s="81">
        <v>77.0</v>
      </c>
      <c r="L227" s="81">
        <v>0.0</v>
      </c>
    </row>
    <row r="228" ht="15.75" customHeight="1">
      <c r="A228" s="53" t="s">
        <v>321</v>
      </c>
      <c r="B228" s="57" t="s">
        <v>63</v>
      </c>
      <c r="C228" s="61">
        <v>8.0</v>
      </c>
      <c r="D228" s="62" t="s">
        <v>25</v>
      </c>
      <c r="E228" s="81">
        <v>0.256</v>
      </c>
      <c r="F228" s="81">
        <v>7.36</v>
      </c>
      <c r="G228" s="81">
        <v>0.0</v>
      </c>
      <c r="H228" s="81">
        <v>0.0</v>
      </c>
      <c r="I228" s="81">
        <v>0.0</v>
      </c>
      <c r="J228" s="81">
        <v>5.92</v>
      </c>
      <c r="K228" s="81">
        <v>14.4</v>
      </c>
      <c r="L228" s="81">
        <v>0.0</v>
      </c>
    </row>
    <row r="229" ht="15.75" customHeight="1">
      <c r="A229" s="53" t="s">
        <v>321</v>
      </c>
      <c r="B229" s="57" t="s">
        <v>74</v>
      </c>
      <c r="C229" s="61">
        <v>7.0</v>
      </c>
      <c r="D229" s="62" t="s">
        <v>25</v>
      </c>
      <c r="E229" s="81">
        <v>0.266</v>
      </c>
      <c r="F229" s="81">
        <v>6.6499999999999995</v>
      </c>
      <c r="G229" s="81">
        <v>0.0</v>
      </c>
      <c r="H229" s="81">
        <v>0.0</v>
      </c>
      <c r="I229" s="81">
        <v>0.0</v>
      </c>
      <c r="J229" s="81">
        <v>2.8000000000000003</v>
      </c>
      <c r="K229" s="81">
        <v>4.8999999999999995</v>
      </c>
      <c r="L229" s="81">
        <v>0.0</v>
      </c>
    </row>
    <row r="230" ht="15.75" customHeight="1">
      <c r="A230" s="53" t="s">
        <v>321</v>
      </c>
      <c r="B230" s="57" t="s">
        <v>135</v>
      </c>
      <c r="C230" s="61">
        <v>15.0</v>
      </c>
      <c r="D230" s="62" t="s">
        <v>25</v>
      </c>
      <c r="E230" s="81">
        <v>0.81</v>
      </c>
      <c r="F230" s="81">
        <v>0.0</v>
      </c>
      <c r="G230" s="81">
        <v>0.0</v>
      </c>
      <c r="H230" s="81">
        <v>14.549999999999999</v>
      </c>
      <c r="I230" s="81">
        <v>0.0</v>
      </c>
      <c r="J230" s="81">
        <v>1.2</v>
      </c>
      <c r="K230" s="81">
        <v>7.5</v>
      </c>
      <c r="L230" s="81">
        <v>5.3999999999999995</v>
      </c>
    </row>
    <row r="231" ht="15.75" customHeight="1">
      <c r="A231" s="53" t="s">
        <v>321</v>
      </c>
      <c r="B231" s="57" t="s">
        <v>139</v>
      </c>
      <c r="C231" s="61">
        <v>5.0</v>
      </c>
      <c r="D231" s="62" t="s">
        <v>25</v>
      </c>
      <c r="E231" s="81">
        <v>1.0</v>
      </c>
      <c r="F231" s="81">
        <v>0.0</v>
      </c>
      <c r="G231" s="81">
        <v>0.0</v>
      </c>
      <c r="H231" s="81">
        <v>0.0</v>
      </c>
      <c r="I231" s="81">
        <v>5.0</v>
      </c>
      <c r="J231" s="81">
        <v>0.0</v>
      </c>
      <c r="K231" s="81">
        <v>0.0</v>
      </c>
      <c r="L231" s="81">
        <v>0.0</v>
      </c>
    </row>
    <row r="232" ht="15.75" customHeight="1">
      <c r="A232" s="53" t="s">
        <v>321</v>
      </c>
      <c r="B232" s="57" t="s">
        <v>186</v>
      </c>
      <c r="C232" s="61">
        <v>250.0</v>
      </c>
      <c r="D232" s="62" t="s">
        <v>25</v>
      </c>
      <c r="E232" s="81">
        <v>40.0</v>
      </c>
      <c r="F232" s="81">
        <v>137.5</v>
      </c>
      <c r="G232" s="81">
        <v>50.0</v>
      </c>
      <c r="H232" s="81">
        <v>37.5</v>
      </c>
      <c r="I232" s="81">
        <v>25.0</v>
      </c>
      <c r="J232" s="81">
        <v>147.5</v>
      </c>
      <c r="K232" s="81">
        <v>62.5</v>
      </c>
      <c r="L232" s="81">
        <v>10.0</v>
      </c>
    </row>
    <row r="233" ht="15.75" customHeight="1">
      <c r="A233" s="53" t="s">
        <v>323</v>
      </c>
      <c r="B233" s="57" t="s">
        <v>58</v>
      </c>
      <c r="C233" s="61">
        <v>500.0</v>
      </c>
      <c r="D233" s="62" t="s">
        <v>25</v>
      </c>
      <c r="E233" s="81">
        <v>2.3</v>
      </c>
      <c r="F233" s="81">
        <v>0.0</v>
      </c>
      <c r="G233" s="81">
        <v>17.5</v>
      </c>
      <c r="H233" s="81">
        <v>45.0</v>
      </c>
      <c r="I233" s="81">
        <v>0.0</v>
      </c>
      <c r="J233" s="81">
        <v>3.9</v>
      </c>
      <c r="K233" s="81">
        <v>20.0</v>
      </c>
      <c r="L233" s="81">
        <v>17.5</v>
      </c>
    </row>
    <row r="234" ht="15.75" customHeight="1">
      <c r="A234" s="53" t="s">
        <v>323</v>
      </c>
      <c r="B234" s="57" t="s">
        <v>94</v>
      </c>
      <c r="C234" s="61">
        <v>100.0</v>
      </c>
      <c r="D234" s="62" t="s">
        <v>25</v>
      </c>
      <c r="E234" s="81">
        <v>0.4</v>
      </c>
      <c r="F234" s="81">
        <v>100.0</v>
      </c>
      <c r="G234" s="81">
        <v>0.0</v>
      </c>
      <c r="H234" s="81">
        <v>0.0</v>
      </c>
      <c r="I234" s="81">
        <v>0.0</v>
      </c>
      <c r="J234" s="81">
        <v>100.0</v>
      </c>
      <c r="K234" s="81">
        <v>100.0</v>
      </c>
      <c r="L234" s="81">
        <v>0.0</v>
      </c>
    </row>
    <row r="235" ht="15.75" customHeight="1">
      <c r="A235" s="53" t="s">
        <v>323</v>
      </c>
      <c r="B235" s="57" t="s">
        <v>63</v>
      </c>
      <c r="C235" s="61">
        <v>10.0</v>
      </c>
      <c r="D235" s="62" t="s">
        <v>25</v>
      </c>
      <c r="E235" s="81">
        <v>0.32</v>
      </c>
      <c r="F235" s="81">
        <v>9.200000000000001</v>
      </c>
      <c r="G235" s="81">
        <v>0.0</v>
      </c>
      <c r="H235" s="81">
        <v>0.0</v>
      </c>
      <c r="I235" s="81">
        <v>0.0</v>
      </c>
      <c r="J235" s="81">
        <v>7.4</v>
      </c>
      <c r="K235" s="81">
        <v>18.0</v>
      </c>
      <c r="L235" s="81">
        <v>0.0</v>
      </c>
    </row>
    <row r="236" ht="15.75" customHeight="1">
      <c r="A236" s="53" t="s">
        <v>323</v>
      </c>
      <c r="B236" s="57" t="s">
        <v>74</v>
      </c>
      <c r="C236" s="61">
        <v>20.0</v>
      </c>
      <c r="D236" s="62" t="s">
        <v>25</v>
      </c>
      <c r="E236" s="81">
        <v>0.76</v>
      </c>
      <c r="F236" s="81">
        <v>19.0</v>
      </c>
      <c r="G236" s="81">
        <v>0.0</v>
      </c>
      <c r="H236" s="81">
        <v>0.0</v>
      </c>
      <c r="I236" s="81">
        <v>0.0</v>
      </c>
      <c r="J236" s="81">
        <v>8.0</v>
      </c>
      <c r="K236" s="81">
        <v>14.0</v>
      </c>
      <c r="L236" s="81">
        <v>0.0</v>
      </c>
    </row>
    <row r="237" ht="15.75" customHeight="1">
      <c r="A237" s="53" t="s">
        <v>323</v>
      </c>
      <c r="B237" s="57" t="s">
        <v>135</v>
      </c>
      <c r="C237" s="61">
        <v>40.0</v>
      </c>
      <c r="D237" s="62" t="s">
        <v>25</v>
      </c>
      <c r="E237" s="81">
        <v>2.16</v>
      </c>
      <c r="F237" s="81">
        <v>0.0</v>
      </c>
      <c r="G237" s="81">
        <v>0.0</v>
      </c>
      <c r="H237" s="81">
        <v>38.8</v>
      </c>
      <c r="I237" s="81">
        <v>0.0</v>
      </c>
      <c r="J237" s="81">
        <v>3.2</v>
      </c>
      <c r="K237" s="81">
        <v>20.0</v>
      </c>
      <c r="L237" s="81">
        <v>14.399999999999999</v>
      </c>
    </row>
    <row r="238" ht="15.75" customHeight="1">
      <c r="A238" s="53" t="s">
        <v>323</v>
      </c>
      <c r="B238" s="57" t="s">
        <v>170</v>
      </c>
      <c r="C238" s="61">
        <v>15.0</v>
      </c>
      <c r="D238" s="62" t="s">
        <v>25</v>
      </c>
      <c r="E238" s="81">
        <v>1.425</v>
      </c>
      <c r="F238" s="81">
        <v>0.0</v>
      </c>
      <c r="G238" s="81">
        <v>0.0</v>
      </c>
      <c r="H238" s="81">
        <v>0.0</v>
      </c>
      <c r="I238" s="81">
        <v>14.25</v>
      </c>
      <c r="J238" s="81">
        <v>0.0</v>
      </c>
      <c r="K238" s="81">
        <v>3.0</v>
      </c>
      <c r="L238" s="81">
        <v>0.0</v>
      </c>
    </row>
    <row r="239" ht="15.75" customHeight="1">
      <c r="A239" s="53" t="s">
        <v>323</v>
      </c>
      <c r="B239" s="57" t="s">
        <v>139</v>
      </c>
      <c r="C239" s="61">
        <v>4.0</v>
      </c>
      <c r="D239" s="62" t="s">
        <v>25</v>
      </c>
      <c r="E239" s="81">
        <v>0.8</v>
      </c>
      <c r="F239" s="81">
        <v>0.0</v>
      </c>
      <c r="G239" s="81">
        <v>0.0</v>
      </c>
      <c r="H239" s="81">
        <v>0.0</v>
      </c>
      <c r="I239" s="81">
        <v>4.0</v>
      </c>
      <c r="J239" s="81">
        <v>0.0</v>
      </c>
      <c r="K239" s="81">
        <v>0.0</v>
      </c>
      <c r="L239" s="81">
        <v>0.0</v>
      </c>
    </row>
    <row r="240" ht="15.75" customHeight="1">
      <c r="A240" s="53" t="s">
        <v>323</v>
      </c>
      <c r="B240" s="57" t="s">
        <v>174</v>
      </c>
      <c r="C240" s="61">
        <v>200.0</v>
      </c>
      <c r="D240" s="62" t="s">
        <v>25</v>
      </c>
      <c r="E240" s="81">
        <v>19.0</v>
      </c>
      <c r="F240" s="81">
        <v>80.0</v>
      </c>
      <c r="G240" s="81">
        <v>70.0</v>
      </c>
      <c r="H240" s="81">
        <v>0.0</v>
      </c>
      <c r="I240" s="81">
        <v>50.0</v>
      </c>
      <c r="J240" s="81">
        <v>80.0</v>
      </c>
      <c r="K240" s="81">
        <v>80.0</v>
      </c>
      <c r="L240" s="81">
        <v>16.8</v>
      </c>
    </row>
    <row r="241" ht="15.75" customHeight="1">
      <c r="A241" s="53" t="s">
        <v>323</v>
      </c>
      <c r="B241" s="57" t="s">
        <v>324</v>
      </c>
      <c r="C241" s="61">
        <v>50.0</v>
      </c>
      <c r="D241" s="62" t="s">
        <v>25</v>
      </c>
      <c r="E241" s="81">
        <v>9.0</v>
      </c>
      <c r="F241" s="81">
        <v>0.0</v>
      </c>
      <c r="G241" s="81">
        <v>3.3333333333333335</v>
      </c>
      <c r="H241" s="81">
        <v>45.333333333333336</v>
      </c>
      <c r="I241" s="81">
        <v>0.0</v>
      </c>
      <c r="J241" s="81">
        <v>0.5</v>
      </c>
      <c r="K241" s="81">
        <v>7.000000000000001</v>
      </c>
      <c r="L241" s="81">
        <v>40.0</v>
      </c>
    </row>
    <row r="242" ht="15.75" customHeight="1">
      <c r="A242" s="53" t="s">
        <v>326</v>
      </c>
      <c r="B242" s="57" t="s">
        <v>58</v>
      </c>
      <c r="C242" s="149">
        <v>367.0</v>
      </c>
      <c r="D242" s="62" t="s">
        <v>25</v>
      </c>
      <c r="E242" s="81">
        <v>1.6882</v>
      </c>
      <c r="F242" s="81">
        <v>0.0</v>
      </c>
      <c r="G242" s="81">
        <v>12.845</v>
      </c>
      <c r="H242" s="81">
        <v>33.03</v>
      </c>
      <c r="I242" s="81">
        <v>0.0</v>
      </c>
      <c r="J242" s="81">
        <v>2.8626</v>
      </c>
      <c r="K242" s="81">
        <v>14.68</v>
      </c>
      <c r="L242" s="81">
        <v>12.845</v>
      </c>
    </row>
    <row r="243" ht="15.75" customHeight="1">
      <c r="A243" s="53" t="s">
        <v>326</v>
      </c>
      <c r="B243" s="57" t="s">
        <v>134</v>
      </c>
      <c r="C243" s="149">
        <v>160.0</v>
      </c>
      <c r="D243" s="62" t="s">
        <v>25</v>
      </c>
      <c r="E243" s="81">
        <v>3.04</v>
      </c>
      <c r="F243" s="81">
        <v>0.0</v>
      </c>
      <c r="G243" s="81">
        <v>56.0</v>
      </c>
      <c r="H243" s="81">
        <v>9.6</v>
      </c>
      <c r="I243" s="81">
        <v>0.0</v>
      </c>
      <c r="J243" s="81">
        <v>0.8640000000000001</v>
      </c>
      <c r="K243" s="81">
        <v>4.8</v>
      </c>
      <c r="L243" s="81">
        <v>3.84</v>
      </c>
    </row>
    <row r="244" ht="15.75" customHeight="1">
      <c r="A244" s="53" t="s">
        <v>326</v>
      </c>
      <c r="B244" s="57" t="s">
        <v>94</v>
      </c>
      <c r="C244" s="149">
        <v>146.0</v>
      </c>
      <c r="D244" s="62" t="s">
        <v>25</v>
      </c>
      <c r="E244" s="81">
        <v>0.584</v>
      </c>
      <c r="F244" s="81">
        <v>146.0</v>
      </c>
      <c r="G244" s="81">
        <v>0.0</v>
      </c>
      <c r="H244" s="81">
        <v>0.0</v>
      </c>
      <c r="I244" s="81">
        <v>0.0</v>
      </c>
      <c r="J244" s="81">
        <v>146.0</v>
      </c>
      <c r="K244" s="81">
        <v>146.0</v>
      </c>
      <c r="L244" s="81">
        <v>0.0</v>
      </c>
    </row>
    <row r="245" ht="15.75" customHeight="1">
      <c r="A245" s="53" t="s">
        <v>326</v>
      </c>
      <c r="B245" s="57" t="s">
        <v>63</v>
      </c>
      <c r="C245" s="149">
        <v>28.0</v>
      </c>
      <c r="D245" s="62" t="s">
        <v>25</v>
      </c>
      <c r="E245" s="81">
        <v>0.896</v>
      </c>
      <c r="F245" s="81">
        <v>25.76</v>
      </c>
      <c r="G245" s="81">
        <v>0.0</v>
      </c>
      <c r="H245" s="81">
        <v>0.0</v>
      </c>
      <c r="I245" s="81">
        <v>0.0</v>
      </c>
      <c r="J245" s="81">
        <v>20.72</v>
      </c>
      <c r="K245" s="81">
        <v>50.4</v>
      </c>
      <c r="L245" s="81">
        <v>0.0</v>
      </c>
    </row>
    <row r="246" ht="15.75" customHeight="1">
      <c r="A246" s="53" t="s">
        <v>326</v>
      </c>
      <c r="B246" s="57" t="s">
        <v>74</v>
      </c>
      <c r="C246" s="149">
        <v>14.0</v>
      </c>
      <c r="D246" s="62" t="s">
        <v>25</v>
      </c>
      <c r="E246" s="81">
        <v>0.532</v>
      </c>
      <c r="F246" s="81">
        <v>13.299999999999999</v>
      </c>
      <c r="G246" s="81">
        <v>0.0</v>
      </c>
      <c r="H246" s="81">
        <v>0.0</v>
      </c>
      <c r="I246" s="81">
        <v>0.0</v>
      </c>
      <c r="J246" s="81">
        <v>5.6000000000000005</v>
      </c>
      <c r="K246" s="81">
        <v>9.799999999999999</v>
      </c>
      <c r="L246" s="81">
        <v>0.0</v>
      </c>
    </row>
    <row r="247" ht="15.75" customHeight="1">
      <c r="A247" s="53" t="s">
        <v>326</v>
      </c>
      <c r="B247" s="57" t="s">
        <v>135</v>
      </c>
      <c r="C247" s="149">
        <v>28.0</v>
      </c>
      <c r="D247" s="62" t="s">
        <v>25</v>
      </c>
      <c r="E247" s="81">
        <v>1.512</v>
      </c>
      <c r="F247" s="81">
        <v>0.0</v>
      </c>
      <c r="G247" s="81">
        <v>0.0</v>
      </c>
      <c r="H247" s="81">
        <v>27.16</v>
      </c>
      <c r="I247" s="81">
        <v>0.0</v>
      </c>
      <c r="J247" s="81">
        <v>2.24</v>
      </c>
      <c r="K247" s="81">
        <v>14.0</v>
      </c>
      <c r="L247" s="81">
        <v>10.08</v>
      </c>
    </row>
    <row r="248" ht="15.75" customHeight="1">
      <c r="A248" s="53" t="s">
        <v>326</v>
      </c>
      <c r="B248" s="57" t="s">
        <v>139</v>
      </c>
      <c r="C248" s="149">
        <v>2.91</v>
      </c>
      <c r="D248" s="62" t="s">
        <v>25</v>
      </c>
      <c r="E248" s="81">
        <v>0.582</v>
      </c>
      <c r="F248" s="81">
        <v>0.0</v>
      </c>
      <c r="G248" s="81">
        <v>0.0</v>
      </c>
      <c r="H248" s="81">
        <v>0.0</v>
      </c>
      <c r="I248" s="81">
        <v>2.91</v>
      </c>
      <c r="J248" s="81">
        <v>0.0</v>
      </c>
      <c r="K248" s="81">
        <v>0.0</v>
      </c>
      <c r="L248" s="81">
        <v>0.0</v>
      </c>
    </row>
    <row r="249" ht="15.75" customHeight="1">
      <c r="A249" s="53" t="s">
        <v>326</v>
      </c>
      <c r="B249" s="57" t="s">
        <v>327</v>
      </c>
      <c r="C249" s="149">
        <v>255.0</v>
      </c>
      <c r="D249" s="62" t="s">
        <v>25</v>
      </c>
      <c r="E249" s="81">
        <v>0.0</v>
      </c>
      <c r="F249" s="81">
        <v>10.200000000000001</v>
      </c>
      <c r="G249" s="81">
        <v>0.0</v>
      </c>
      <c r="H249" s="81">
        <v>0.0</v>
      </c>
      <c r="I249" s="81">
        <v>15.299999999999999</v>
      </c>
      <c r="J249" s="81">
        <v>10.200000000000001</v>
      </c>
      <c r="K249" s="81">
        <v>12.75</v>
      </c>
      <c r="L249" s="81">
        <v>2.5500000000000003</v>
      </c>
    </row>
    <row r="250" ht="15.75" customHeight="1">
      <c r="A250" s="53" t="s">
        <v>328</v>
      </c>
      <c r="B250" s="57" t="s">
        <v>58</v>
      </c>
      <c r="C250" s="61">
        <v>554.0</v>
      </c>
      <c r="D250" s="62" t="s">
        <v>25</v>
      </c>
      <c r="E250" s="81">
        <v>2.5483999999999996</v>
      </c>
      <c r="F250" s="81">
        <v>0.0</v>
      </c>
      <c r="G250" s="81">
        <v>19.39</v>
      </c>
      <c r="H250" s="81">
        <v>49.86</v>
      </c>
      <c r="I250" s="81">
        <v>0.0</v>
      </c>
      <c r="J250" s="81">
        <v>4.3212</v>
      </c>
      <c r="K250" s="81">
        <v>22.16</v>
      </c>
      <c r="L250" s="81">
        <v>19.39</v>
      </c>
    </row>
    <row r="251" ht="15.75" customHeight="1">
      <c r="A251" s="53" t="s">
        <v>328</v>
      </c>
      <c r="B251" s="57" t="s">
        <v>329</v>
      </c>
      <c r="C251" s="61">
        <v>100.0</v>
      </c>
      <c r="D251" s="62" t="s">
        <v>25</v>
      </c>
      <c r="E251" s="81">
        <v>0.0</v>
      </c>
      <c r="F251" s="81">
        <v>8.4</v>
      </c>
      <c r="G251" s="81">
        <v>49.3</v>
      </c>
      <c r="H251" s="81">
        <v>0.0</v>
      </c>
      <c r="I251" s="81">
        <v>39.800000000000004</v>
      </c>
      <c r="J251" s="81">
        <v>0.0</v>
      </c>
      <c r="K251" s="81">
        <v>0.0</v>
      </c>
      <c r="L251" s="81">
        <v>24.7</v>
      </c>
    </row>
    <row r="252" ht="15.75" customHeight="1">
      <c r="A252" s="53" t="s">
        <v>328</v>
      </c>
      <c r="B252" s="57" t="s">
        <v>134</v>
      </c>
      <c r="C252" s="61">
        <v>80.0</v>
      </c>
      <c r="D252" s="62" t="s">
        <v>25</v>
      </c>
      <c r="E252" s="81">
        <v>1.52</v>
      </c>
      <c r="F252" s="81">
        <v>0.0</v>
      </c>
      <c r="G252" s="81">
        <v>28.0</v>
      </c>
      <c r="H252" s="81">
        <v>4.8</v>
      </c>
      <c r="I252" s="81">
        <v>0.0</v>
      </c>
      <c r="J252" s="81">
        <v>0.43200000000000005</v>
      </c>
      <c r="K252" s="81">
        <v>2.4</v>
      </c>
      <c r="L252" s="81">
        <v>1.92</v>
      </c>
    </row>
    <row r="253" ht="15.75" customHeight="1">
      <c r="A253" s="53" t="s">
        <v>328</v>
      </c>
      <c r="B253" s="57" t="s">
        <v>94</v>
      </c>
      <c r="C253" s="61">
        <v>100.0</v>
      </c>
      <c r="D253" s="62" t="s">
        <v>25</v>
      </c>
      <c r="E253" s="81">
        <v>0.4</v>
      </c>
      <c r="F253" s="81">
        <v>100.0</v>
      </c>
      <c r="G253" s="81">
        <v>0.0</v>
      </c>
      <c r="H253" s="81">
        <v>0.0</v>
      </c>
      <c r="I253" s="81">
        <v>0.0</v>
      </c>
      <c r="J253" s="81">
        <v>100.0</v>
      </c>
      <c r="K253" s="81">
        <v>100.0</v>
      </c>
      <c r="L253" s="81">
        <v>0.0</v>
      </c>
    </row>
    <row r="254" ht="15.75" customHeight="1">
      <c r="A254" s="53" t="s">
        <v>328</v>
      </c>
      <c r="B254" s="57" t="s">
        <v>63</v>
      </c>
      <c r="C254" s="61">
        <v>30.0</v>
      </c>
      <c r="D254" s="62" t="s">
        <v>25</v>
      </c>
      <c r="E254" s="81">
        <v>0.96</v>
      </c>
      <c r="F254" s="81">
        <v>27.6</v>
      </c>
      <c r="G254" s="81">
        <v>0.0</v>
      </c>
      <c r="H254" s="81">
        <v>0.0</v>
      </c>
      <c r="I254" s="81">
        <v>0.0</v>
      </c>
      <c r="J254" s="81">
        <v>22.2</v>
      </c>
      <c r="K254" s="81">
        <v>54.0</v>
      </c>
      <c r="L254" s="81">
        <v>0.0</v>
      </c>
    </row>
    <row r="255" ht="15.75" customHeight="1">
      <c r="A255" s="53" t="s">
        <v>328</v>
      </c>
      <c r="B255" s="57" t="s">
        <v>74</v>
      </c>
      <c r="C255" s="61">
        <v>19.0</v>
      </c>
      <c r="D255" s="62" t="s">
        <v>25</v>
      </c>
      <c r="E255" s="81">
        <v>0.722</v>
      </c>
      <c r="F255" s="81">
        <v>18.05</v>
      </c>
      <c r="G255" s="81">
        <v>0.0</v>
      </c>
      <c r="H255" s="81">
        <v>0.0</v>
      </c>
      <c r="I255" s="81">
        <v>0.0</v>
      </c>
      <c r="J255" s="81">
        <v>7.6000000000000005</v>
      </c>
      <c r="K255" s="81">
        <v>13.299999999999999</v>
      </c>
      <c r="L255" s="81">
        <v>0.0</v>
      </c>
    </row>
    <row r="256" ht="15.75" customHeight="1">
      <c r="A256" s="53" t="s">
        <v>328</v>
      </c>
      <c r="B256" s="57" t="s">
        <v>135</v>
      </c>
      <c r="C256" s="61">
        <v>38.0</v>
      </c>
      <c r="D256" s="62" t="s">
        <v>25</v>
      </c>
      <c r="E256" s="81">
        <v>2.052</v>
      </c>
      <c r="F256" s="81">
        <v>0.0</v>
      </c>
      <c r="G256" s="81">
        <v>0.0</v>
      </c>
      <c r="H256" s="81">
        <v>36.86</v>
      </c>
      <c r="I256" s="81">
        <v>0.0</v>
      </c>
      <c r="J256" s="81">
        <v>3.04</v>
      </c>
      <c r="K256" s="81">
        <v>19.0</v>
      </c>
      <c r="L256" s="81">
        <v>13.68</v>
      </c>
    </row>
    <row r="257" ht="15.75" customHeight="1">
      <c r="A257" s="53" t="s">
        <v>328</v>
      </c>
      <c r="B257" s="57" t="s">
        <v>139</v>
      </c>
      <c r="C257" s="61">
        <v>4.0</v>
      </c>
      <c r="D257" s="62" t="s">
        <v>25</v>
      </c>
      <c r="E257" s="81">
        <v>0.8</v>
      </c>
      <c r="F257" s="81">
        <v>0.0</v>
      </c>
      <c r="G257" s="81">
        <v>0.0</v>
      </c>
      <c r="H257" s="81">
        <v>0.0</v>
      </c>
      <c r="I257" s="81">
        <v>4.0</v>
      </c>
      <c r="J257" s="81">
        <v>0.0</v>
      </c>
      <c r="K257" s="81">
        <v>0.0</v>
      </c>
      <c r="L257" s="81">
        <v>0.0</v>
      </c>
    </row>
    <row r="258" ht="15.75" customHeight="1">
      <c r="A258" s="53" t="s">
        <v>330</v>
      </c>
      <c r="B258" s="57" t="s">
        <v>58</v>
      </c>
      <c r="C258" s="61">
        <v>554.0</v>
      </c>
      <c r="D258" s="62" t="s">
        <v>25</v>
      </c>
      <c r="E258" s="81">
        <v>2.5483999999999996</v>
      </c>
      <c r="F258" s="81">
        <v>0.0</v>
      </c>
      <c r="G258" s="81">
        <v>19.39</v>
      </c>
      <c r="H258" s="81">
        <v>49.86</v>
      </c>
      <c r="I258" s="81">
        <v>0.0</v>
      </c>
      <c r="J258" s="81">
        <v>4.3212</v>
      </c>
      <c r="K258" s="81">
        <v>22.16</v>
      </c>
      <c r="L258" s="81">
        <v>19.39</v>
      </c>
    </row>
    <row r="259" ht="15.75" customHeight="1">
      <c r="A259" s="53" t="s">
        <v>330</v>
      </c>
      <c r="B259" s="57" t="s">
        <v>331</v>
      </c>
      <c r="C259" s="61">
        <v>100.0</v>
      </c>
      <c r="D259" s="62" t="s">
        <v>25</v>
      </c>
      <c r="E259" s="81">
        <v>16.8</v>
      </c>
      <c r="F259" s="81">
        <v>4.0</v>
      </c>
      <c r="G259" s="81">
        <v>65.0</v>
      </c>
      <c r="H259" s="81">
        <v>0.0</v>
      </c>
      <c r="I259" s="81">
        <v>31.0</v>
      </c>
      <c r="J259" s="81">
        <v>0.0</v>
      </c>
      <c r="K259" s="81">
        <v>0.0</v>
      </c>
      <c r="L259" s="81">
        <v>14.000000000000002</v>
      </c>
    </row>
    <row r="260" ht="15.75" customHeight="1">
      <c r="A260" s="53" t="s">
        <v>330</v>
      </c>
      <c r="B260" s="57" t="s">
        <v>134</v>
      </c>
      <c r="C260" s="61">
        <v>80.0</v>
      </c>
      <c r="D260" s="62" t="s">
        <v>25</v>
      </c>
      <c r="E260" s="81">
        <v>1.52</v>
      </c>
      <c r="F260" s="81">
        <v>0.0</v>
      </c>
      <c r="G260" s="81">
        <v>28.0</v>
      </c>
      <c r="H260" s="81">
        <v>4.8</v>
      </c>
      <c r="I260" s="81">
        <v>0.0</v>
      </c>
      <c r="J260" s="81">
        <v>0.43200000000000005</v>
      </c>
      <c r="K260" s="81">
        <v>2.4</v>
      </c>
      <c r="L260" s="81">
        <v>1.92</v>
      </c>
    </row>
    <row r="261" ht="15.75" customHeight="1">
      <c r="A261" s="53" t="s">
        <v>330</v>
      </c>
      <c r="B261" s="57" t="s">
        <v>94</v>
      </c>
      <c r="C261" s="61">
        <v>126.0</v>
      </c>
      <c r="D261" s="62" t="s">
        <v>25</v>
      </c>
      <c r="E261" s="81">
        <v>0.504</v>
      </c>
      <c r="F261" s="81">
        <v>126.0</v>
      </c>
      <c r="G261" s="81">
        <v>0.0</v>
      </c>
      <c r="H261" s="81">
        <v>0.0</v>
      </c>
      <c r="I261" s="81">
        <v>0.0</v>
      </c>
      <c r="J261" s="81">
        <v>126.0</v>
      </c>
      <c r="K261" s="81">
        <v>126.0</v>
      </c>
      <c r="L261" s="81">
        <v>0.0</v>
      </c>
    </row>
    <row r="262" ht="15.75" customHeight="1">
      <c r="A262" s="53" t="s">
        <v>330</v>
      </c>
      <c r="B262" s="57" t="s">
        <v>63</v>
      </c>
      <c r="C262" s="61">
        <v>19.0</v>
      </c>
      <c r="D262" s="62" t="s">
        <v>25</v>
      </c>
      <c r="E262" s="81">
        <v>0.608</v>
      </c>
      <c r="F262" s="81">
        <v>17.48</v>
      </c>
      <c r="G262" s="81">
        <v>0.0</v>
      </c>
      <c r="H262" s="81">
        <v>0.0</v>
      </c>
      <c r="I262" s="81">
        <v>0.0</v>
      </c>
      <c r="J262" s="81">
        <v>14.06</v>
      </c>
      <c r="K262" s="81">
        <v>34.2</v>
      </c>
      <c r="L262" s="81">
        <v>0.0</v>
      </c>
    </row>
    <row r="263" ht="15.75" customHeight="1">
      <c r="A263" s="53" t="s">
        <v>330</v>
      </c>
      <c r="B263" s="57" t="s">
        <v>74</v>
      </c>
      <c r="C263" s="61">
        <v>19.0</v>
      </c>
      <c r="D263" s="62" t="s">
        <v>25</v>
      </c>
      <c r="E263" s="81">
        <v>0.722</v>
      </c>
      <c r="F263" s="81">
        <v>18.05</v>
      </c>
      <c r="G263" s="81">
        <v>0.0</v>
      </c>
      <c r="H263" s="81">
        <v>0.0</v>
      </c>
      <c r="I263" s="81">
        <v>0.0</v>
      </c>
      <c r="J263" s="81">
        <v>7.6000000000000005</v>
      </c>
      <c r="K263" s="81">
        <v>13.299999999999999</v>
      </c>
      <c r="L263" s="81">
        <v>0.0</v>
      </c>
    </row>
    <row r="264" ht="15.75" customHeight="1">
      <c r="A264" s="53" t="s">
        <v>330</v>
      </c>
      <c r="B264" s="57" t="s">
        <v>135</v>
      </c>
      <c r="C264" s="61">
        <v>38.0</v>
      </c>
      <c r="D264" s="62" t="s">
        <v>25</v>
      </c>
      <c r="E264" s="81">
        <v>2.052</v>
      </c>
      <c r="F264" s="81">
        <v>0.0</v>
      </c>
      <c r="G264" s="81">
        <v>0.0</v>
      </c>
      <c r="H264" s="81">
        <v>36.86</v>
      </c>
      <c r="I264" s="81">
        <v>0.0</v>
      </c>
      <c r="J264" s="81">
        <v>3.04</v>
      </c>
      <c r="K264" s="81">
        <v>19.0</v>
      </c>
      <c r="L264" s="81">
        <v>13.68</v>
      </c>
    </row>
    <row r="265" ht="15.75" customHeight="1">
      <c r="A265" s="53" t="s">
        <v>330</v>
      </c>
      <c r="B265" s="57" t="s">
        <v>139</v>
      </c>
      <c r="C265" s="61">
        <v>4.0</v>
      </c>
      <c r="D265" s="62" t="s">
        <v>25</v>
      </c>
      <c r="E265" s="81">
        <v>0.8</v>
      </c>
      <c r="F265" s="81">
        <v>0.0</v>
      </c>
      <c r="G265" s="81">
        <v>0.0</v>
      </c>
      <c r="H265" s="81">
        <v>0.0</v>
      </c>
      <c r="I265" s="81">
        <v>4.0</v>
      </c>
      <c r="J265" s="81">
        <v>0.0</v>
      </c>
      <c r="K265" s="81">
        <v>0.0</v>
      </c>
      <c r="L265" s="81">
        <v>0.0</v>
      </c>
    </row>
    <row r="266" ht="15.75" customHeight="1">
      <c r="A266" s="53" t="s">
        <v>332</v>
      </c>
      <c r="B266" s="57" t="s">
        <v>58</v>
      </c>
      <c r="C266" s="61">
        <v>147.0</v>
      </c>
      <c r="D266" s="62" t="s">
        <v>25</v>
      </c>
      <c r="E266" s="81">
        <v>0.6761999999999999</v>
      </c>
      <c r="F266" s="81">
        <v>0.0</v>
      </c>
      <c r="G266" s="81">
        <v>5.1450000000000005</v>
      </c>
      <c r="H266" s="81">
        <v>13.229999999999999</v>
      </c>
      <c r="I266" s="81">
        <v>0.0</v>
      </c>
      <c r="J266" s="81">
        <v>1.1465999999999998</v>
      </c>
      <c r="K266" s="81">
        <v>5.88</v>
      </c>
      <c r="L266" s="81">
        <v>5.1450000000000005</v>
      </c>
    </row>
    <row r="267" ht="15.75" customHeight="1">
      <c r="A267" s="53" t="s">
        <v>332</v>
      </c>
      <c r="B267" s="57" t="s">
        <v>195</v>
      </c>
      <c r="C267" s="61">
        <v>100.0</v>
      </c>
      <c r="D267" s="62" t="s">
        <v>25</v>
      </c>
      <c r="E267" s="81">
        <v>0.0</v>
      </c>
      <c r="F267" s="81">
        <v>8.4</v>
      </c>
      <c r="G267" s="81">
        <v>5.0</v>
      </c>
      <c r="H267" s="81">
        <v>0.0</v>
      </c>
      <c r="I267" s="81">
        <v>3.5000000000000004</v>
      </c>
      <c r="J267" s="81">
        <v>13.0</v>
      </c>
      <c r="K267" s="81">
        <v>8.4</v>
      </c>
      <c r="L267" s="81">
        <v>0.0</v>
      </c>
    </row>
    <row r="268" ht="15.75" customHeight="1">
      <c r="A268" s="53" t="s">
        <v>332</v>
      </c>
      <c r="B268" s="57" t="s">
        <v>134</v>
      </c>
      <c r="C268" s="61">
        <v>175.0</v>
      </c>
      <c r="D268" s="62" t="s">
        <v>25</v>
      </c>
      <c r="E268" s="81">
        <v>3.325</v>
      </c>
      <c r="F268" s="81">
        <v>0.0</v>
      </c>
      <c r="G268" s="81">
        <v>61.24999999999999</v>
      </c>
      <c r="H268" s="81">
        <v>10.5</v>
      </c>
      <c r="I268" s="81">
        <v>0.0</v>
      </c>
      <c r="J268" s="81">
        <v>0.9450000000000001</v>
      </c>
      <c r="K268" s="81">
        <v>5.25</v>
      </c>
      <c r="L268" s="81">
        <v>4.2</v>
      </c>
    </row>
    <row r="269" ht="15.75" customHeight="1">
      <c r="A269" s="53" t="s">
        <v>332</v>
      </c>
      <c r="B269" s="57" t="s">
        <v>14</v>
      </c>
      <c r="C269" s="61">
        <v>268.0</v>
      </c>
      <c r="D269" s="62" t="s">
        <v>25</v>
      </c>
      <c r="E269" s="81">
        <v>0.0</v>
      </c>
      <c r="F269" s="81">
        <v>0.0</v>
      </c>
      <c r="G269" s="81">
        <v>0.0</v>
      </c>
      <c r="H269" s="81">
        <v>0.0</v>
      </c>
      <c r="I269" s="81">
        <v>0.0</v>
      </c>
      <c r="J269" s="81">
        <v>0.0</v>
      </c>
      <c r="K269" s="81">
        <v>0.0</v>
      </c>
      <c r="L269" s="81">
        <v>0.0</v>
      </c>
    </row>
    <row r="270" ht="15.75" customHeight="1">
      <c r="A270" s="53" t="s">
        <v>332</v>
      </c>
      <c r="B270" s="57" t="s">
        <v>63</v>
      </c>
      <c r="C270" s="61">
        <v>40.0</v>
      </c>
      <c r="D270" s="62" t="s">
        <v>25</v>
      </c>
      <c r="E270" s="81">
        <v>1.28</v>
      </c>
      <c r="F270" s="81">
        <v>36.800000000000004</v>
      </c>
      <c r="G270" s="81">
        <v>0.0</v>
      </c>
      <c r="H270" s="81">
        <v>0.0</v>
      </c>
      <c r="I270" s="81">
        <v>0.0</v>
      </c>
      <c r="J270" s="81">
        <v>29.6</v>
      </c>
      <c r="K270" s="81">
        <v>72.0</v>
      </c>
      <c r="L270" s="81">
        <v>0.0</v>
      </c>
    </row>
    <row r="271" ht="15.75" customHeight="1">
      <c r="A271" s="53" t="s">
        <v>332</v>
      </c>
      <c r="B271" s="57" t="s">
        <v>74</v>
      </c>
      <c r="C271" s="61">
        <v>31.0</v>
      </c>
      <c r="D271" s="62" t="s">
        <v>25</v>
      </c>
      <c r="E271" s="81">
        <v>1.178</v>
      </c>
      <c r="F271" s="81">
        <v>29.45</v>
      </c>
      <c r="G271" s="81">
        <v>0.0</v>
      </c>
      <c r="H271" s="81">
        <v>0.0</v>
      </c>
      <c r="I271" s="81">
        <v>0.0</v>
      </c>
      <c r="J271" s="81">
        <v>12.4</v>
      </c>
      <c r="K271" s="81">
        <v>21.7</v>
      </c>
      <c r="L271" s="81">
        <v>0.0</v>
      </c>
    </row>
    <row r="272" ht="15.75" customHeight="1">
      <c r="A272" s="53" t="s">
        <v>332</v>
      </c>
      <c r="B272" s="57" t="s">
        <v>135</v>
      </c>
      <c r="C272" s="61">
        <v>10.0</v>
      </c>
      <c r="D272" s="62" t="s">
        <v>25</v>
      </c>
      <c r="E272" s="81">
        <v>0.54</v>
      </c>
      <c r="F272" s="81">
        <v>0.0</v>
      </c>
      <c r="G272" s="81">
        <v>0.0</v>
      </c>
      <c r="H272" s="81">
        <v>9.7</v>
      </c>
      <c r="I272" s="81">
        <v>0.0</v>
      </c>
      <c r="J272" s="81">
        <v>0.8</v>
      </c>
      <c r="K272" s="81">
        <v>5.0</v>
      </c>
      <c r="L272" s="81">
        <v>3.5999999999999996</v>
      </c>
    </row>
    <row r="273" ht="15.75" customHeight="1">
      <c r="A273" s="53" t="s">
        <v>332</v>
      </c>
      <c r="B273" s="57" t="s">
        <v>71</v>
      </c>
      <c r="C273" s="61">
        <v>232.0</v>
      </c>
      <c r="D273" s="62" t="s">
        <v>25</v>
      </c>
      <c r="E273" s="81">
        <v>4.698</v>
      </c>
      <c r="F273" s="81">
        <v>102.08</v>
      </c>
      <c r="G273" s="81">
        <v>18.56</v>
      </c>
      <c r="H273" s="81">
        <v>42.224</v>
      </c>
      <c r="I273" s="81">
        <v>4.175999999999999</v>
      </c>
      <c r="J273" s="81">
        <v>99.76</v>
      </c>
      <c r="K273" s="81">
        <v>127.60000000000001</v>
      </c>
      <c r="L273" s="81">
        <v>18.56</v>
      </c>
    </row>
    <row r="274" ht="15.75" customHeight="1">
      <c r="A274" s="53" t="s">
        <v>332</v>
      </c>
      <c r="B274" s="57" t="s">
        <v>139</v>
      </c>
      <c r="C274" s="61">
        <v>5.0</v>
      </c>
      <c r="D274" s="62" t="s">
        <v>25</v>
      </c>
      <c r="E274" s="81">
        <v>1.0</v>
      </c>
      <c r="F274" s="81">
        <v>0.0</v>
      </c>
      <c r="G274" s="81">
        <v>0.0</v>
      </c>
      <c r="H274" s="81">
        <v>0.0</v>
      </c>
      <c r="I274" s="81">
        <v>5.0</v>
      </c>
      <c r="J274" s="81">
        <v>0.0</v>
      </c>
      <c r="K274" s="81">
        <v>0.0</v>
      </c>
      <c r="L274" s="81">
        <v>0.0</v>
      </c>
    </row>
    <row r="275" ht="15.75" customHeight="1">
      <c r="A275" s="53" t="s">
        <v>332</v>
      </c>
      <c r="B275" s="57" t="s">
        <v>149</v>
      </c>
      <c r="C275" s="61">
        <v>100.0</v>
      </c>
      <c r="D275" s="62" t="s">
        <v>25</v>
      </c>
      <c r="E275" s="81">
        <v>0.0</v>
      </c>
      <c r="F275" s="81">
        <v>9.0</v>
      </c>
      <c r="G275" s="81">
        <v>35.0</v>
      </c>
      <c r="H275" s="81">
        <v>0.0</v>
      </c>
      <c r="I275" s="81">
        <v>5.0</v>
      </c>
      <c r="J275" s="81">
        <v>13.0</v>
      </c>
      <c r="K275" s="81">
        <v>16.0</v>
      </c>
      <c r="L275" s="81">
        <v>4.0</v>
      </c>
    </row>
    <row r="276" ht="15.75" customHeight="1">
      <c r="A276" s="53" t="s">
        <v>333</v>
      </c>
      <c r="B276" s="57" t="s">
        <v>58</v>
      </c>
      <c r="C276" s="61">
        <v>300.0</v>
      </c>
      <c r="D276" s="62" t="s">
        <v>25</v>
      </c>
      <c r="E276" s="81">
        <v>1.38</v>
      </c>
      <c r="F276" s="81">
        <v>0.0</v>
      </c>
      <c r="G276" s="81">
        <v>10.500000000000002</v>
      </c>
      <c r="H276" s="81">
        <v>27.0</v>
      </c>
      <c r="I276" s="81">
        <v>0.0</v>
      </c>
      <c r="J276" s="81">
        <v>2.34</v>
      </c>
      <c r="K276" s="81">
        <v>12.0</v>
      </c>
      <c r="L276" s="81">
        <v>10.500000000000002</v>
      </c>
    </row>
    <row r="277" ht="15.75" customHeight="1">
      <c r="A277" s="53" t="s">
        <v>333</v>
      </c>
      <c r="B277" s="57" t="s">
        <v>195</v>
      </c>
      <c r="C277" s="61">
        <v>153.0</v>
      </c>
      <c r="D277" s="62" t="s">
        <v>25</v>
      </c>
      <c r="E277" s="81">
        <v>0.0</v>
      </c>
      <c r="F277" s="81">
        <v>12.852</v>
      </c>
      <c r="G277" s="81">
        <v>7.65</v>
      </c>
      <c r="H277" s="81">
        <v>0.0</v>
      </c>
      <c r="I277" s="81">
        <v>5.355</v>
      </c>
      <c r="J277" s="81">
        <v>19.89</v>
      </c>
      <c r="K277" s="81">
        <v>12.852</v>
      </c>
      <c r="L277" s="81">
        <v>0.0</v>
      </c>
    </row>
    <row r="278" ht="15.75" customHeight="1">
      <c r="A278" s="53" t="s">
        <v>333</v>
      </c>
      <c r="B278" s="57" t="s">
        <v>14</v>
      </c>
      <c r="C278" s="61">
        <v>115.0</v>
      </c>
      <c r="D278" s="62" t="s">
        <v>25</v>
      </c>
      <c r="E278" s="81">
        <v>0.0</v>
      </c>
      <c r="F278" s="81">
        <v>0.0</v>
      </c>
      <c r="G278" s="81">
        <v>0.0</v>
      </c>
      <c r="H278" s="81">
        <v>0.0</v>
      </c>
      <c r="I278" s="81">
        <v>0.0</v>
      </c>
      <c r="J278" s="81">
        <v>0.0</v>
      </c>
      <c r="K278" s="81">
        <v>0.0</v>
      </c>
      <c r="L278" s="81">
        <v>0.0</v>
      </c>
    </row>
    <row r="279" ht="15.75" customHeight="1">
      <c r="A279" s="53" t="s">
        <v>333</v>
      </c>
      <c r="B279" s="57" t="s">
        <v>134</v>
      </c>
      <c r="C279" s="61">
        <v>66.0</v>
      </c>
      <c r="D279" s="62" t="s">
        <v>25</v>
      </c>
      <c r="E279" s="81">
        <v>1.254</v>
      </c>
      <c r="F279" s="81">
        <v>0.0</v>
      </c>
      <c r="G279" s="81">
        <v>23.099999999999998</v>
      </c>
      <c r="H279" s="81">
        <v>3.96</v>
      </c>
      <c r="I279" s="81">
        <v>0.0</v>
      </c>
      <c r="J279" s="81">
        <v>0.3564</v>
      </c>
      <c r="K279" s="81">
        <v>1.98</v>
      </c>
      <c r="L279" s="81">
        <v>1.584</v>
      </c>
    </row>
    <row r="280" ht="15.75" customHeight="1">
      <c r="A280" s="53" t="s">
        <v>333</v>
      </c>
      <c r="B280" s="57" t="s">
        <v>94</v>
      </c>
      <c r="C280" s="61">
        <v>134.0</v>
      </c>
      <c r="D280" s="62" t="s">
        <v>25</v>
      </c>
      <c r="E280" s="81">
        <v>0.536</v>
      </c>
      <c r="F280" s="81">
        <v>134.0</v>
      </c>
      <c r="G280" s="81">
        <v>0.0</v>
      </c>
      <c r="H280" s="81">
        <v>0.0</v>
      </c>
      <c r="I280" s="81">
        <v>0.0</v>
      </c>
      <c r="J280" s="81">
        <v>134.0</v>
      </c>
      <c r="K280" s="81">
        <v>134.0</v>
      </c>
      <c r="L280" s="81">
        <v>0.0</v>
      </c>
    </row>
    <row r="281" ht="15.75" customHeight="1">
      <c r="A281" s="53" t="s">
        <v>333</v>
      </c>
      <c r="B281" s="57" t="s">
        <v>63</v>
      </c>
      <c r="C281" s="61">
        <v>41.0</v>
      </c>
      <c r="D281" s="62" t="s">
        <v>25</v>
      </c>
      <c r="E281" s="81">
        <v>1.312</v>
      </c>
      <c r="F281" s="81">
        <v>37.72</v>
      </c>
      <c r="G281" s="81">
        <v>0.0</v>
      </c>
      <c r="H281" s="81">
        <v>0.0</v>
      </c>
      <c r="I281" s="81">
        <v>0.0</v>
      </c>
      <c r="J281" s="81">
        <v>30.34</v>
      </c>
      <c r="K281" s="81">
        <v>73.8</v>
      </c>
      <c r="L281" s="81">
        <v>0.0</v>
      </c>
    </row>
    <row r="282" ht="15.75" customHeight="1">
      <c r="A282" s="53" t="s">
        <v>333</v>
      </c>
      <c r="B282" s="57" t="s">
        <v>74</v>
      </c>
      <c r="C282" s="61">
        <v>16.0</v>
      </c>
      <c r="D282" s="62" t="s">
        <v>25</v>
      </c>
      <c r="E282" s="81">
        <v>0.608</v>
      </c>
      <c r="F282" s="81">
        <v>15.2</v>
      </c>
      <c r="G282" s="81">
        <v>0.0</v>
      </c>
      <c r="H282" s="81">
        <v>0.0</v>
      </c>
      <c r="I282" s="81">
        <v>0.0</v>
      </c>
      <c r="J282" s="81">
        <v>6.4</v>
      </c>
      <c r="K282" s="81">
        <v>11.2</v>
      </c>
      <c r="L282" s="81">
        <v>0.0</v>
      </c>
    </row>
    <row r="283" ht="15.75" customHeight="1">
      <c r="A283" s="53" t="s">
        <v>333</v>
      </c>
      <c r="B283" s="57" t="s">
        <v>135</v>
      </c>
      <c r="C283" s="61">
        <v>31.0</v>
      </c>
      <c r="D283" s="62" t="s">
        <v>25</v>
      </c>
      <c r="E283" s="81">
        <v>1.674</v>
      </c>
      <c r="F283" s="81">
        <v>0.0</v>
      </c>
      <c r="G283" s="81">
        <v>0.0</v>
      </c>
      <c r="H283" s="81">
        <v>30.07</v>
      </c>
      <c r="I283" s="81">
        <v>0.0</v>
      </c>
      <c r="J283" s="81">
        <v>2.48</v>
      </c>
      <c r="K283" s="81">
        <v>15.5</v>
      </c>
      <c r="L283" s="81">
        <v>11.16</v>
      </c>
    </row>
    <row r="284" ht="15.75" customHeight="1">
      <c r="A284" s="53" t="s">
        <v>333</v>
      </c>
      <c r="B284" s="57" t="s">
        <v>139</v>
      </c>
      <c r="C284" s="61">
        <v>4.0</v>
      </c>
      <c r="D284" s="62" t="s">
        <v>25</v>
      </c>
      <c r="E284" s="81">
        <v>0.8</v>
      </c>
      <c r="F284" s="81">
        <v>0.0</v>
      </c>
      <c r="G284" s="81">
        <v>0.0</v>
      </c>
      <c r="H284" s="81">
        <v>0.0</v>
      </c>
      <c r="I284" s="81">
        <v>4.0</v>
      </c>
      <c r="J284" s="81">
        <v>0.0</v>
      </c>
      <c r="K284" s="81">
        <v>0.0</v>
      </c>
      <c r="L284" s="81">
        <v>0.0</v>
      </c>
    </row>
    <row r="285" ht="15.75" customHeight="1">
      <c r="A285" s="53" t="s">
        <v>333</v>
      </c>
      <c r="B285" s="57" t="s">
        <v>158</v>
      </c>
      <c r="C285" s="61">
        <v>105.0</v>
      </c>
      <c r="D285" s="62" t="s">
        <v>25</v>
      </c>
      <c r="E285" s="81">
        <v>2.625</v>
      </c>
      <c r="F285" s="81">
        <v>0.0</v>
      </c>
      <c r="G285" s="81">
        <v>33.6</v>
      </c>
      <c r="H285" s="81">
        <v>0.0</v>
      </c>
      <c r="I285" s="81">
        <v>18.9</v>
      </c>
      <c r="J285" s="81">
        <v>0.0</v>
      </c>
      <c r="K285" s="81">
        <v>0.0</v>
      </c>
      <c r="L285" s="81">
        <v>16.8</v>
      </c>
    </row>
    <row r="286" ht="15.75" customHeight="1">
      <c r="A286" s="53" t="s">
        <v>363</v>
      </c>
      <c r="B286" s="57" t="s">
        <v>58</v>
      </c>
      <c r="C286" s="61">
        <v>362.0</v>
      </c>
      <c r="D286" s="62" t="s">
        <v>25</v>
      </c>
      <c r="E286" s="81">
        <v>1.6651999999999998</v>
      </c>
      <c r="F286" s="81">
        <v>0.0</v>
      </c>
      <c r="G286" s="81">
        <v>12.670000000000002</v>
      </c>
      <c r="H286" s="81">
        <v>32.58</v>
      </c>
      <c r="I286" s="81">
        <v>0.0</v>
      </c>
      <c r="J286" s="81">
        <v>2.8236</v>
      </c>
      <c r="K286" s="81">
        <v>14.48</v>
      </c>
      <c r="L286" s="81">
        <v>12.670000000000002</v>
      </c>
    </row>
    <row r="287" ht="15.75" customHeight="1">
      <c r="A287" s="53" t="s">
        <v>363</v>
      </c>
      <c r="B287" s="57" t="s">
        <v>134</v>
      </c>
      <c r="C287" s="61">
        <v>262.0</v>
      </c>
      <c r="D287" s="62" t="s">
        <v>25</v>
      </c>
      <c r="E287" s="81">
        <v>4.978</v>
      </c>
      <c r="F287" s="81">
        <v>0.0</v>
      </c>
      <c r="G287" s="81">
        <v>91.69999999999999</v>
      </c>
      <c r="H287" s="81">
        <v>15.719999999999999</v>
      </c>
      <c r="I287" s="81">
        <v>0.0</v>
      </c>
      <c r="J287" s="81">
        <v>1.4148</v>
      </c>
      <c r="K287" s="81">
        <v>7.859999999999999</v>
      </c>
      <c r="L287" s="81">
        <v>6.288</v>
      </c>
    </row>
    <row r="288" ht="15.75" customHeight="1">
      <c r="A288" s="53" t="s">
        <v>363</v>
      </c>
      <c r="B288" s="57" t="s">
        <v>94</v>
      </c>
      <c r="C288" s="61">
        <v>110.0</v>
      </c>
      <c r="D288" s="62" t="s">
        <v>25</v>
      </c>
      <c r="E288" s="81">
        <v>0.44</v>
      </c>
      <c r="F288" s="81">
        <v>110.0</v>
      </c>
      <c r="G288" s="81">
        <v>0.0</v>
      </c>
      <c r="H288" s="81">
        <v>0.0</v>
      </c>
      <c r="I288" s="81">
        <v>0.0</v>
      </c>
      <c r="J288" s="81">
        <v>110.0</v>
      </c>
      <c r="K288" s="81">
        <v>110.0</v>
      </c>
      <c r="L288" s="81">
        <v>0.0</v>
      </c>
    </row>
    <row r="289" ht="15.75" customHeight="1">
      <c r="A289" s="53" t="s">
        <v>363</v>
      </c>
      <c r="B289" s="57" t="s">
        <v>63</v>
      </c>
      <c r="C289" s="61">
        <v>50.0</v>
      </c>
      <c r="D289" s="62" t="s">
        <v>25</v>
      </c>
      <c r="E289" s="81">
        <v>1.6</v>
      </c>
      <c r="F289" s="81">
        <v>46.0</v>
      </c>
      <c r="G289" s="81">
        <v>0.0</v>
      </c>
      <c r="H289" s="81">
        <v>0.0</v>
      </c>
      <c r="I289" s="81">
        <v>0.0</v>
      </c>
      <c r="J289" s="81">
        <v>37.0</v>
      </c>
      <c r="K289" s="81">
        <v>90.0</v>
      </c>
      <c r="L289" s="81">
        <v>0.0</v>
      </c>
    </row>
    <row r="290" ht="15.75" customHeight="1">
      <c r="A290" s="53" t="s">
        <v>363</v>
      </c>
      <c r="B290" s="57" t="s">
        <v>74</v>
      </c>
      <c r="C290" s="61">
        <v>31.0</v>
      </c>
      <c r="D290" s="62" t="s">
        <v>25</v>
      </c>
      <c r="E290" s="81">
        <v>1.178</v>
      </c>
      <c r="F290" s="81">
        <v>29.45</v>
      </c>
      <c r="G290" s="81">
        <v>0.0</v>
      </c>
      <c r="H290" s="81">
        <v>0.0</v>
      </c>
      <c r="I290" s="81">
        <v>0.0</v>
      </c>
      <c r="J290" s="81">
        <v>12.4</v>
      </c>
      <c r="K290" s="81">
        <v>21.7</v>
      </c>
      <c r="L290" s="81">
        <v>0.0</v>
      </c>
    </row>
    <row r="291" ht="15.75" customHeight="1">
      <c r="A291" s="53" t="s">
        <v>363</v>
      </c>
      <c r="B291" s="57" t="s">
        <v>135</v>
      </c>
      <c r="C291" s="61">
        <v>33.0</v>
      </c>
      <c r="D291" s="62" t="s">
        <v>25</v>
      </c>
      <c r="E291" s="81">
        <v>1.782</v>
      </c>
      <c r="F291" s="81">
        <v>0.0</v>
      </c>
      <c r="G291" s="81">
        <v>0.0</v>
      </c>
      <c r="H291" s="81">
        <v>32.01</v>
      </c>
      <c r="I291" s="81">
        <v>0.0</v>
      </c>
      <c r="J291" s="81">
        <v>2.64</v>
      </c>
      <c r="K291" s="81">
        <v>16.5</v>
      </c>
      <c r="L291" s="81">
        <v>11.879999999999999</v>
      </c>
    </row>
    <row r="292" ht="15.75" customHeight="1">
      <c r="A292" s="53" t="s">
        <v>363</v>
      </c>
      <c r="B292" s="57" t="s">
        <v>139</v>
      </c>
      <c r="C292" s="61">
        <v>4.0</v>
      </c>
      <c r="D292" s="62" t="s">
        <v>25</v>
      </c>
      <c r="E292" s="81">
        <v>0.8</v>
      </c>
      <c r="F292" s="81">
        <v>0.0</v>
      </c>
      <c r="G292" s="81">
        <v>0.0</v>
      </c>
      <c r="H292" s="81">
        <v>0.0</v>
      </c>
      <c r="I292" s="81">
        <v>4.0</v>
      </c>
      <c r="J292" s="81">
        <v>0.0</v>
      </c>
      <c r="K292" s="81">
        <v>0.0</v>
      </c>
      <c r="L292" s="81">
        <v>0.0</v>
      </c>
    </row>
    <row r="293" ht="15.75" customHeight="1">
      <c r="A293" s="53" t="s">
        <v>363</v>
      </c>
      <c r="B293" s="57" t="s">
        <v>214</v>
      </c>
      <c r="C293" s="61">
        <v>75.0</v>
      </c>
      <c r="D293" s="62" t="s">
        <v>25</v>
      </c>
      <c r="E293" s="81">
        <v>0.0</v>
      </c>
      <c r="F293" s="81">
        <v>6.0</v>
      </c>
      <c r="G293" s="81">
        <v>0.0</v>
      </c>
      <c r="H293" s="81">
        <v>0.0</v>
      </c>
      <c r="I293" s="81">
        <v>4.5</v>
      </c>
      <c r="J293" s="81">
        <v>4.5</v>
      </c>
      <c r="K293" s="81">
        <v>5.625</v>
      </c>
      <c r="L293" s="81">
        <v>0.75</v>
      </c>
    </row>
    <row r="294" ht="15.75" customHeight="1">
      <c r="A294" s="53" t="s">
        <v>365</v>
      </c>
      <c r="B294" s="57" t="s">
        <v>58</v>
      </c>
      <c r="C294" s="61">
        <v>479.0</v>
      </c>
      <c r="D294" s="62" t="s">
        <v>25</v>
      </c>
      <c r="E294" s="81">
        <v>2.2034</v>
      </c>
      <c r="F294" s="81">
        <v>0.0</v>
      </c>
      <c r="G294" s="81">
        <v>16.765</v>
      </c>
      <c r="H294" s="81">
        <v>43.11</v>
      </c>
      <c r="I294" s="81">
        <v>0.0</v>
      </c>
      <c r="J294" s="81">
        <v>3.7361999999999997</v>
      </c>
      <c r="K294" s="81">
        <v>19.16</v>
      </c>
      <c r="L294" s="81">
        <v>16.765</v>
      </c>
    </row>
    <row r="295" ht="15.75" customHeight="1">
      <c r="A295" s="53" t="s">
        <v>365</v>
      </c>
      <c r="B295" s="57" t="s">
        <v>134</v>
      </c>
      <c r="C295" s="61">
        <v>90.0</v>
      </c>
      <c r="D295" s="62" t="s">
        <v>25</v>
      </c>
      <c r="E295" s="81">
        <v>1.71</v>
      </c>
      <c r="F295" s="81">
        <v>0.0</v>
      </c>
      <c r="G295" s="81">
        <v>31.499999999999996</v>
      </c>
      <c r="H295" s="81">
        <v>5.3999999999999995</v>
      </c>
      <c r="I295" s="81">
        <v>0.0</v>
      </c>
      <c r="J295" s="81">
        <v>0.48600000000000004</v>
      </c>
      <c r="K295" s="81">
        <v>2.6999999999999997</v>
      </c>
      <c r="L295" s="81">
        <v>2.16</v>
      </c>
    </row>
    <row r="296" ht="15.75" customHeight="1">
      <c r="A296" s="53" t="s">
        <v>365</v>
      </c>
      <c r="B296" s="57" t="s">
        <v>94</v>
      </c>
      <c r="C296" s="61">
        <v>146.0</v>
      </c>
      <c r="D296" s="62" t="s">
        <v>25</v>
      </c>
      <c r="E296" s="81">
        <v>0.584</v>
      </c>
      <c r="F296" s="81">
        <v>146.0</v>
      </c>
      <c r="G296" s="81">
        <v>0.0</v>
      </c>
      <c r="H296" s="81">
        <v>0.0</v>
      </c>
      <c r="I296" s="81">
        <v>0.0</v>
      </c>
      <c r="J296" s="81">
        <v>146.0</v>
      </c>
      <c r="K296" s="81">
        <v>146.0</v>
      </c>
      <c r="L296" s="81">
        <v>0.0</v>
      </c>
    </row>
    <row r="297" ht="15.75" customHeight="1">
      <c r="A297" s="53" t="s">
        <v>365</v>
      </c>
      <c r="B297" s="57" t="s">
        <v>63</v>
      </c>
      <c r="C297" s="61">
        <v>35.0</v>
      </c>
      <c r="D297" s="62" t="s">
        <v>25</v>
      </c>
      <c r="E297" s="81">
        <v>1.12</v>
      </c>
      <c r="F297" s="81">
        <v>32.2</v>
      </c>
      <c r="G297" s="81">
        <v>0.0</v>
      </c>
      <c r="H297" s="81">
        <v>0.0</v>
      </c>
      <c r="I297" s="81">
        <v>0.0</v>
      </c>
      <c r="J297" s="81">
        <v>25.9</v>
      </c>
      <c r="K297" s="81">
        <v>63.0</v>
      </c>
      <c r="L297" s="81">
        <v>0.0</v>
      </c>
    </row>
    <row r="298" ht="15.75" customHeight="1">
      <c r="A298" s="53" t="s">
        <v>365</v>
      </c>
      <c r="B298" s="57" t="s">
        <v>74</v>
      </c>
      <c r="C298" s="61">
        <v>19.0</v>
      </c>
      <c r="D298" s="62" t="s">
        <v>25</v>
      </c>
      <c r="E298" s="81">
        <v>0.722</v>
      </c>
      <c r="F298" s="81">
        <v>18.05</v>
      </c>
      <c r="G298" s="81">
        <v>0.0</v>
      </c>
      <c r="H298" s="81">
        <v>0.0</v>
      </c>
      <c r="I298" s="81">
        <v>0.0</v>
      </c>
      <c r="J298" s="81">
        <v>7.6000000000000005</v>
      </c>
      <c r="K298" s="81">
        <v>13.299999999999999</v>
      </c>
      <c r="L298" s="81">
        <v>0.0</v>
      </c>
    </row>
    <row r="299" ht="15.75" customHeight="1">
      <c r="A299" s="53" t="s">
        <v>365</v>
      </c>
      <c r="B299" s="57" t="s">
        <v>135</v>
      </c>
      <c r="C299" s="61">
        <v>20.0</v>
      </c>
      <c r="D299" s="62" t="s">
        <v>25</v>
      </c>
      <c r="E299" s="81">
        <v>1.08</v>
      </c>
      <c r="F299" s="81">
        <v>0.0</v>
      </c>
      <c r="G299" s="81">
        <v>0.0</v>
      </c>
      <c r="H299" s="81">
        <v>19.4</v>
      </c>
      <c r="I299" s="81">
        <v>0.0</v>
      </c>
      <c r="J299" s="81">
        <v>1.6</v>
      </c>
      <c r="K299" s="81">
        <v>10.0</v>
      </c>
      <c r="L299" s="81">
        <v>7.199999999999999</v>
      </c>
    </row>
    <row r="300" ht="15.75" customHeight="1">
      <c r="A300" s="53" t="s">
        <v>365</v>
      </c>
      <c r="B300" s="57" t="s">
        <v>139</v>
      </c>
      <c r="C300" s="61">
        <v>4.0</v>
      </c>
      <c r="D300" s="62" t="s">
        <v>25</v>
      </c>
      <c r="E300" s="81">
        <v>0.8</v>
      </c>
      <c r="F300" s="81">
        <v>0.0</v>
      </c>
      <c r="G300" s="81">
        <v>0.0</v>
      </c>
      <c r="H300" s="81">
        <v>0.0</v>
      </c>
      <c r="I300" s="81">
        <v>4.0</v>
      </c>
      <c r="J300" s="81">
        <v>0.0</v>
      </c>
      <c r="K300" s="81">
        <v>0.0</v>
      </c>
      <c r="L300" s="81">
        <v>0.0</v>
      </c>
    </row>
    <row r="301" ht="15.75" customHeight="1">
      <c r="A301" s="53" t="s">
        <v>365</v>
      </c>
      <c r="B301" s="57" t="s">
        <v>309</v>
      </c>
      <c r="C301" s="61">
        <v>150.0</v>
      </c>
      <c r="D301" s="62" t="s">
        <v>25</v>
      </c>
      <c r="E301" s="81">
        <v>14.25</v>
      </c>
      <c r="F301" s="81">
        <v>0.0</v>
      </c>
      <c r="G301" s="81">
        <v>42.00000000000001</v>
      </c>
      <c r="H301" s="81">
        <v>30.0</v>
      </c>
      <c r="I301" s="81">
        <v>0.0</v>
      </c>
      <c r="J301" s="81">
        <v>0.0</v>
      </c>
      <c r="K301" s="81">
        <v>0.0</v>
      </c>
      <c r="L301" s="81">
        <v>30.0</v>
      </c>
    </row>
    <row r="302" ht="15.75" customHeight="1">
      <c r="A302" s="53" t="s">
        <v>367</v>
      </c>
      <c r="B302" s="57" t="s">
        <v>58</v>
      </c>
      <c r="C302" s="61">
        <v>167.0</v>
      </c>
      <c r="D302" s="62" t="s">
        <v>25</v>
      </c>
      <c r="E302" s="81">
        <v>0.7681999999999999</v>
      </c>
      <c r="F302" s="81">
        <v>0.0</v>
      </c>
      <c r="G302" s="81">
        <v>5.845000000000001</v>
      </c>
      <c r="H302" s="81">
        <v>15.03</v>
      </c>
      <c r="I302" s="81">
        <v>0.0</v>
      </c>
      <c r="J302" s="81">
        <v>1.3026</v>
      </c>
      <c r="K302" s="81">
        <v>6.68</v>
      </c>
      <c r="L302" s="81">
        <v>5.845000000000001</v>
      </c>
    </row>
    <row r="303" ht="15.75" customHeight="1">
      <c r="A303" s="53" t="s">
        <v>367</v>
      </c>
      <c r="B303" s="57" t="s">
        <v>14</v>
      </c>
      <c r="C303" s="61">
        <v>290.0</v>
      </c>
      <c r="D303" s="62" t="s">
        <v>25</v>
      </c>
      <c r="E303" s="81">
        <v>0.0</v>
      </c>
      <c r="F303" s="81">
        <v>0.0</v>
      </c>
      <c r="G303" s="81">
        <v>0.0</v>
      </c>
      <c r="H303" s="81">
        <v>0.0</v>
      </c>
      <c r="I303" s="81">
        <v>0.0</v>
      </c>
      <c r="J303" s="81">
        <v>0.0</v>
      </c>
      <c r="K303" s="81">
        <v>0.0</v>
      </c>
      <c r="L303" s="81">
        <v>0.0</v>
      </c>
    </row>
    <row r="304" ht="15.75" customHeight="1">
      <c r="A304" s="53" t="s">
        <v>367</v>
      </c>
      <c r="B304" s="57" t="s">
        <v>134</v>
      </c>
      <c r="C304" s="61">
        <v>70.0</v>
      </c>
      <c r="D304" s="62" t="s">
        <v>25</v>
      </c>
      <c r="E304" s="81">
        <v>1.33</v>
      </c>
      <c r="F304" s="81">
        <v>0.0</v>
      </c>
      <c r="G304" s="81">
        <v>24.5</v>
      </c>
      <c r="H304" s="81">
        <v>4.2</v>
      </c>
      <c r="I304" s="81">
        <v>0.0</v>
      </c>
      <c r="J304" s="81">
        <v>0.378</v>
      </c>
      <c r="K304" s="81">
        <v>2.1</v>
      </c>
      <c r="L304" s="81">
        <v>1.68</v>
      </c>
    </row>
    <row r="305" ht="15.75" customHeight="1">
      <c r="A305" s="53" t="s">
        <v>367</v>
      </c>
      <c r="B305" s="57" t="s">
        <v>71</v>
      </c>
      <c r="C305" s="61">
        <v>200.0</v>
      </c>
      <c r="D305" s="62" t="s">
        <v>25</v>
      </c>
      <c r="E305" s="81">
        <v>4.05</v>
      </c>
      <c r="F305" s="81">
        <v>88.0</v>
      </c>
      <c r="G305" s="81">
        <v>16.0</v>
      </c>
      <c r="H305" s="81">
        <v>36.4</v>
      </c>
      <c r="I305" s="81">
        <v>3.5999999999999996</v>
      </c>
      <c r="J305" s="81">
        <v>86.0</v>
      </c>
      <c r="K305" s="81">
        <v>110.00000000000001</v>
      </c>
      <c r="L305" s="81">
        <v>16.0</v>
      </c>
    </row>
    <row r="306" ht="15.75" customHeight="1">
      <c r="A306" s="53" t="s">
        <v>367</v>
      </c>
      <c r="B306" s="57" t="s">
        <v>63</v>
      </c>
      <c r="C306" s="61">
        <v>10.0</v>
      </c>
      <c r="D306" s="62" t="s">
        <v>25</v>
      </c>
      <c r="E306" s="81">
        <v>0.32</v>
      </c>
      <c r="F306" s="81">
        <v>9.200000000000001</v>
      </c>
      <c r="G306" s="81">
        <v>0.0</v>
      </c>
      <c r="H306" s="81">
        <v>0.0</v>
      </c>
      <c r="I306" s="81">
        <v>0.0</v>
      </c>
      <c r="J306" s="81">
        <v>7.4</v>
      </c>
      <c r="K306" s="81">
        <v>18.0</v>
      </c>
      <c r="L306" s="81">
        <v>0.0</v>
      </c>
    </row>
    <row r="307" ht="15.75" customHeight="1">
      <c r="A307" s="53" t="s">
        <v>367</v>
      </c>
      <c r="B307" s="57" t="s">
        <v>74</v>
      </c>
      <c r="C307" s="61">
        <v>31.0</v>
      </c>
      <c r="D307" s="62" t="s">
        <v>25</v>
      </c>
      <c r="E307" s="81">
        <v>1.178</v>
      </c>
      <c r="F307" s="81">
        <v>29.45</v>
      </c>
      <c r="G307" s="81">
        <v>0.0</v>
      </c>
      <c r="H307" s="81">
        <v>0.0</v>
      </c>
      <c r="I307" s="81">
        <v>0.0</v>
      </c>
      <c r="J307" s="81">
        <v>12.4</v>
      </c>
      <c r="K307" s="81">
        <v>21.7</v>
      </c>
      <c r="L307" s="81">
        <v>0.0</v>
      </c>
    </row>
    <row r="308" ht="15.75" customHeight="1">
      <c r="A308" s="53" t="s">
        <v>367</v>
      </c>
      <c r="B308" s="57" t="s">
        <v>135</v>
      </c>
      <c r="C308" s="61">
        <v>30.0</v>
      </c>
      <c r="D308" s="62" t="s">
        <v>25</v>
      </c>
      <c r="E308" s="81">
        <v>1.62</v>
      </c>
      <c r="F308" s="81">
        <v>0.0</v>
      </c>
      <c r="G308" s="81">
        <v>0.0</v>
      </c>
      <c r="H308" s="81">
        <v>29.099999999999998</v>
      </c>
      <c r="I308" s="81">
        <v>0.0</v>
      </c>
      <c r="J308" s="81">
        <v>2.4</v>
      </c>
      <c r="K308" s="81">
        <v>15.0</v>
      </c>
      <c r="L308" s="81">
        <v>10.799999999999999</v>
      </c>
    </row>
    <row r="309" ht="15.75" customHeight="1">
      <c r="A309" s="53" t="s">
        <v>367</v>
      </c>
      <c r="B309" s="57" t="s">
        <v>139</v>
      </c>
      <c r="C309" s="61">
        <v>5.0</v>
      </c>
      <c r="D309" s="62" t="s">
        <v>25</v>
      </c>
      <c r="E309" s="81">
        <v>1.0</v>
      </c>
      <c r="F309" s="81">
        <v>0.0</v>
      </c>
      <c r="G309" s="81">
        <v>0.0</v>
      </c>
      <c r="H309" s="81">
        <v>0.0</v>
      </c>
      <c r="I309" s="81">
        <v>5.0</v>
      </c>
      <c r="J309" s="81">
        <v>0.0</v>
      </c>
      <c r="K309" s="81">
        <v>0.0</v>
      </c>
      <c r="L309" s="81">
        <v>0.0</v>
      </c>
    </row>
    <row r="310" ht="15.75" customHeight="1">
      <c r="A310" s="53" t="s">
        <v>367</v>
      </c>
      <c r="B310" s="57" t="s">
        <v>174</v>
      </c>
      <c r="C310" s="61">
        <v>150.0</v>
      </c>
      <c r="D310" s="62" t="s">
        <v>25</v>
      </c>
      <c r="E310" s="81">
        <v>14.25</v>
      </c>
      <c r="F310" s="81">
        <v>60.0</v>
      </c>
      <c r="G310" s="81">
        <v>52.5</v>
      </c>
      <c r="H310" s="81">
        <v>0.0</v>
      </c>
      <c r="I310" s="81">
        <v>37.5</v>
      </c>
      <c r="J310" s="81">
        <v>60.0</v>
      </c>
      <c r="K310" s="81">
        <v>60.0</v>
      </c>
      <c r="L310" s="81">
        <v>12.600000000000001</v>
      </c>
    </row>
    <row r="311" ht="15.75" customHeight="1">
      <c r="A311" s="53" t="s">
        <v>369</v>
      </c>
      <c r="B311" s="57" t="s">
        <v>58</v>
      </c>
      <c r="C311" s="61">
        <v>584.0</v>
      </c>
      <c r="D311" s="62" t="s">
        <v>25</v>
      </c>
      <c r="E311" s="81">
        <v>2.6863999999999995</v>
      </c>
      <c r="F311" s="81">
        <v>0.0</v>
      </c>
      <c r="G311" s="81">
        <v>20.44</v>
      </c>
      <c r="H311" s="81">
        <v>52.559999999999995</v>
      </c>
      <c r="I311" s="81">
        <v>0.0</v>
      </c>
      <c r="J311" s="81">
        <v>4.5552</v>
      </c>
      <c r="K311" s="81">
        <v>23.36</v>
      </c>
      <c r="L311" s="81">
        <v>20.44</v>
      </c>
    </row>
    <row r="312" ht="15.75" customHeight="1">
      <c r="A312" s="53" t="s">
        <v>369</v>
      </c>
      <c r="B312" s="57" t="s">
        <v>134</v>
      </c>
      <c r="C312" s="61">
        <v>220.0</v>
      </c>
      <c r="D312" s="62" t="s">
        <v>25</v>
      </c>
      <c r="E312" s="81">
        <v>4.18</v>
      </c>
      <c r="F312" s="81">
        <v>0.0</v>
      </c>
      <c r="G312" s="81">
        <v>77.0</v>
      </c>
      <c r="H312" s="81">
        <v>13.2</v>
      </c>
      <c r="I312" s="81">
        <v>0.0</v>
      </c>
      <c r="J312" s="81">
        <v>1.1880000000000002</v>
      </c>
      <c r="K312" s="81">
        <v>6.6</v>
      </c>
      <c r="L312" s="81">
        <v>5.28</v>
      </c>
    </row>
    <row r="313" ht="15.75" customHeight="1">
      <c r="A313" s="53" t="s">
        <v>369</v>
      </c>
      <c r="B313" s="57" t="s">
        <v>94</v>
      </c>
      <c r="C313" s="61">
        <v>116.0</v>
      </c>
      <c r="D313" s="62" t="s">
        <v>25</v>
      </c>
      <c r="E313" s="81">
        <v>0.464</v>
      </c>
      <c r="F313" s="81">
        <v>116.0</v>
      </c>
      <c r="G313" s="81">
        <v>0.0</v>
      </c>
      <c r="H313" s="81">
        <v>0.0</v>
      </c>
      <c r="I313" s="81">
        <v>0.0</v>
      </c>
      <c r="J313" s="81">
        <v>116.0</v>
      </c>
      <c r="K313" s="81">
        <v>116.0</v>
      </c>
      <c r="L313" s="81">
        <v>0.0</v>
      </c>
    </row>
    <row r="314" ht="15.75" customHeight="1">
      <c r="A314" s="53" t="s">
        <v>369</v>
      </c>
      <c r="B314" s="57" t="s">
        <v>63</v>
      </c>
      <c r="C314" s="61">
        <v>29.0</v>
      </c>
      <c r="D314" s="62" t="s">
        <v>25</v>
      </c>
      <c r="E314" s="81">
        <v>0.928</v>
      </c>
      <c r="F314" s="81">
        <v>26.68</v>
      </c>
      <c r="G314" s="81">
        <v>0.0</v>
      </c>
      <c r="H314" s="81">
        <v>0.0</v>
      </c>
      <c r="I314" s="81">
        <v>0.0</v>
      </c>
      <c r="J314" s="81">
        <v>21.46</v>
      </c>
      <c r="K314" s="81">
        <v>52.2</v>
      </c>
      <c r="L314" s="81">
        <v>0.0</v>
      </c>
    </row>
    <row r="315" ht="15.75" customHeight="1">
      <c r="A315" s="53" t="s">
        <v>369</v>
      </c>
      <c r="B315" s="57" t="s">
        <v>74</v>
      </c>
      <c r="C315" s="61">
        <v>19.0</v>
      </c>
      <c r="D315" s="62" t="s">
        <v>25</v>
      </c>
      <c r="E315" s="81">
        <v>0.722</v>
      </c>
      <c r="F315" s="81">
        <v>18.05</v>
      </c>
      <c r="G315" s="81">
        <v>0.0</v>
      </c>
      <c r="H315" s="81">
        <v>0.0</v>
      </c>
      <c r="I315" s="81">
        <v>0.0</v>
      </c>
      <c r="J315" s="81">
        <v>7.6000000000000005</v>
      </c>
      <c r="K315" s="81">
        <v>13.299999999999999</v>
      </c>
      <c r="L315" s="81">
        <v>0.0</v>
      </c>
    </row>
    <row r="316" ht="15.75" customHeight="1">
      <c r="A316" s="53" t="s">
        <v>369</v>
      </c>
      <c r="B316" s="57" t="s">
        <v>135</v>
      </c>
      <c r="C316" s="61">
        <v>38.0</v>
      </c>
      <c r="D316" s="62" t="s">
        <v>25</v>
      </c>
      <c r="E316" s="81">
        <v>2.052</v>
      </c>
      <c r="F316" s="81">
        <v>0.0</v>
      </c>
      <c r="G316" s="81">
        <v>0.0</v>
      </c>
      <c r="H316" s="81">
        <v>36.86</v>
      </c>
      <c r="I316" s="81">
        <v>0.0</v>
      </c>
      <c r="J316" s="81">
        <v>3.04</v>
      </c>
      <c r="K316" s="81">
        <v>19.0</v>
      </c>
      <c r="L316" s="81">
        <v>13.68</v>
      </c>
    </row>
    <row r="317" ht="15.75" customHeight="1">
      <c r="A317" s="53" t="s">
        <v>369</v>
      </c>
      <c r="B317" s="57" t="s">
        <v>139</v>
      </c>
      <c r="C317" s="61">
        <v>4.0</v>
      </c>
      <c r="D317" s="62" t="s">
        <v>25</v>
      </c>
      <c r="E317" s="81">
        <v>0.8</v>
      </c>
      <c r="F317" s="81">
        <v>0.0</v>
      </c>
      <c r="G317" s="81">
        <v>0.0</v>
      </c>
      <c r="H317" s="81">
        <v>0.0</v>
      </c>
      <c r="I317" s="81">
        <v>4.0</v>
      </c>
      <c r="J317" s="81">
        <v>0.0</v>
      </c>
      <c r="K317" s="81">
        <v>0.0</v>
      </c>
      <c r="L317" s="81">
        <v>0.0</v>
      </c>
    </row>
    <row r="318" ht="15.75" customHeight="1">
      <c r="A318" s="53" t="s">
        <v>370</v>
      </c>
      <c r="B318" s="57" t="s">
        <v>58</v>
      </c>
      <c r="C318" s="61">
        <v>500.0</v>
      </c>
      <c r="D318" s="62" t="s">
        <v>25</v>
      </c>
      <c r="E318" s="81">
        <v>2.3</v>
      </c>
      <c r="F318" s="81">
        <v>0.0</v>
      </c>
      <c r="G318" s="81">
        <v>17.5</v>
      </c>
      <c r="H318" s="81">
        <v>45.0</v>
      </c>
      <c r="I318" s="81">
        <v>0.0</v>
      </c>
      <c r="J318" s="81">
        <v>3.9</v>
      </c>
      <c r="K318" s="81">
        <v>20.0</v>
      </c>
      <c r="L318" s="81">
        <v>17.5</v>
      </c>
    </row>
    <row r="319" ht="15.75" customHeight="1">
      <c r="A319" s="53" t="s">
        <v>370</v>
      </c>
      <c r="B319" s="57" t="s">
        <v>14</v>
      </c>
      <c r="C319" s="61">
        <v>120.0</v>
      </c>
      <c r="D319" s="62" t="s">
        <v>25</v>
      </c>
      <c r="E319" s="81">
        <v>0.0</v>
      </c>
      <c r="F319" s="81">
        <v>0.0</v>
      </c>
      <c r="G319" s="81">
        <v>0.0</v>
      </c>
      <c r="H319" s="81">
        <v>0.0</v>
      </c>
      <c r="I319" s="81">
        <v>0.0</v>
      </c>
      <c r="J319" s="81">
        <v>0.0</v>
      </c>
      <c r="K319" s="81">
        <v>0.0</v>
      </c>
      <c r="L319" s="81">
        <v>0.0</v>
      </c>
    </row>
    <row r="320" ht="15.75" customHeight="1">
      <c r="A320" s="53" t="s">
        <v>370</v>
      </c>
      <c r="B320" s="57" t="s">
        <v>134</v>
      </c>
      <c r="C320" s="61">
        <v>100.0</v>
      </c>
      <c r="D320" s="62" t="s">
        <v>25</v>
      </c>
      <c r="E320" s="81">
        <v>1.9</v>
      </c>
      <c r="F320" s="81">
        <v>0.0</v>
      </c>
      <c r="G320" s="81">
        <v>35.0</v>
      </c>
      <c r="H320" s="81">
        <v>6.0</v>
      </c>
      <c r="I320" s="81">
        <v>0.0</v>
      </c>
      <c r="J320" s="81">
        <v>0.54</v>
      </c>
      <c r="K320" s="81">
        <v>3.0</v>
      </c>
      <c r="L320" s="81">
        <v>2.4</v>
      </c>
    </row>
    <row r="321" ht="15.75" customHeight="1">
      <c r="A321" s="53" t="s">
        <v>370</v>
      </c>
      <c r="B321" s="57" t="s">
        <v>94</v>
      </c>
      <c r="C321" s="61">
        <v>80.0</v>
      </c>
      <c r="D321" s="62" t="s">
        <v>25</v>
      </c>
      <c r="E321" s="81">
        <v>0.32</v>
      </c>
      <c r="F321" s="81">
        <v>80.0</v>
      </c>
      <c r="G321" s="81">
        <v>0.0</v>
      </c>
      <c r="H321" s="81">
        <v>0.0</v>
      </c>
      <c r="I321" s="81">
        <v>0.0</v>
      </c>
      <c r="J321" s="81">
        <v>80.0</v>
      </c>
      <c r="K321" s="81">
        <v>80.0</v>
      </c>
      <c r="L321" s="81">
        <v>0.0</v>
      </c>
    </row>
    <row r="322" ht="15.75" customHeight="1">
      <c r="A322" s="53" t="s">
        <v>370</v>
      </c>
      <c r="B322" s="57" t="s">
        <v>74</v>
      </c>
      <c r="C322" s="61">
        <v>30.0</v>
      </c>
      <c r="D322" s="62" t="s">
        <v>25</v>
      </c>
      <c r="E322" s="81">
        <v>1.14</v>
      </c>
      <c r="F322" s="81">
        <v>28.5</v>
      </c>
      <c r="G322" s="81">
        <v>0.0</v>
      </c>
      <c r="H322" s="81">
        <v>0.0</v>
      </c>
      <c r="I322" s="81">
        <v>0.0</v>
      </c>
      <c r="J322" s="81">
        <v>12.0</v>
      </c>
      <c r="K322" s="81">
        <v>21.0</v>
      </c>
      <c r="L322" s="81">
        <v>0.0</v>
      </c>
    </row>
    <row r="323" ht="15.75" customHeight="1">
      <c r="A323" s="53" t="s">
        <v>370</v>
      </c>
      <c r="B323" s="57" t="s">
        <v>135</v>
      </c>
      <c r="C323" s="61">
        <v>50.0</v>
      </c>
      <c r="D323" s="62" t="s">
        <v>25</v>
      </c>
      <c r="E323" s="81">
        <v>2.7</v>
      </c>
      <c r="F323" s="81">
        <v>0.0</v>
      </c>
      <c r="G323" s="81">
        <v>0.0</v>
      </c>
      <c r="H323" s="81">
        <v>48.5</v>
      </c>
      <c r="I323" s="81">
        <v>0.0</v>
      </c>
      <c r="J323" s="81">
        <v>4.0</v>
      </c>
      <c r="K323" s="81">
        <v>25.0</v>
      </c>
      <c r="L323" s="81">
        <v>18.0</v>
      </c>
    </row>
    <row r="324" ht="15.75" customHeight="1">
      <c r="A324" s="53" t="s">
        <v>370</v>
      </c>
      <c r="B324" s="57" t="s">
        <v>139</v>
      </c>
      <c r="C324" s="149">
        <v>5.0</v>
      </c>
      <c r="D324" s="62" t="s">
        <v>25</v>
      </c>
      <c r="E324" s="81">
        <v>1.0</v>
      </c>
      <c r="F324" s="81">
        <v>0.0</v>
      </c>
      <c r="G324" s="81">
        <v>0.0</v>
      </c>
      <c r="H324" s="81">
        <v>0.0</v>
      </c>
      <c r="I324" s="81">
        <v>5.0</v>
      </c>
      <c r="J324" s="81">
        <v>0.0</v>
      </c>
      <c r="K324" s="81">
        <v>0.0</v>
      </c>
      <c r="L324" s="81">
        <v>0.0</v>
      </c>
    </row>
    <row r="325" ht="15.75" customHeight="1">
      <c r="A325" s="53" t="s">
        <v>370</v>
      </c>
      <c r="B325" s="57" t="s">
        <v>174</v>
      </c>
      <c r="C325" s="61">
        <v>180.0</v>
      </c>
      <c r="D325" s="62" t="s">
        <v>25</v>
      </c>
      <c r="E325" s="81">
        <v>17.1</v>
      </c>
      <c r="F325" s="81">
        <v>72.0</v>
      </c>
      <c r="G325" s="81">
        <v>62.99999999999999</v>
      </c>
      <c r="H325" s="81">
        <v>0.0</v>
      </c>
      <c r="I325" s="81">
        <v>45.0</v>
      </c>
      <c r="J325" s="81">
        <v>72.0</v>
      </c>
      <c r="K325" s="81">
        <v>72.0</v>
      </c>
      <c r="L325" s="81">
        <v>15.120000000000001</v>
      </c>
    </row>
    <row r="326" ht="15.75" customHeight="1">
      <c r="A326" s="53" t="s">
        <v>371</v>
      </c>
      <c r="B326" s="57" t="s">
        <v>58</v>
      </c>
      <c r="C326" s="61">
        <v>350.0</v>
      </c>
      <c r="D326" s="62" t="s">
        <v>25</v>
      </c>
      <c r="E326" s="81">
        <v>1.6099999999999999</v>
      </c>
      <c r="F326" s="81">
        <v>0.0</v>
      </c>
      <c r="G326" s="81">
        <v>12.250000000000002</v>
      </c>
      <c r="H326" s="81">
        <v>31.5</v>
      </c>
      <c r="I326" s="81">
        <v>0.0</v>
      </c>
      <c r="J326" s="81">
        <v>2.73</v>
      </c>
      <c r="K326" s="81">
        <v>14.0</v>
      </c>
      <c r="L326" s="81">
        <v>12.250000000000002</v>
      </c>
    </row>
    <row r="327" ht="15.75" customHeight="1">
      <c r="A327" s="53" t="s">
        <v>371</v>
      </c>
      <c r="B327" s="57" t="s">
        <v>14</v>
      </c>
      <c r="C327" s="61">
        <v>206.0</v>
      </c>
      <c r="D327" s="62" t="s">
        <v>25</v>
      </c>
      <c r="E327" s="81">
        <v>0.0</v>
      </c>
      <c r="F327" s="81">
        <v>0.0</v>
      </c>
      <c r="G327" s="81">
        <v>0.0</v>
      </c>
      <c r="H327" s="81">
        <v>0.0</v>
      </c>
      <c r="I327" s="81">
        <v>0.0</v>
      </c>
      <c r="J327" s="81">
        <v>0.0</v>
      </c>
      <c r="K327" s="81">
        <v>0.0</v>
      </c>
      <c r="L327" s="81">
        <v>0.0</v>
      </c>
    </row>
    <row r="328" ht="15.75" customHeight="1">
      <c r="A328" s="53" t="s">
        <v>371</v>
      </c>
      <c r="B328" s="57" t="s">
        <v>134</v>
      </c>
      <c r="C328" s="61">
        <v>70.0</v>
      </c>
      <c r="D328" s="62" t="s">
        <v>25</v>
      </c>
      <c r="E328" s="81">
        <v>1.33</v>
      </c>
      <c r="F328" s="81">
        <v>0.0</v>
      </c>
      <c r="G328" s="81">
        <v>24.5</v>
      </c>
      <c r="H328" s="81">
        <v>4.2</v>
      </c>
      <c r="I328" s="81">
        <v>0.0</v>
      </c>
      <c r="J328" s="81">
        <v>0.378</v>
      </c>
      <c r="K328" s="81">
        <v>2.1</v>
      </c>
      <c r="L328" s="81">
        <v>1.68</v>
      </c>
    </row>
    <row r="329" ht="15.75" customHeight="1">
      <c r="A329" s="53" t="s">
        <v>371</v>
      </c>
      <c r="B329" s="57" t="s">
        <v>94</v>
      </c>
      <c r="C329" s="61">
        <v>61.0</v>
      </c>
      <c r="D329" s="62" t="s">
        <v>25</v>
      </c>
      <c r="E329" s="81">
        <v>0.244</v>
      </c>
      <c r="F329" s="81">
        <v>61.0</v>
      </c>
      <c r="G329" s="81">
        <v>0.0</v>
      </c>
      <c r="H329" s="81">
        <v>0.0</v>
      </c>
      <c r="I329" s="81">
        <v>0.0</v>
      </c>
      <c r="J329" s="81">
        <v>61.0</v>
      </c>
      <c r="K329" s="81">
        <v>61.0</v>
      </c>
      <c r="L329" s="81">
        <v>0.0</v>
      </c>
    </row>
    <row r="330" ht="15.75" customHeight="1">
      <c r="A330" s="53" t="s">
        <v>371</v>
      </c>
      <c r="B330" s="57" t="s">
        <v>63</v>
      </c>
      <c r="C330" s="61">
        <v>20.0</v>
      </c>
      <c r="D330" s="62" t="s">
        <v>25</v>
      </c>
      <c r="E330" s="81">
        <v>0.64</v>
      </c>
      <c r="F330" s="81">
        <v>18.400000000000002</v>
      </c>
      <c r="G330" s="81">
        <v>0.0</v>
      </c>
      <c r="H330" s="81">
        <v>0.0</v>
      </c>
      <c r="I330" s="81">
        <v>0.0</v>
      </c>
      <c r="J330" s="81">
        <v>14.8</v>
      </c>
      <c r="K330" s="81">
        <v>36.0</v>
      </c>
      <c r="L330" s="81">
        <v>0.0</v>
      </c>
    </row>
    <row r="331" ht="15.75" customHeight="1">
      <c r="A331" s="53" t="s">
        <v>371</v>
      </c>
      <c r="B331" s="57" t="s">
        <v>74</v>
      </c>
      <c r="C331" s="61">
        <v>20.0</v>
      </c>
      <c r="D331" s="62" t="s">
        <v>25</v>
      </c>
      <c r="E331" s="81">
        <v>0.76</v>
      </c>
      <c r="F331" s="81">
        <v>19.0</v>
      </c>
      <c r="G331" s="81">
        <v>0.0</v>
      </c>
      <c r="H331" s="81">
        <v>0.0</v>
      </c>
      <c r="I331" s="81">
        <v>0.0</v>
      </c>
      <c r="J331" s="81">
        <v>8.0</v>
      </c>
      <c r="K331" s="81">
        <v>14.0</v>
      </c>
      <c r="L331" s="81">
        <v>0.0</v>
      </c>
    </row>
    <row r="332" ht="15.75" customHeight="1">
      <c r="A332" s="53" t="s">
        <v>371</v>
      </c>
      <c r="B332" s="57" t="s">
        <v>135</v>
      </c>
      <c r="C332" s="61">
        <v>10.0</v>
      </c>
      <c r="D332" s="62" t="s">
        <v>25</v>
      </c>
      <c r="E332" s="81">
        <v>0.54</v>
      </c>
      <c r="F332" s="81">
        <v>0.0</v>
      </c>
      <c r="G332" s="81">
        <v>0.0</v>
      </c>
      <c r="H332" s="81">
        <v>9.7</v>
      </c>
      <c r="I332" s="81">
        <v>0.0</v>
      </c>
      <c r="J332" s="81">
        <v>0.8</v>
      </c>
      <c r="K332" s="81">
        <v>5.0</v>
      </c>
      <c r="L332" s="81">
        <v>3.5999999999999996</v>
      </c>
    </row>
    <row r="333" ht="15.75" customHeight="1">
      <c r="A333" s="53" t="s">
        <v>371</v>
      </c>
      <c r="B333" s="57" t="s">
        <v>139</v>
      </c>
      <c r="C333" s="61">
        <v>5.0</v>
      </c>
      <c r="D333" s="62" t="s">
        <v>25</v>
      </c>
      <c r="E333" s="81">
        <v>1.0</v>
      </c>
      <c r="F333" s="81">
        <v>0.0</v>
      </c>
      <c r="G333" s="81">
        <v>0.0</v>
      </c>
      <c r="H333" s="81">
        <v>0.0</v>
      </c>
      <c r="I333" s="81">
        <v>5.0</v>
      </c>
      <c r="J333" s="81">
        <v>0.0</v>
      </c>
      <c r="K333" s="81">
        <v>0.0</v>
      </c>
      <c r="L333" s="81">
        <v>0.0</v>
      </c>
    </row>
    <row r="334" ht="15.75" customHeight="1">
      <c r="A334" s="53" t="s">
        <v>371</v>
      </c>
      <c r="B334" s="57" t="s">
        <v>132</v>
      </c>
      <c r="C334" s="61">
        <v>150.0</v>
      </c>
      <c r="D334" s="62" t="s">
        <v>25</v>
      </c>
      <c r="E334" s="81">
        <v>27.75</v>
      </c>
      <c r="F334" s="81">
        <v>67.5</v>
      </c>
      <c r="G334" s="81">
        <v>54.0</v>
      </c>
      <c r="H334" s="81">
        <v>18.75</v>
      </c>
      <c r="I334" s="81">
        <v>9.75</v>
      </c>
      <c r="J334" s="81">
        <v>91.5</v>
      </c>
      <c r="K334" s="81">
        <v>76.5</v>
      </c>
      <c r="L334" s="81">
        <v>13.5</v>
      </c>
    </row>
    <row r="335" ht="15.75" customHeight="1">
      <c r="A335" s="53" t="s">
        <v>371</v>
      </c>
      <c r="B335" s="57" t="s">
        <v>174</v>
      </c>
      <c r="C335" s="61">
        <v>100.0</v>
      </c>
      <c r="D335" s="62" t="s">
        <v>25</v>
      </c>
      <c r="E335" s="81">
        <v>9.5</v>
      </c>
      <c r="F335" s="81">
        <v>40.0</v>
      </c>
      <c r="G335" s="81">
        <v>35.0</v>
      </c>
      <c r="H335" s="81">
        <v>0.0</v>
      </c>
      <c r="I335" s="81">
        <v>25.0</v>
      </c>
      <c r="J335" s="81">
        <v>40.0</v>
      </c>
      <c r="K335" s="81">
        <v>40.0</v>
      </c>
      <c r="L335" s="81">
        <v>8.4</v>
      </c>
    </row>
    <row r="336" ht="15.75" customHeight="1">
      <c r="A336" s="53" t="s">
        <v>372</v>
      </c>
      <c r="B336" s="57" t="s">
        <v>58</v>
      </c>
      <c r="C336" s="61">
        <v>500.0</v>
      </c>
      <c r="D336" s="62" t="s">
        <v>25</v>
      </c>
      <c r="E336" s="81">
        <v>2.3</v>
      </c>
      <c r="F336" s="81">
        <v>0.0</v>
      </c>
      <c r="G336" s="81">
        <v>17.5</v>
      </c>
      <c r="H336" s="81">
        <v>45.0</v>
      </c>
      <c r="I336" s="81">
        <v>0.0</v>
      </c>
      <c r="J336" s="81">
        <v>3.9</v>
      </c>
      <c r="K336" s="81">
        <v>20.0</v>
      </c>
      <c r="L336" s="81">
        <v>17.5</v>
      </c>
    </row>
    <row r="337" ht="15.75" customHeight="1">
      <c r="A337" s="53" t="s">
        <v>372</v>
      </c>
      <c r="B337" s="57" t="s">
        <v>134</v>
      </c>
      <c r="C337" s="61">
        <v>70.0</v>
      </c>
      <c r="D337" s="62" t="s">
        <v>25</v>
      </c>
      <c r="E337" s="81">
        <v>1.33</v>
      </c>
      <c r="F337" s="81">
        <v>0.0</v>
      </c>
      <c r="G337" s="81">
        <v>24.5</v>
      </c>
      <c r="H337" s="81">
        <v>4.2</v>
      </c>
      <c r="I337" s="81">
        <v>0.0</v>
      </c>
      <c r="J337" s="81">
        <v>0.378</v>
      </c>
      <c r="K337" s="81">
        <v>2.1</v>
      </c>
      <c r="L337" s="81">
        <v>1.68</v>
      </c>
    </row>
    <row r="338" ht="15.75" customHeight="1">
      <c r="A338" s="53" t="s">
        <v>372</v>
      </c>
      <c r="B338" s="57" t="s">
        <v>94</v>
      </c>
      <c r="C338" s="61">
        <v>100.0</v>
      </c>
      <c r="D338" s="62" t="s">
        <v>25</v>
      </c>
      <c r="E338" s="81">
        <v>0.4</v>
      </c>
      <c r="F338" s="81">
        <v>100.0</v>
      </c>
      <c r="G338" s="81">
        <v>0.0</v>
      </c>
      <c r="H338" s="81">
        <v>0.0</v>
      </c>
      <c r="I338" s="81">
        <v>0.0</v>
      </c>
      <c r="J338" s="81">
        <v>100.0</v>
      </c>
      <c r="K338" s="81">
        <v>100.0</v>
      </c>
      <c r="L338" s="81">
        <v>0.0</v>
      </c>
    </row>
    <row r="339" ht="15.75" customHeight="1">
      <c r="A339" s="53" t="s">
        <v>372</v>
      </c>
      <c r="B339" s="57" t="s">
        <v>63</v>
      </c>
      <c r="C339" s="61">
        <v>20.0</v>
      </c>
      <c r="D339" s="62" t="s">
        <v>25</v>
      </c>
      <c r="E339" s="81">
        <v>0.64</v>
      </c>
      <c r="F339" s="81">
        <v>18.400000000000002</v>
      </c>
      <c r="G339" s="81">
        <v>0.0</v>
      </c>
      <c r="H339" s="81">
        <v>0.0</v>
      </c>
      <c r="I339" s="81">
        <v>0.0</v>
      </c>
      <c r="J339" s="81">
        <v>14.8</v>
      </c>
      <c r="K339" s="81">
        <v>36.0</v>
      </c>
      <c r="L339" s="81">
        <v>0.0</v>
      </c>
    </row>
    <row r="340" ht="15.75" customHeight="1">
      <c r="A340" s="53" t="s">
        <v>372</v>
      </c>
      <c r="B340" s="57" t="s">
        <v>74</v>
      </c>
      <c r="C340" s="61">
        <v>30.0</v>
      </c>
      <c r="D340" s="62" t="s">
        <v>25</v>
      </c>
      <c r="E340" s="81">
        <v>1.14</v>
      </c>
      <c r="F340" s="81">
        <v>28.5</v>
      </c>
      <c r="G340" s="81">
        <v>0.0</v>
      </c>
      <c r="H340" s="81">
        <v>0.0</v>
      </c>
      <c r="I340" s="81">
        <v>0.0</v>
      </c>
      <c r="J340" s="81">
        <v>12.0</v>
      </c>
      <c r="K340" s="81">
        <v>21.0</v>
      </c>
      <c r="L340" s="81">
        <v>0.0</v>
      </c>
    </row>
    <row r="341" ht="15.75" customHeight="1">
      <c r="A341" s="53" t="s">
        <v>372</v>
      </c>
      <c r="B341" s="57" t="s">
        <v>135</v>
      </c>
      <c r="C341" s="61">
        <v>30.0</v>
      </c>
      <c r="D341" s="62" t="s">
        <v>25</v>
      </c>
      <c r="E341" s="81">
        <v>1.62</v>
      </c>
      <c r="F341" s="81">
        <v>0.0</v>
      </c>
      <c r="G341" s="81">
        <v>0.0</v>
      </c>
      <c r="H341" s="81">
        <v>29.099999999999998</v>
      </c>
      <c r="I341" s="81">
        <v>0.0</v>
      </c>
      <c r="J341" s="81">
        <v>2.4</v>
      </c>
      <c r="K341" s="81">
        <v>15.0</v>
      </c>
      <c r="L341" s="81">
        <v>10.799999999999999</v>
      </c>
    </row>
    <row r="342" ht="15.75" customHeight="1">
      <c r="A342" s="53" t="s">
        <v>372</v>
      </c>
      <c r="B342" s="57" t="s">
        <v>139</v>
      </c>
      <c r="C342" s="61">
        <v>5.0</v>
      </c>
      <c r="D342" s="62" t="s">
        <v>25</v>
      </c>
      <c r="E342" s="81">
        <v>1.0</v>
      </c>
      <c r="F342" s="81">
        <v>0.0</v>
      </c>
      <c r="G342" s="81">
        <v>0.0</v>
      </c>
      <c r="H342" s="81">
        <v>0.0</v>
      </c>
      <c r="I342" s="81">
        <v>5.0</v>
      </c>
      <c r="J342" s="81">
        <v>0.0</v>
      </c>
      <c r="K342" s="81">
        <v>0.0</v>
      </c>
      <c r="L342" s="81">
        <v>0.0</v>
      </c>
    </row>
    <row r="343" ht="15.75" customHeight="1">
      <c r="A343" s="53" t="s">
        <v>372</v>
      </c>
      <c r="B343" s="57" t="s">
        <v>155</v>
      </c>
      <c r="C343" s="61">
        <v>200.0</v>
      </c>
      <c r="D343" s="62" t="s">
        <v>25</v>
      </c>
      <c r="E343" s="81">
        <v>35.0</v>
      </c>
      <c r="F343" s="81">
        <v>60.0</v>
      </c>
      <c r="G343" s="81">
        <v>76.0</v>
      </c>
      <c r="H343" s="81">
        <v>0.0</v>
      </c>
      <c r="I343" s="81">
        <v>64.0</v>
      </c>
      <c r="J343" s="81">
        <v>115.99999999999999</v>
      </c>
      <c r="K343" s="81">
        <v>0.0</v>
      </c>
      <c r="L343" s="81">
        <v>10.0</v>
      </c>
    </row>
    <row r="344" ht="15.75" customHeight="1">
      <c r="A344" s="53" t="s">
        <v>378</v>
      </c>
      <c r="B344" s="57" t="s">
        <v>58</v>
      </c>
      <c r="C344" s="61">
        <v>453.0</v>
      </c>
      <c r="D344" s="62" t="s">
        <v>25</v>
      </c>
      <c r="E344" s="81">
        <v>2.0837999999999997</v>
      </c>
      <c r="F344" s="81">
        <v>0.0</v>
      </c>
      <c r="G344" s="81">
        <v>15.855000000000002</v>
      </c>
      <c r="H344" s="81">
        <v>40.769999999999996</v>
      </c>
      <c r="I344" s="81">
        <v>0.0</v>
      </c>
      <c r="J344" s="81">
        <v>3.5334</v>
      </c>
      <c r="K344" s="81">
        <v>18.12</v>
      </c>
      <c r="L344" s="81">
        <v>15.855000000000002</v>
      </c>
    </row>
    <row r="345" ht="15.75" customHeight="1">
      <c r="A345" s="53" t="s">
        <v>378</v>
      </c>
      <c r="B345" s="57" t="s">
        <v>14</v>
      </c>
      <c r="C345" s="61">
        <v>115.0</v>
      </c>
      <c r="D345" s="62" t="s">
        <v>25</v>
      </c>
      <c r="E345" s="81">
        <v>0.0</v>
      </c>
      <c r="F345" s="81">
        <v>0.0</v>
      </c>
      <c r="G345" s="81">
        <v>0.0</v>
      </c>
      <c r="H345" s="81">
        <v>0.0</v>
      </c>
      <c r="I345" s="81">
        <v>0.0</v>
      </c>
      <c r="J345" s="81">
        <v>0.0</v>
      </c>
      <c r="K345" s="81">
        <v>0.0</v>
      </c>
      <c r="L345" s="81">
        <v>0.0</v>
      </c>
    </row>
    <row r="346" ht="15.75" customHeight="1">
      <c r="A346" s="53" t="s">
        <v>378</v>
      </c>
      <c r="B346" s="57" t="s">
        <v>134</v>
      </c>
      <c r="C346" s="61">
        <v>66.0</v>
      </c>
      <c r="D346" s="62" t="s">
        <v>25</v>
      </c>
      <c r="E346" s="81">
        <v>1.254</v>
      </c>
      <c r="F346" s="81">
        <v>0.0</v>
      </c>
      <c r="G346" s="81">
        <v>23.099999999999998</v>
      </c>
      <c r="H346" s="81">
        <v>3.96</v>
      </c>
      <c r="I346" s="81">
        <v>0.0</v>
      </c>
      <c r="J346" s="81">
        <v>0.3564</v>
      </c>
      <c r="K346" s="81">
        <v>1.98</v>
      </c>
      <c r="L346" s="81">
        <v>1.584</v>
      </c>
    </row>
    <row r="347" ht="15.75" customHeight="1">
      <c r="A347" s="53" t="s">
        <v>378</v>
      </c>
      <c r="B347" s="57" t="s">
        <v>158</v>
      </c>
      <c r="C347" s="61">
        <v>105.0</v>
      </c>
      <c r="D347" s="62" t="s">
        <v>25</v>
      </c>
      <c r="E347" s="81">
        <v>2.625</v>
      </c>
      <c r="F347" s="81">
        <v>0.0</v>
      </c>
      <c r="G347" s="81">
        <v>33.6</v>
      </c>
      <c r="H347" s="81">
        <v>0.0</v>
      </c>
      <c r="I347" s="81">
        <v>18.9</v>
      </c>
      <c r="J347" s="81">
        <v>0.0</v>
      </c>
      <c r="K347" s="81">
        <v>0.0</v>
      </c>
      <c r="L347" s="81">
        <v>16.8</v>
      </c>
    </row>
    <row r="348" ht="15.75" customHeight="1">
      <c r="A348" s="53" t="s">
        <v>378</v>
      </c>
      <c r="B348" s="57" t="s">
        <v>94</v>
      </c>
      <c r="C348" s="61">
        <v>134.0</v>
      </c>
      <c r="D348" s="62" t="s">
        <v>25</v>
      </c>
      <c r="E348" s="81">
        <v>0.536</v>
      </c>
      <c r="F348" s="81">
        <v>134.0</v>
      </c>
      <c r="G348" s="81">
        <v>0.0</v>
      </c>
      <c r="H348" s="81">
        <v>0.0</v>
      </c>
      <c r="I348" s="81">
        <v>0.0</v>
      </c>
      <c r="J348" s="81">
        <v>134.0</v>
      </c>
      <c r="K348" s="81">
        <v>134.0</v>
      </c>
      <c r="L348" s="81">
        <v>0.0</v>
      </c>
    </row>
    <row r="349" ht="15.75" customHeight="1">
      <c r="A349" s="53" t="s">
        <v>378</v>
      </c>
      <c r="B349" s="57" t="s">
        <v>63</v>
      </c>
      <c r="C349" s="61">
        <v>41.0</v>
      </c>
      <c r="D349" s="62" t="s">
        <v>25</v>
      </c>
      <c r="E349" s="81">
        <v>1.312</v>
      </c>
      <c r="F349" s="81">
        <v>37.72</v>
      </c>
      <c r="G349" s="81">
        <v>0.0</v>
      </c>
      <c r="H349" s="81">
        <v>0.0</v>
      </c>
      <c r="I349" s="81">
        <v>0.0</v>
      </c>
      <c r="J349" s="81">
        <v>30.34</v>
      </c>
      <c r="K349" s="81">
        <v>73.8</v>
      </c>
      <c r="L349" s="81">
        <v>0.0</v>
      </c>
    </row>
    <row r="350" ht="15.75" customHeight="1">
      <c r="A350" s="53" t="s">
        <v>378</v>
      </c>
      <c r="B350" s="57" t="s">
        <v>74</v>
      </c>
      <c r="C350" s="61">
        <v>16.0</v>
      </c>
      <c r="D350" s="62" t="s">
        <v>25</v>
      </c>
      <c r="E350" s="81">
        <v>0.608</v>
      </c>
      <c r="F350" s="81">
        <v>15.2</v>
      </c>
      <c r="G350" s="81">
        <v>0.0</v>
      </c>
      <c r="H350" s="81">
        <v>0.0</v>
      </c>
      <c r="I350" s="81">
        <v>0.0</v>
      </c>
      <c r="J350" s="81">
        <v>6.4</v>
      </c>
      <c r="K350" s="81">
        <v>11.2</v>
      </c>
      <c r="L350" s="81">
        <v>0.0</v>
      </c>
    </row>
    <row r="351" ht="15.75" customHeight="1">
      <c r="A351" s="53" t="s">
        <v>378</v>
      </c>
      <c r="B351" s="57" t="s">
        <v>135</v>
      </c>
      <c r="C351" s="61">
        <v>31.0</v>
      </c>
      <c r="D351" s="62" t="s">
        <v>25</v>
      </c>
      <c r="E351" s="81">
        <v>1.674</v>
      </c>
      <c r="F351" s="81">
        <v>0.0</v>
      </c>
      <c r="G351" s="81">
        <v>0.0</v>
      </c>
      <c r="H351" s="81">
        <v>30.07</v>
      </c>
      <c r="I351" s="81">
        <v>0.0</v>
      </c>
      <c r="J351" s="81">
        <v>2.48</v>
      </c>
      <c r="K351" s="81">
        <v>15.5</v>
      </c>
      <c r="L351" s="81">
        <v>11.16</v>
      </c>
    </row>
    <row r="352" ht="15.75" customHeight="1">
      <c r="A352" s="53" t="s">
        <v>378</v>
      </c>
      <c r="B352" s="57" t="s">
        <v>139</v>
      </c>
      <c r="C352" s="61">
        <v>4.0</v>
      </c>
      <c r="D352" s="62" t="s">
        <v>25</v>
      </c>
      <c r="E352" s="81">
        <v>0.8</v>
      </c>
      <c r="F352" s="81">
        <v>0.0</v>
      </c>
      <c r="G352" s="81">
        <v>0.0</v>
      </c>
      <c r="H352" s="81">
        <v>0.0</v>
      </c>
      <c r="I352" s="81">
        <v>4.0</v>
      </c>
      <c r="J352" s="81">
        <v>0.0</v>
      </c>
      <c r="K352" s="81">
        <v>0.0</v>
      </c>
      <c r="L352" s="81">
        <v>0.0</v>
      </c>
    </row>
    <row r="353" ht="15.75" customHeight="1">
      <c r="A353" s="53" t="s">
        <v>386</v>
      </c>
      <c r="B353" s="57" t="s">
        <v>58</v>
      </c>
      <c r="C353" s="61">
        <v>679.0</v>
      </c>
      <c r="D353" s="62" t="s">
        <v>25</v>
      </c>
      <c r="E353" s="81">
        <v>3.1233999999999997</v>
      </c>
      <c r="F353" s="81">
        <v>0.0</v>
      </c>
      <c r="G353" s="81">
        <v>23.765</v>
      </c>
      <c r="H353" s="81">
        <v>61.11</v>
      </c>
      <c r="I353" s="81">
        <v>0.0</v>
      </c>
      <c r="J353" s="81">
        <v>5.2962</v>
      </c>
      <c r="K353" s="81">
        <v>27.16</v>
      </c>
      <c r="L353" s="81">
        <v>23.765</v>
      </c>
    </row>
    <row r="354" ht="15.75" customHeight="1">
      <c r="A354" s="53" t="s">
        <v>386</v>
      </c>
      <c r="B354" s="57" t="s">
        <v>134</v>
      </c>
      <c r="C354" s="61">
        <v>84.0</v>
      </c>
      <c r="D354" s="62" t="s">
        <v>25</v>
      </c>
      <c r="E354" s="81">
        <v>1.596</v>
      </c>
      <c r="F354" s="81">
        <v>0.0</v>
      </c>
      <c r="G354" s="81">
        <v>29.4</v>
      </c>
      <c r="H354" s="81">
        <v>5.04</v>
      </c>
      <c r="I354" s="81">
        <v>0.0</v>
      </c>
      <c r="J354" s="81">
        <v>0.4536</v>
      </c>
      <c r="K354" s="81">
        <v>2.52</v>
      </c>
      <c r="L354" s="81">
        <v>2.016</v>
      </c>
    </row>
    <row r="355" ht="15.75" customHeight="1">
      <c r="A355" s="53" t="s">
        <v>386</v>
      </c>
      <c r="B355" s="57" t="s">
        <v>94</v>
      </c>
      <c r="C355" s="61">
        <v>60.0</v>
      </c>
      <c r="D355" s="62" t="s">
        <v>25</v>
      </c>
      <c r="E355" s="81">
        <v>0.24</v>
      </c>
      <c r="F355" s="81">
        <v>60.0</v>
      </c>
      <c r="G355" s="81">
        <v>0.0</v>
      </c>
      <c r="H355" s="81">
        <v>0.0</v>
      </c>
      <c r="I355" s="81">
        <v>0.0</v>
      </c>
      <c r="J355" s="81">
        <v>60.0</v>
      </c>
      <c r="K355" s="81">
        <v>60.0</v>
      </c>
      <c r="L355" s="81">
        <v>0.0</v>
      </c>
    </row>
    <row r="356" ht="15.75" customHeight="1">
      <c r="A356" s="53" t="s">
        <v>386</v>
      </c>
      <c r="B356" s="57" t="s">
        <v>63</v>
      </c>
      <c r="C356" s="61">
        <v>29.0</v>
      </c>
      <c r="D356" s="62" t="s">
        <v>25</v>
      </c>
      <c r="E356" s="81">
        <v>0.928</v>
      </c>
      <c r="F356" s="81">
        <v>26.68</v>
      </c>
      <c r="G356" s="81">
        <v>0.0</v>
      </c>
      <c r="H356" s="81">
        <v>0.0</v>
      </c>
      <c r="I356" s="81">
        <v>0.0</v>
      </c>
      <c r="J356" s="81">
        <v>21.46</v>
      </c>
      <c r="K356" s="81">
        <v>52.2</v>
      </c>
      <c r="L356" s="81">
        <v>0.0</v>
      </c>
    </row>
    <row r="357" ht="15.75" customHeight="1">
      <c r="A357" s="53" t="s">
        <v>386</v>
      </c>
      <c r="B357" s="57" t="s">
        <v>74</v>
      </c>
      <c r="C357" s="61">
        <v>19.0</v>
      </c>
      <c r="D357" s="62" t="s">
        <v>25</v>
      </c>
      <c r="E357" s="81">
        <v>0.722</v>
      </c>
      <c r="F357" s="81">
        <v>18.05</v>
      </c>
      <c r="G357" s="81">
        <v>0.0</v>
      </c>
      <c r="H357" s="81">
        <v>0.0</v>
      </c>
      <c r="I357" s="81">
        <v>0.0</v>
      </c>
      <c r="J357" s="81">
        <v>7.6000000000000005</v>
      </c>
      <c r="K357" s="81">
        <v>13.299999999999999</v>
      </c>
      <c r="L357" s="81">
        <v>0.0</v>
      </c>
    </row>
    <row r="358" ht="15.75" customHeight="1">
      <c r="A358" s="53" t="s">
        <v>386</v>
      </c>
      <c r="B358" s="57" t="s">
        <v>135</v>
      </c>
      <c r="C358" s="61">
        <v>38.0</v>
      </c>
      <c r="D358" s="62" t="s">
        <v>25</v>
      </c>
      <c r="E358" s="81">
        <v>2.052</v>
      </c>
      <c r="F358" s="81">
        <v>0.0</v>
      </c>
      <c r="G358" s="81">
        <v>0.0</v>
      </c>
      <c r="H358" s="81">
        <v>36.86</v>
      </c>
      <c r="I358" s="81">
        <v>0.0</v>
      </c>
      <c r="J358" s="81">
        <v>3.04</v>
      </c>
      <c r="K358" s="81">
        <v>19.0</v>
      </c>
      <c r="L358" s="81">
        <v>13.68</v>
      </c>
    </row>
    <row r="359" ht="15.75" customHeight="1">
      <c r="A359" s="53" t="s">
        <v>386</v>
      </c>
      <c r="B359" s="57" t="s">
        <v>173</v>
      </c>
      <c r="C359" s="61">
        <v>200.0</v>
      </c>
      <c r="D359" s="62" t="s">
        <v>25</v>
      </c>
      <c r="E359" s="81">
        <v>9.6</v>
      </c>
      <c r="F359" s="81">
        <v>98.0</v>
      </c>
      <c r="G359" s="81">
        <v>12.0</v>
      </c>
      <c r="H359" s="81">
        <v>27.0</v>
      </c>
      <c r="I359" s="81">
        <v>0.0</v>
      </c>
      <c r="J359" s="81">
        <v>94.0</v>
      </c>
      <c r="K359" s="81">
        <v>129.8</v>
      </c>
      <c r="L359" s="81">
        <v>17.2</v>
      </c>
    </row>
    <row r="360" ht="15.75" customHeight="1">
      <c r="A360" s="53" t="s">
        <v>386</v>
      </c>
      <c r="B360" s="57" t="s">
        <v>139</v>
      </c>
      <c r="C360" s="61">
        <v>5.0</v>
      </c>
      <c r="D360" s="62" t="s">
        <v>25</v>
      </c>
      <c r="E360" s="81">
        <v>1.0</v>
      </c>
      <c r="F360" s="81">
        <v>0.0</v>
      </c>
      <c r="G360" s="81">
        <v>0.0</v>
      </c>
      <c r="H360" s="81">
        <v>0.0</v>
      </c>
      <c r="I360" s="81">
        <v>5.0</v>
      </c>
      <c r="J360" s="81">
        <v>0.0</v>
      </c>
      <c r="K360" s="81">
        <v>0.0</v>
      </c>
      <c r="L360" s="81">
        <v>0.0</v>
      </c>
    </row>
    <row r="361" ht="15.75" customHeight="1">
      <c r="A361" s="53" t="s">
        <v>389</v>
      </c>
      <c r="B361" s="57" t="s">
        <v>58</v>
      </c>
      <c r="C361" s="61">
        <v>400.0</v>
      </c>
      <c r="D361" s="62" t="s">
        <v>25</v>
      </c>
      <c r="E361" s="81">
        <v>1.8399999999999999</v>
      </c>
      <c r="F361" s="81">
        <v>0.0</v>
      </c>
      <c r="G361" s="81">
        <v>14.000000000000002</v>
      </c>
      <c r="H361" s="81">
        <v>36.0</v>
      </c>
      <c r="I361" s="81">
        <v>0.0</v>
      </c>
      <c r="J361" s="81">
        <v>3.1199999999999997</v>
      </c>
      <c r="K361" s="81">
        <v>16.0</v>
      </c>
      <c r="L361" s="81">
        <v>14.000000000000002</v>
      </c>
    </row>
    <row r="362" ht="15.75" customHeight="1">
      <c r="A362" s="53" t="s">
        <v>389</v>
      </c>
      <c r="B362" s="57" t="s">
        <v>14</v>
      </c>
      <c r="C362" s="61">
        <v>200.0</v>
      </c>
      <c r="D362" s="62" t="s">
        <v>25</v>
      </c>
      <c r="E362" s="81">
        <v>0.0</v>
      </c>
      <c r="F362" s="81">
        <v>0.0</v>
      </c>
      <c r="G362" s="81">
        <v>0.0</v>
      </c>
      <c r="H362" s="81">
        <v>0.0</v>
      </c>
      <c r="I362" s="81">
        <v>0.0</v>
      </c>
      <c r="J362" s="81">
        <v>0.0</v>
      </c>
      <c r="K362" s="81">
        <v>0.0</v>
      </c>
      <c r="L362" s="81">
        <v>0.0</v>
      </c>
    </row>
    <row r="363" ht="15.75" customHeight="1">
      <c r="A363" s="53" t="s">
        <v>389</v>
      </c>
      <c r="B363" s="57" t="s">
        <v>331</v>
      </c>
      <c r="C363" s="61">
        <v>60.0</v>
      </c>
      <c r="D363" s="62" t="s">
        <v>25</v>
      </c>
      <c r="E363" s="81">
        <v>10.08</v>
      </c>
      <c r="F363" s="81">
        <v>2.4</v>
      </c>
      <c r="G363" s="81">
        <v>39.0</v>
      </c>
      <c r="H363" s="81">
        <v>0.0</v>
      </c>
      <c r="I363" s="81">
        <v>18.6</v>
      </c>
      <c r="J363" s="81">
        <v>0.0</v>
      </c>
      <c r="K363" s="81">
        <v>0.0</v>
      </c>
      <c r="L363" s="81">
        <v>8.4</v>
      </c>
    </row>
    <row r="364" ht="15.75" customHeight="1">
      <c r="A364" s="53" t="s">
        <v>389</v>
      </c>
      <c r="B364" s="57" t="s">
        <v>94</v>
      </c>
      <c r="C364" s="61">
        <v>30.0</v>
      </c>
      <c r="D364" s="62" t="s">
        <v>25</v>
      </c>
      <c r="E364" s="81">
        <v>0.12</v>
      </c>
      <c r="F364" s="81">
        <v>30.0</v>
      </c>
      <c r="G364" s="81">
        <v>0.0</v>
      </c>
      <c r="H364" s="81">
        <v>0.0</v>
      </c>
      <c r="I364" s="81">
        <v>0.0</v>
      </c>
      <c r="J364" s="81">
        <v>30.0</v>
      </c>
      <c r="K364" s="81">
        <v>30.0</v>
      </c>
      <c r="L364" s="81">
        <v>0.0</v>
      </c>
    </row>
    <row r="365" ht="15.75" customHeight="1">
      <c r="A365" s="53" t="s">
        <v>389</v>
      </c>
      <c r="B365" s="57" t="s">
        <v>63</v>
      </c>
      <c r="C365" s="61">
        <v>50.0</v>
      </c>
      <c r="D365" s="62" t="s">
        <v>25</v>
      </c>
      <c r="E365" s="81">
        <v>1.6</v>
      </c>
      <c r="F365" s="81">
        <v>46.0</v>
      </c>
      <c r="G365" s="81">
        <v>0.0</v>
      </c>
      <c r="H365" s="81">
        <v>0.0</v>
      </c>
      <c r="I365" s="81">
        <v>0.0</v>
      </c>
      <c r="J365" s="81">
        <v>37.0</v>
      </c>
      <c r="K365" s="81">
        <v>90.0</v>
      </c>
      <c r="L365" s="81">
        <v>0.0</v>
      </c>
    </row>
    <row r="366" ht="15.75" customHeight="1">
      <c r="A366" s="53" t="s">
        <v>389</v>
      </c>
      <c r="B366" s="57" t="s">
        <v>74</v>
      </c>
      <c r="C366" s="61">
        <v>15.0</v>
      </c>
      <c r="D366" s="62" t="s">
        <v>25</v>
      </c>
      <c r="E366" s="81">
        <v>0.57</v>
      </c>
      <c r="F366" s="81">
        <v>14.25</v>
      </c>
      <c r="G366" s="81">
        <v>0.0</v>
      </c>
      <c r="H366" s="81">
        <v>0.0</v>
      </c>
      <c r="I366" s="81">
        <v>0.0</v>
      </c>
      <c r="J366" s="81">
        <v>6.0</v>
      </c>
      <c r="K366" s="81">
        <v>10.5</v>
      </c>
      <c r="L366" s="81">
        <v>0.0</v>
      </c>
    </row>
    <row r="367" ht="15.75" customHeight="1">
      <c r="A367" s="53" t="s">
        <v>389</v>
      </c>
      <c r="B367" s="57" t="s">
        <v>135</v>
      </c>
      <c r="C367" s="61">
        <v>40.0</v>
      </c>
      <c r="D367" s="62" t="s">
        <v>25</v>
      </c>
      <c r="E367" s="81">
        <v>2.16</v>
      </c>
      <c r="F367" s="81">
        <v>0.0</v>
      </c>
      <c r="G367" s="81">
        <v>0.0</v>
      </c>
      <c r="H367" s="81">
        <v>38.8</v>
      </c>
      <c r="I367" s="81">
        <v>0.0</v>
      </c>
      <c r="J367" s="81">
        <v>3.2</v>
      </c>
      <c r="K367" s="81">
        <v>20.0</v>
      </c>
      <c r="L367" s="81">
        <v>14.399999999999999</v>
      </c>
    </row>
    <row r="368" ht="15.75" customHeight="1">
      <c r="A368" s="53" t="s">
        <v>389</v>
      </c>
      <c r="B368" s="57" t="s">
        <v>139</v>
      </c>
      <c r="C368" s="61">
        <v>5.0</v>
      </c>
      <c r="D368" s="62" t="s">
        <v>25</v>
      </c>
      <c r="E368" s="81">
        <v>1.0</v>
      </c>
      <c r="F368" s="81">
        <v>0.0</v>
      </c>
      <c r="G368" s="81">
        <v>0.0</v>
      </c>
      <c r="H368" s="81">
        <v>0.0</v>
      </c>
      <c r="I368" s="81">
        <v>5.0</v>
      </c>
      <c r="J368" s="81">
        <v>0.0</v>
      </c>
      <c r="K368" s="81">
        <v>0.0</v>
      </c>
      <c r="L368" s="81">
        <v>0.0</v>
      </c>
    </row>
    <row r="369" ht="15.75" customHeight="1">
      <c r="A369" s="53" t="s">
        <v>389</v>
      </c>
      <c r="B369" s="57" t="s">
        <v>132</v>
      </c>
      <c r="C369" s="61">
        <v>120.0</v>
      </c>
      <c r="D369" s="62" t="s">
        <v>25</v>
      </c>
      <c r="E369" s="81">
        <v>22.2</v>
      </c>
      <c r="F369" s="81">
        <v>54.0</v>
      </c>
      <c r="G369" s="81">
        <v>43.199999999999996</v>
      </c>
      <c r="H369" s="81">
        <v>15.0</v>
      </c>
      <c r="I369" s="81">
        <v>7.800000000000001</v>
      </c>
      <c r="J369" s="81">
        <v>73.2</v>
      </c>
      <c r="K369" s="81">
        <v>61.2</v>
      </c>
      <c r="L369" s="81">
        <v>10.799999999999999</v>
      </c>
    </row>
    <row r="370" ht="15.75" customHeight="1">
      <c r="A370" s="53" t="s">
        <v>389</v>
      </c>
      <c r="B370" s="57" t="s">
        <v>174</v>
      </c>
      <c r="C370" s="61">
        <v>60.0</v>
      </c>
      <c r="D370" s="62" t="s">
        <v>25</v>
      </c>
      <c r="E370" s="81">
        <v>5.7</v>
      </c>
      <c r="F370" s="81">
        <v>24.0</v>
      </c>
      <c r="G370" s="81">
        <v>21.0</v>
      </c>
      <c r="H370" s="81">
        <v>0.0</v>
      </c>
      <c r="I370" s="81">
        <v>15.0</v>
      </c>
      <c r="J370" s="81">
        <v>24.0</v>
      </c>
      <c r="K370" s="81">
        <v>24.0</v>
      </c>
      <c r="L370" s="81">
        <v>5.04</v>
      </c>
    </row>
    <row r="371" ht="15.75" customHeight="1">
      <c r="A371" s="53" t="s">
        <v>400</v>
      </c>
      <c r="B371" s="57" t="s">
        <v>58</v>
      </c>
      <c r="C371" s="61">
        <v>554.0</v>
      </c>
      <c r="D371" s="62" t="s">
        <v>25</v>
      </c>
      <c r="E371" s="81">
        <v>2.5483999999999996</v>
      </c>
      <c r="F371" s="81">
        <v>0.0</v>
      </c>
      <c r="G371" s="81">
        <v>19.39</v>
      </c>
      <c r="H371" s="81">
        <v>49.86</v>
      </c>
      <c r="I371" s="81">
        <v>0.0</v>
      </c>
      <c r="J371" s="81">
        <v>4.3212</v>
      </c>
      <c r="K371" s="81">
        <v>22.16</v>
      </c>
      <c r="L371" s="81">
        <v>19.39</v>
      </c>
    </row>
    <row r="372" ht="15.75" customHeight="1">
      <c r="A372" s="53" t="s">
        <v>400</v>
      </c>
      <c r="B372" s="57" t="s">
        <v>134</v>
      </c>
      <c r="C372" s="61">
        <v>220.0</v>
      </c>
      <c r="D372" s="62" t="s">
        <v>25</v>
      </c>
      <c r="E372" s="81">
        <v>4.18</v>
      </c>
      <c r="F372" s="81">
        <v>0.0</v>
      </c>
      <c r="G372" s="81">
        <v>77.0</v>
      </c>
      <c r="H372" s="81">
        <v>13.2</v>
      </c>
      <c r="I372" s="81">
        <v>0.0</v>
      </c>
      <c r="J372" s="81">
        <v>1.1880000000000002</v>
      </c>
      <c r="K372" s="81">
        <v>6.6</v>
      </c>
      <c r="L372" s="81">
        <v>5.28</v>
      </c>
    </row>
    <row r="373" ht="15.75" customHeight="1">
      <c r="A373" s="53" t="s">
        <v>400</v>
      </c>
      <c r="B373" s="57" t="s">
        <v>94</v>
      </c>
      <c r="C373" s="61">
        <v>146.0</v>
      </c>
      <c r="D373" s="62" t="s">
        <v>25</v>
      </c>
      <c r="E373" s="81">
        <v>0.584</v>
      </c>
      <c r="F373" s="81">
        <v>146.0</v>
      </c>
      <c r="G373" s="81">
        <v>0.0</v>
      </c>
      <c r="H373" s="81">
        <v>0.0</v>
      </c>
      <c r="I373" s="81">
        <v>0.0</v>
      </c>
      <c r="J373" s="81">
        <v>146.0</v>
      </c>
      <c r="K373" s="81">
        <v>146.0</v>
      </c>
      <c r="L373" s="81">
        <v>0.0</v>
      </c>
    </row>
    <row r="374" ht="15.75" customHeight="1">
      <c r="A374" s="53" t="s">
        <v>400</v>
      </c>
      <c r="B374" s="57" t="s">
        <v>63</v>
      </c>
      <c r="C374" s="61">
        <v>19.0</v>
      </c>
      <c r="D374" s="62" t="s">
        <v>25</v>
      </c>
      <c r="E374" s="81">
        <v>0.608</v>
      </c>
      <c r="F374" s="81">
        <v>17.48</v>
      </c>
      <c r="G374" s="81">
        <v>0.0</v>
      </c>
      <c r="H374" s="81">
        <v>0.0</v>
      </c>
      <c r="I374" s="81">
        <v>0.0</v>
      </c>
      <c r="J374" s="81">
        <v>14.06</v>
      </c>
      <c r="K374" s="81">
        <v>34.2</v>
      </c>
      <c r="L374" s="81">
        <v>0.0</v>
      </c>
    </row>
    <row r="375" ht="15.75" customHeight="1">
      <c r="A375" s="53" t="s">
        <v>400</v>
      </c>
      <c r="B375" s="57" t="s">
        <v>74</v>
      </c>
      <c r="C375" s="61">
        <v>19.0</v>
      </c>
      <c r="D375" s="62" t="s">
        <v>25</v>
      </c>
      <c r="E375" s="81">
        <v>0.722</v>
      </c>
      <c r="F375" s="81">
        <v>18.05</v>
      </c>
      <c r="G375" s="81">
        <v>0.0</v>
      </c>
      <c r="H375" s="81">
        <v>0.0</v>
      </c>
      <c r="I375" s="81">
        <v>0.0</v>
      </c>
      <c r="J375" s="81">
        <v>7.6000000000000005</v>
      </c>
      <c r="K375" s="81">
        <v>13.299999999999999</v>
      </c>
      <c r="L375" s="81">
        <v>0.0</v>
      </c>
    </row>
    <row r="376" ht="15.75" customHeight="1">
      <c r="A376" s="53" t="s">
        <v>400</v>
      </c>
      <c r="B376" s="57" t="s">
        <v>135</v>
      </c>
      <c r="C376" s="61">
        <v>38.0</v>
      </c>
      <c r="D376" s="62" t="s">
        <v>25</v>
      </c>
      <c r="E376" s="81">
        <v>2.052</v>
      </c>
      <c r="F376" s="81">
        <v>0.0</v>
      </c>
      <c r="G376" s="81">
        <v>0.0</v>
      </c>
      <c r="H376" s="81">
        <v>36.86</v>
      </c>
      <c r="I376" s="81">
        <v>0.0</v>
      </c>
      <c r="J376" s="81">
        <v>3.04</v>
      </c>
      <c r="K376" s="81">
        <v>19.0</v>
      </c>
      <c r="L376" s="81">
        <v>13.68</v>
      </c>
    </row>
    <row r="377" ht="15.75" customHeight="1">
      <c r="A377" s="53" t="s">
        <v>400</v>
      </c>
      <c r="B377" s="57" t="s">
        <v>139</v>
      </c>
      <c r="C377" s="61">
        <v>4.0</v>
      </c>
      <c r="D377" s="62" t="s">
        <v>25</v>
      </c>
      <c r="E377" s="81">
        <v>0.8</v>
      </c>
      <c r="F377" s="81">
        <v>0.0</v>
      </c>
      <c r="G377" s="81">
        <v>0.0</v>
      </c>
      <c r="H377" s="81">
        <v>0.0</v>
      </c>
      <c r="I377" s="81">
        <v>4.0</v>
      </c>
      <c r="J377" s="81">
        <v>0.0</v>
      </c>
      <c r="K377" s="81">
        <v>0.0</v>
      </c>
      <c r="L377" s="81">
        <v>0.0</v>
      </c>
    </row>
    <row r="378" ht="15.75" customHeight="1">
      <c r="A378" s="53" t="s">
        <v>408</v>
      </c>
      <c r="B378" s="57" t="s">
        <v>58</v>
      </c>
      <c r="C378" s="61">
        <v>554.0</v>
      </c>
      <c r="D378" s="62" t="s">
        <v>25</v>
      </c>
      <c r="E378" s="81">
        <v>2.5483999999999996</v>
      </c>
      <c r="F378" s="81">
        <v>0.0</v>
      </c>
      <c r="G378" s="81">
        <v>19.39</v>
      </c>
      <c r="H378" s="81">
        <v>49.86</v>
      </c>
      <c r="I378" s="81">
        <v>0.0</v>
      </c>
      <c r="J378" s="81">
        <v>4.3212</v>
      </c>
      <c r="K378" s="81">
        <v>22.16</v>
      </c>
      <c r="L378" s="81">
        <v>19.39</v>
      </c>
    </row>
    <row r="379" ht="15.75" customHeight="1">
      <c r="A379" s="53" t="s">
        <v>408</v>
      </c>
      <c r="B379" s="57" t="s">
        <v>134</v>
      </c>
      <c r="C379" s="61">
        <v>220.0</v>
      </c>
      <c r="D379" s="62" t="s">
        <v>25</v>
      </c>
      <c r="E379" s="81">
        <v>4.18</v>
      </c>
      <c r="F379" s="81">
        <v>0.0</v>
      </c>
      <c r="G379" s="81">
        <v>77.0</v>
      </c>
      <c r="H379" s="81">
        <v>13.2</v>
      </c>
      <c r="I379" s="81">
        <v>0.0</v>
      </c>
      <c r="J379" s="81">
        <v>1.1880000000000002</v>
      </c>
      <c r="K379" s="81">
        <v>6.6</v>
      </c>
      <c r="L379" s="81">
        <v>5.28</v>
      </c>
    </row>
    <row r="380" ht="15.75" customHeight="1">
      <c r="A380" s="53" t="s">
        <v>408</v>
      </c>
      <c r="B380" s="57" t="s">
        <v>406</v>
      </c>
      <c r="C380" s="61">
        <v>148.0</v>
      </c>
      <c r="D380" s="62" t="s">
        <v>25</v>
      </c>
      <c r="E380" s="81">
        <v>0.0</v>
      </c>
      <c r="F380" s="81">
        <v>118.4</v>
      </c>
      <c r="G380" s="81">
        <v>0.0</v>
      </c>
      <c r="H380" s="81">
        <v>0.0</v>
      </c>
      <c r="I380" s="81">
        <v>0.0</v>
      </c>
      <c r="J380" s="81">
        <v>118.4</v>
      </c>
      <c r="K380" s="81">
        <v>118.4</v>
      </c>
      <c r="L380" s="81">
        <v>0.0</v>
      </c>
    </row>
    <row r="381" ht="15.75" customHeight="1">
      <c r="A381" s="53" t="s">
        <v>408</v>
      </c>
      <c r="B381" s="57" t="s">
        <v>74</v>
      </c>
      <c r="C381" s="61">
        <v>31.0</v>
      </c>
      <c r="D381" s="62" t="s">
        <v>25</v>
      </c>
      <c r="E381" s="81">
        <v>1.178</v>
      </c>
      <c r="F381" s="81">
        <v>29.45</v>
      </c>
      <c r="G381" s="81">
        <v>0.0</v>
      </c>
      <c r="H381" s="81">
        <v>0.0</v>
      </c>
      <c r="I381" s="81">
        <v>0.0</v>
      </c>
      <c r="J381" s="81">
        <v>12.4</v>
      </c>
      <c r="K381" s="81">
        <v>21.7</v>
      </c>
      <c r="L381" s="81">
        <v>0.0</v>
      </c>
    </row>
    <row r="382" ht="15.75" customHeight="1">
      <c r="A382" s="53" t="s">
        <v>408</v>
      </c>
      <c r="B382" s="57" t="s">
        <v>135</v>
      </c>
      <c r="C382" s="61">
        <v>30.0</v>
      </c>
      <c r="D382" s="62" t="s">
        <v>25</v>
      </c>
      <c r="E382" s="81">
        <v>1.62</v>
      </c>
      <c r="F382" s="81">
        <v>0.0</v>
      </c>
      <c r="G382" s="81">
        <v>0.0</v>
      </c>
      <c r="H382" s="81">
        <v>29.099999999999998</v>
      </c>
      <c r="I382" s="81">
        <v>0.0</v>
      </c>
      <c r="J382" s="81">
        <v>2.4</v>
      </c>
      <c r="K382" s="81">
        <v>15.0</v>
      </c>
      <c r="L382" s="81">
        <v>10.799999999999999</v>
      </c>
    </row>
    <row r="383" ht="15.75" customHeight="1">
      <c r="A383" s="53" t="s">
        <v>408</v>
      </c>
      <c r="B383" s="57" t="s">
        <v>139</v>
      </c>
      <c r="C383" s="61">
        <v>4.0</v>
      </c>
      <c r="D383" s="62" t="s">
        <v>25</v>
      </c>
      <c r="E383" s="81">
        <v>0.8</v>
      </c>
      <c r="F383" s="81">
        <v>0.0</v>
      </c>
      <c r="G383" s="81">
        <v>0.0</v>
      </c>
      <c r="H383" s="81">
        <v>0.0</v>
      </c>
      <c r="I383" s="81">
        <v>4.0</v>
      </c>
      <c r="J383" s="81">
        <v>0.0</v>
      </c>
      <c r="K383" s="81">
        <v>0.0</v>
      </c>
      <c r="L383" s="81">
        <v>0.0</v>
      </c>
    </row>
    <row r="384" ht="15.75" customHeight="1">
      <c r="A384" s="53" t="s">
        <v>410</v>
      </c>
      <c r="B384" s="57" t="s">
        <v>58</v>
      </c>
      <c r="C384" s="61">
        <v>554.0</v>
      </c>
      <c r="D384" s="62" t="s">
        <v>25</v>
      </c>
      <c r="E384" s="81">
        <v>2.5483999999999996</v>
      </c>
      <c r="F384" s="81">
        <v>0.0</v>
      </c>
      <c r="G384" s="81">
        <v>19.39</v>
      </c>
      <c r="H384" s="81">
        <v>49.86</v>
      </c>
      <c r="I384" s="81">
        <v>0.0</v>
      </c>
      <c r="J384" s="81">
        <v>4.3212</v>
      </c>
      <c r="K384" s="81">
        <v>22.16</v>
      </c>
      <c r="L384" s="81">
        <v>19.39</v>
      </c>
    </row>
    <row r="385" ht="15.75" customHeight="1">
      <c r="A385" s="53" t="s">
        <v>410</v>
      </c>
      <c r="B385" s="57" t="s">
        <v>134</v>
      </c>
      <c r="C385" s="61">
        <v>220.0</v>
      </c>
      <c r="D385" s="62" t="s">
        <v>25</v>
      </c>
      <c r="E385" s="81">
        <v>4.18</v>
      </c>
      <c r="F385" s="81">
        <v>0.0</v>
      </c>
      <c r="G385" s="81">
        <v>77.0</v>
      </c>
      <c r="H385" s="81">
        <v>13.2</v>
      </c>
      <c r="I385" s="81">
        <v>0.0</v>
      </c>
      <c r="J385" s="81">
        <v>1.1880000000000002</v>
      </c>
      <c r="K385" s="81">
        <v>6.6</v>
      </c>
      <c r="L385" s="81">
        <v>5.28</v>
      </c>
    </row>
    <row r="386" ht="15.75" customHeight="1">
      <c r="A386" s="53" t="s">
        <v>410</v>
      </c>
      <c r="B386" s="57" t="s">
        <v>331</v>
      </c>
      <c r="C386" s="61">
        <v>30.0</v>
      </c>
      <c r="D386" s="62" t="s">
        <v>25</v>
      </c>
      <c r="E386" s="81">
        <v>5.04</v>
      </c>
      <c r="F386" s="81">
        <v>1.2</v>
      </c>
      <c r="G386" s="81">
        <v>19.5</v>
      </c>
      <c r="H386" s="81">
        <v>0.0</v>
      </c>
      <c r="I386" s="81">
        <v>9.3</v>
      </c>
      <c r="J386" s="81">
        <v>0.0</v>
      </c>
      <c r="K386" s="81">
        <v>0.0</v>
      </c>
      <c r="L386" s="81">
        <v>4.2</v>
      </c>
    </row>
    <row r="387" ht="15.75" customHeight="1">
      <c r="A387" s="53" t="s">
        <v>410</v>
      </c>
      <c r="B387" s="57" t="s">
        <v>94</v>
      </c>
      <c r="C387" s="61">
        <v>100.0</v>
      </c>
      <c r="D387" s="62" t="s">
        <v>25</v>
      </c>
      <c r="E387" s="81">
        <v>0.4</v>
      </c>
      <c r="F387" s="81">
        <v>100.0</v>
      </c>
      <c r="G387" s="81">
        <v>0.0</v>
      </c>
      <c r="H387" s="81">
        <v>0.0</v>
      </c>
      <c r="I387" s="81">
        <v>0.0</v>
      </c>
      <c r="J387" s="81">
        <v>100.0</v>
      </c>
      <c r="K387" s="81">
        <v>100.0</v>
      </c>
      <c r="L387" s="81">
        <v>0.0</v>
      </c>
    </row>
    <row r="388" ht="15.75" customHeight="1">
      <c r="A388" s="53" t="s">
        <v>410</v>
      </c>
      <c r="B388" s="57" t="s">
        <v>63</v>
      </c>
      <c r="C388" s="61">
        <v>65.0</v>
      </c>
      <c r="D388" s="62" t="s">
        <v>25</v>
      </c>
      <c r="E388" s="81">
        <v>2.08</v>
      </c>
      <c r="F388" s="81">
        <v>59.800000000000004</v>
      </c>
      <c r="G388" s="81">
        <v>0.0</v>
      </c>
      <c r="H388" s="81">
        <v>0.0</v>
      </c>
      <c r="I388" s="81">
        <v>0.0</v>
      </c>
      <c r="J388" s="81">
        <v>48.1</v>
      </c>
      <c r="K388" s="81">
        <v>117.0</v>
      </c>
      <c r="L388" s="81">
        <v>0.0</v>
      </c>
    </row>
    <row r="389" ht="15.75" customHeight="1">
      <c r="A389" s="53" t="s">
        <v>410</v>
      </c>
      <c r="B389" s="57" t="s">
        <v>74</v>
      </c>
      <c r="C389" s="61">
        <v>19.0</v>
      </c>
      <c r="D389" s="62" t="s">
        <v>25</v>
      </c>
      <c r="E389" s="81">
        <v>0.722</v>
      </c>
      <c r="F389" s="81">
        <v>18.05</v>
      </c>
      <c r="G389" s="81">
        <v>0.0</v>
      </c>
      <c r="H389" s="81">
        <v>0.0</v>
      </c>
      <c r="I389" s="81">
        <v>0.0</v>
      </c>
      <c r="J389" s="81">
        <v>7.6000000000000005</v>
      </c>
      <c r="K389" s="81">
        <v>13.299999999999999</v>
      </c>
      <c r="L389" s="81">
        <v>0.0</v>
      </c>
    </row>
    <row r="390" ht="15.75" customHeight="1">
      <c r="A390" s="53" t="s">
        <v>410</v>
      </c>
      <c r="B390" s="57" t="s">
        <v>135</v>
      </c>
      <c r="C390" s="61">
        <v>38.0</v>
      </c>
      <c r="D390" s="62" t="s">
        <v>25</v>
      </c>
      <c r="E390" s="81">
        <v>2.052</v>
      </c>
      <c r="F390" s="81">
        <v>0.0</v>
      </c>
      <c r="G390" s="81">
        <v>0.0</v>
      </c>
      <c r="H390" s="81">
        <v>36.86</v>
      </c>
      <c r="I390" s="81">
        <v>0.0</v>
      </c>
      <c r="J390" s="81">
        <v>3.04</v>
      </c>
      <c r="K390" s="81">
        <v>19.0</v>
      </c>
      <c r="L390" s="81">
        <v>13.68</v>
      </c>
    </row>
    <row r="391" ht="15.75" customHeight="1">
      <c r="A391" s="53" t="s">
        <v>410</v>
      </c>
      <c r="B391" s="57" t="s">
        <v>139</v>
      </c>
      <c r="C391" s="61">
        <v>5.0</v>
      </c>
      <c r="D391" s="62" t="s">
        <v>25</v>
      </c>
      <c r="E391" s="81">
        <v>1.0</v>
      </c>
      <c r="F391" s="81">
        <v>0.0</v>
      </c>
      <c r="G391" s="81">
        <v>0.0</v>
      </c>
      <c r="H391" s="81">
        <v>0.0</v>
      </c>
      <c r="I391" s="81">
        <v>5.0</v>
      </c>
      <c r="J391" s="81">
        <v>0.0</v>
      </c>
      <c r="K391" s="81">
        <v>0.0</v>
      </c>
      <c r="L391" s="81">
        <v>0.0</v>
      </c>
    </row>
    <row r="392" ht="15.75" customHeight="1">
      <c r="A392" s="53" t="s">
        <v>410</v>
      </c>
      <c r="B392" s="57" t="s">
        <v>132</v>
      </c>
      <c r="C392" s="61">
        <v>50.0</v>
      </c>
      <c r="D392" s="62" t="s">
        <v>25</v>
      </c>
      <c r="E392" s="81">
        <v>9.25</v>
      </c>
      <c r="F392" s="81">
        <v>22.5</v>
      </c>
      <c r="G392" s="81">
        <v>18.0</v>
      </c>
      <c r="H392" s="81">
        <v>6.25</v>
      </c>
      <c r="I392" s="81">
        <v>3.25</v>
      </c>
      <c r="J392" s="81">
        <v>30.5</v>
      </c>
      <c r="K392" s="81">
        <v>25.5</v>
      </c>
      <c r="L392" s="81">
        <v>4.5</v>
      </c>
    </row>
    <row r="393" ht="15.75" customHeight="1">
      <c r="A393" s="53" t="s">
        <v>415</v>
      </c>
      <c r="B393" s="57" t="s">
        <v>58</v>
      </c>
      <c r="C393" s="61">
        <v>247.0</v>
      </c>
      <c r="D393" s="62" t="s">
        <v>25</v>
      </c>
      <c r="E393" s="81">
        <v>1.1361999999999999</v>
      </c>
      <c r="F393" s="81">
        <v>0.0</v>
      </c>
      <c r="G393" s="81">
        <v>8.645000000000001</v>
      </c>
      <c r="H393" s="81">
        <v>22.23</v>
      </c>
      <c r="I393" s="81">
        <v>0.0</v>
      </c>
      <c r="J393" s="81">
        <v>1.9265999999999999</v>
      </c>
      <c r="K393" s="81">
        <v>9.88</v>
      </c>
      <c r="L393" s="81">
        <v>8.645000000000001</v>
      </c>
    </row>
    <row r="394" ht="15.75" customHeight="1">
      <c r="A394" s="53" t="s">
        <v>415</v>
      </c>
      <c r="B394" s="57" t="s">
        <v>134</v>
      </c>
      <c r="C394" s="61">
        <v>175.0</v>
      </c>
      <c r="D394" s="62" t="s">
        <v>25</v>
      </c>
      <c r="E394" s="81">
        <v>3.325</v>
      </c>
      <c r="F394" s="81">
        <v>0.0</v>
      </c>
      <c r="G394" s="81">
        <v>61.24999999999999</v>
      </c>
      <c r="H394" s="81">
        <v>10.5</v>
      </c>
      <c r="I394" s="81">
        <v>0.0</v>
      </c>
      <c r="J394" s="81">
        <v>0.9450000000000001</v>
      </c>
      <c r="K394" s="81">
        <v>5.25</v>
      </c>
      <c r="L394" s="81">
        <v>4.2</v>
      </c>
    </row>
    <row r="395" ht="15.75" customHeight="1">
      <c r="A395" s="53" t="s">
        <v>415</v>
      </c>
      <c r="B395" s="57" t="s">
        <v>14</v>
      </c>
      <c r="C395" s="61">
        <v>268.0</v>
      </c>
      <c r="D395" s="62" t="s">
        <v>25</v>
      </c>
      <c r="E395" s="81">
        <v>0.0</v>
      </c>
      <c r="F395" s="81">
        <v>0.0</v>
      </c>
      <c r="G395" s="81">
        <v>0.0</v>
      </c>
      <c r="H395" s="81">
        <v>0.0</v>
      </c>
      <c r="I395" s="81">
        <v>0.0</v>
      </c>
      <c r="J395" s="81">
        <v>0.0</v>
      </c>
      <c r="K395" s="81">
        <v>0.0</v>
      </c>
      <c r="L395" s="81">
        <v>0.0</v>
      </c>
    </row>
    <row r="396" ht="15.75" customHeight="1">
      <c r="A396" s="53" t="s">
        <v>415</v>
      </c>
      <c r="B396" s="57" t="s">
        <v>71</v>
      </c>
      <c r="C396" s="61">
        <v>232.0</v>
      </c>
      <c r="D396" s="62" t="s">
        <v>25</v>
      </c>
      <c r="E396" s="81">
        <v>4.698</v>
      </c>
      <c r="F396" s="81">
        <v>102.08</v>
      </c>
      <c r="G396" s="81">
        <v>18.56</v>
      </c>
      <c r="H396" s="81">
        <v>42.224</v>
      </c>
      <c r="I396" s="81">
        <v>4.175999999999999</v>
      </c>
      <c r="J396" s="81">
        <v>99.76</v>
      </c>
      <c r="K396" s="81">
        <v>127.60000000000001</v>
      </c>
      <c r="L396" s="81">
        <v>18.56</v>
      </c>
    </row>
    <row r="397" ht="15.75" customHeight="1">
      <c r="A397" s="53" t="s">
        <v>415</v>
      </c>
      <c r="B397" s="57" t="s">
        <v>63</v>
      </c>
      <c r="C397" s="61">
        <v>32.0</v>
      </c>
      <c r="D397" s="62" t="s">
        <v>25</v>
      </c>
      <c r="E397" s="81">
        <v>1.024</v>
      </c>
      <c r="F397" s="81">
        <v>29.44</v>
      </c>
      <c r="G397" s="81">
        <v>0.0</v>
      </c>
      <c r="H397" s="81">
        <v>0.0</v>
      </c>
      <c r="I397" s="81">
        <v>0.0</v>
      </c>
      <c r="J397" s="81">
        <v>23.68</v>
      </c>
      <c r="K397" s="81">
        <v>57.6</v>
      </c>
      <c r="L397" s="81">
        <v>0.0</v>
      </c>
    </row>
    <row r="398" ht="15.75" customHeight="1">
      <c r="A398" s="53" t="s">
        <v>415</v>
      </c>
      <c r="B398" s="57" t="s">
        <v>74</v>
      </c>
      <c r="C398" s="61">
        <v>31.0</v>
      </c>
      <c r="D398" s="62" t="s">
        <v>25</v>
      </c>
      <c r="E398" s="81">
        <v>1.178</v>
      </c>
      <c r="F398" s="81">
        <v>29.45</v>
      </c>
      <c r="G398" s="81">
        <v>0.0</v>
      </c>
      <c r="H398" s="81">
        <v>0.0</v>
      </c>
      <c r="I398" s="81">
        <v>0.0</v>
      </c>
      <c r="J398" s="81">
        <v>12.4</v>
      </c>
      <c r="K398" s="81">
        <v>21.7</v>
      </c>
      <c r="L398" s="81">
        <v>0.0</v>
      </c>
    </row>
    <row r="399" ht="15.75" customHeight="1">
      <c r="A399" s="53" t="s">
        <v>415</v>
      </c>
      <c r="B399" s="57" t="s">
        <v>135</v>
      </c>
      <c r="C399" s="61">
        <v>10.0</v>
      </c>
      <c r="D399" s="62" t="s">
        <v>25</v>
      </c>
      <c r="E399" s="81">
        <v>0.54</v>
      </c>
      <c r="F399" s="81">
        <v>0.0</v>
      </c>
      <c r="G399" s="81">
        <v>0.0</v>
      </c>
      <c r="H399" s="81">
        <v>9.7</v>
      </c>
      <c r="I399" s="81">
        <v>0.0</v>
      </c>
      <c r="J399" s="81">
        <v>0.8</v>
      </c>
      <c r="K399" s="81">
        <v>5.0</v>
      </c>
      <c r="L399" s="81">
        <v>3.5999999999999996</v>
      </c>
    </row>
    <row r="400" ht="15.75" customHeight="1">
      <c r="A400" s="53" t="s">
        <v>415</v>
      </c>
      <c r="B400" s="57" t="s">
        <v>139</v>
      </c>
      <c r="C400" s="61">
        <v>5.0</v>
      </c>
      <c r="D400" s="62" t="s">
        <v>25</v>
      </c>
      <c r="E400" s="81">
        <v>1.0</v>
      </c>
      <c r="F400" s="81">
        <v>0.0</v>
      </c>
      <c r="G400" s="81">
        <v>0.0</v>
      </c>
      <c r="H400" s="81">
        <v>0.0</v>
      </c>
      <c r="I400" s="81">
        <v>5.0</v>
      </c>
      <c r="J400" s="81">
        <v>0.0</v>
      </c>
      <c r="K400" s="81">
        <v>0.0</v>
      </c>
      <c r="L400" s="81">
        <v>0.0</v>
      </c>
    </row>
    <row r="401" ht="15.75" customHeight="1">
      <c r="A401" s="53" t="s">
        <v>417</v>
      </c>
      <c r="B401" s="57" t="s">
        <v>14</v>
      </c>
      <c r="C401" s="61">
        <v>477.0</v>
      </c>
      <c r="D401" s="62" t="s">
        <v>25</v>
      </c>
      <c r="E401" s="81">
        <v>0.0</v>
      </c>
      <c r="F401" s="81">
        <v>0.0</v>
      </c>
      <c r="G401" s="81">
        <v>0.0</v>
      </c>
      <c r="H401" s="81">
        <v>0.0</v>
      </c>
      <c r="I401" s="81">
        <v>0.0</v>
      </c>
      <c r="J401" s="81">
        <v>0.0</v>
      </c>
      <c r="K401" s="81">
        <v>0.0</v>
      </c>
      <c r="L401" s="81">
        <v>0.0</v>
      </c>
    </row>
    <row r="402" ht="15.75" customHeight="1">
      <c r="A402" s="53" t="s">
        <v>417</v>
      </c>
      <c r="B402" s="57" t="s">
        <v>134</v>
      </c>
      <c r="C402" s="61">
        <v>220.0</v>
      </c>
      <c r="D402" s="62" t="s">
        <v>25</v>
      </c>
      <c r="E402" s="81">
        <v>4.18</v>
      </c>
      <c r="F402" s="81">
        <v>0.0</v>
      </c>
      <c r="G402" s="81">
        <v>77.0</v>
      </c>
      <c r="H402" s="81">
        <v>13.2</v>
      </c>
      <c r="I402" s="81">
        <v>0.0</v>
      </c>
      <c r="J402" s="81">
        <v>1.1880000000000002</v>
      </c>
      <c r="K402" s="81">
        <v>6.6</v>
      </c>
      <c r="L402" s="81">
        <v>5.28</v>
      </c>
    </row>
    <row r="403" ht="15.75" customHeight="1">
      <c r="A403" s="53" t="s">
        <v>417</v>
      </c>
      <c r="B403" s="57" t="s">
        <v>338</v>
      </c>
      <c r="C403" s="61">
        <v>76.0</v>
      </c>
      <c r="D403" s="62" t="s">
        <v>25</v>
      </c>
      <c r="E403" s="81">
        <v>3.192</v>
      </c>
      <c r="F403" s="81">
        <v>0.0</v>
      </c>
      <c r="G403" s="81">
        <v>19.76</v>
      </c>
      <c r="H403" s="81">
        <v>54.72</v>
      </c>
      <c r="I403" s="81">
        <v>0.0</v>
      </c>
      <c r="J403" s="81">
        <v>4.636</v>
      </c>
      <c r="K403" s="81">
        <v>29.64</v>
      </c>
      <c r="L403" s="81">
        <v>21.28</v>
      </c>
    </row>
    <row r="404" ht="15.75" customHeight="1">
      <c r="A404" s="53" t="s">
        <v>417</v>
      </c>
      <c r="B404" s="57" t="s">
        <v>94</v>
      </c>
      <c r="C404" s="61">
        <v>146.0</v>
      </c>
      <c r="D404" s="62" t="s">
        <v>25</v>
      </c>
      <c r="E404" s="81">
        <v>0.584</v>
      </c>
      <c r="F404" s="81">
        <v>146.0</v>
      </c>
      <c r="G404" s="81">
        <v>0.0</v>
      </c>
      <c r="H404" s="81">
        <v>0.0</v>
      </c>
      <c r="I404" s="81">
        <v>0.0</v>
      </c>
      <c r="J404" s="81">
        <v>146.0</v>
      </c>
      <c r="K404" s="81">
        <v>146.0</v>
      </c>
      <c r="L404" s="81">
        <v>0.0</v>
      </c>
    </row>
    <row r="405" ht="15.75" customHeight="1">
      <c r="A405" s="53" t="s">
        <v>417</v>
      </c>
      <c r="B405" s="57" t="s">
        <v>63</v>
      </c>
      <c r="C405" s="61">
        <v>19.0</v>
      </c>
      <c r="D405" s="62" t="s">
        <v>25</v>
      </c>
      <c r="E405" s="81">
        <v>0.608</v>
      </c>
      <c r="F405" s="81">
        <v>17.48</v>
      </c>
      <c r="G405" s="81">
        <v>0.0</v>
      </c>
      <c r="H405" s="81">
        <v>0.0</v>
      </c>
      <c r="I405" s="81">
        <v>0.0</v>
      </c>
      <c r="J405" s="81">
        <v>14.06</v>
      </c>
      <c r="K405" s="81">
        <v>34.2</v>
      </c>
      <c r="L405" s="81">
        <v>0.0</v>
      </c>
    </row>
    <row r="406" ht="15.75" customHeight="1">
      <c r="A406" s="53" t="s">
        <v>417</v>
      </c>
      <c r="B406" s="57" t="s">
        <v>74</v>
      </c>
      <c r="C406" s="61">
        <v>19.0</v>
      </c>
      <c r="D406" s="62" t="s">
        <v>25</v>
      </c>
      <c r="E406" s="81">
        <v>0.722</v>
      </c>
      <c r="F406" s="81">
        <v>18.05</v>
      </c>
      <c r="G406" s="81">
        <v>0.0</v>
      </c>
      <c r="H406" s="81">
        <v>0.0</v>
      </c>
      <c r="I406" s="81">
        <v>0.0</v>
      </c>
      <c r="J406" s="81">
        <v>7.6000000000000005</v>
      </c>
      <c r="K406" s="81">
        <v>13.299999999999999</v>
      </c>
      <c r="L406" s="81">
        <v>0.0</v>
      </c>
    </row>
    <row r="407" ht="15.75" customHeight="1">
      <c r="A407" s="53" t="s">
        <v>417</v>
      </c>
      <c r="B407" s="57" t="s">
        <v>135</v>
      </c>
      <c r="C407" s="61">
        <v>38.0</v>
      </c>
      <c r="D407" s="62" t="s">
        <v>25</v>
      </c>
      <c r="E407" s="81">
        <v>2.052</v>
      </c>
      <c r="F407" s="81">
        <v>0.0</v>
      </c>
      <c r="G407" s="81">
        <v>0.0</v>
      </c>
      <c r="H407" s="81">
        <v>36.86</v>
      </c>
      <c r="I407" s="81">
        <v>0.0</v>
      </c>
      <c r="J407" s="81">
        <v>3.04</v>
      </c>
      <c r="K407" s="81">
        <v>19.0</v>
      </c>
      <c r="L407" s="81">
        <v>13.68</v>
      </c>
    </row>
    <row r="408" ht="15.75" customHeight="1">
      <c r="A408" s="53" t="s">
        <v>417</v>
      </c>
      <c r="B408" s="57" t="s">
        <v>139</v>
      </c>
      <c r="C408" s="61">
        <v>4.0</v>
      </c>
      <c r="D408" s="62" t="s">
        <v>25</v>
      </c>
      <c r="E408" s="81">
        <v>0.8</v>
      </c>
      <c r="F408" s="81">
        <v>0.0</v>
      </c>
      <c r="G408" s="81">
        <v>0.0</v>
      </c>
      <c r="H408" s="81">
        <v>0.0</v>
      </c>
      <c r="I408" s="81">
        <v>4.0</v>
      </c>
      <c r="J408" s="81">
        <v>0.0</v>
      </c>
      <c r="K408" s="81">
        <v>0.0</v>
      </c>
      <c r="L408" s="81">
        <v>0.0</v>
      </c>
    </row>
    <row r="409" ht="15.75" customHeight="1">
      <c r="A409" s="53" t="s">
        <v>429</v>
      </c>
      <c r="B409" s="57" t="s">
        <v>58</v>
      </c>
      <c r="C409" s="61">
        <v>554.0</v>
      </c>
      <c r="D409" s="62" t="s">
        <v>25</v>
      </c>
      <c r="E409" s="81">
        <v>2.5483999999999996</v>
      </c>
      <c r="F409" s="81">
        <v>0.0</v>
      </c>
      <c r="G409" s="81">
        <v>19.39</v>
      </c>
      <c r="H409" s="81">
        <v>49.86</v>
      </c>
      <c r="I409" s="81">
        <v>0.0</v>
      </c>
      <c r="J409" s="81">
        <v>4.3212</v>
      </c>
      <c r="K409" s="81">
        <v>22.16</v>
      </c>
      <c r="L409" s="81">
        <v>19.39</v>
      </c>
    </row>
    <row r="410" ht="15.75" customHeight="1">
      <c r="A410" s="53" t="s">
        <v>429</v>
      </c>
      <c r="B410" s="57" t="s">
        <v>134</v>
      </c>
      <c r="C410" s="61">
        <v>220.0</v>
      </c>
      <c r="D410" s="62" t="s">
        <v>25</v>
      </c>
      <c r="E410" s="81">
        <v>4.18</v>
      </c>
      <c r="F410" s="81">
        <v>0.0</v>
      </c>
      <c r="G410" s="81">
        <v>77.0</v>
      </c>
      <c r="H410" s="81">
        <v>13.2</v>
      </c>
      <c r="I410" s="81">
        <v>0.0</v>
      </c>
      <c r="J410" s="81">
        <v>1.1880000000000002</v>
      </c>
      <c r="K410" s="81">
        <v>6.6</v>
      </c>
      <c r="L410" s="81">
        <v>5.28</v>
      </c>
    </row>
    <row r="411" ht="15.75" customHeight="1">
      <c r="A411" s="53" t="s">
        <v>429</v>
      </c>
      <c r="B411" s="57" t="s">
        <v>94</v>
      </c>
      <c r="C411" s="61">
        <v>146.0</v>
      </c>
      <c r="D411" s="62" t="s">
        <v>25</v>
      </c>
      <c r="E411" s="81">
        <v>0.584</v>
      </c>
      <c r="F411" s="81">
        <v>146.0</v>
      </c>
      <c r="G411" s="81">
        <v>0.0</v>
      </c>
      <c r="H411" s="81">
        <v>0.0</v>
      </c>
      <c r="I411" s="81">
        <v>0.0</v>
      </c>
      <c r="J411" s="81">
        <v>146.0</v>
      </c>
      <c r="K411" s="81">
        <v>146.0</v>
      </c>
      <c r="L411" s="81">
        <v>0.0</v>
      </c>
    </row>
    <row r="412" ht="15.75" customHeight="1">
      <c r="A412" s="53" t="s">
        <v>429</v>
      </c>
      <c r="B412" s="57" t="s">
        <v>63</v>
      </c>
      <c r="C412" s="61">
        <v>19.0</v>
      </c>
      <c r="D412" s="62" t="s">
        <v>25</v>
      </c>
      <c r="E412" s="81">
        <v>0.608</v>
      </c>
      <c r="F412" s="81">
        <v>17.48</v>
      </c>
      <c r="G412" s="81">
        <v>0.0</v>
      </c>
      <c r="H412" s="81">
        <v>0.0</v>
      </c>
      <c r="I412" s="81">
        <v>0.0</v>
      </c>
      <c r="J412" s="81">
        <v>14.06</v>
      </c>
      <c r="K412" s="81">
        <v>34.2</v>
      </c>
      <c r="L412" s="81">
        <v>0.0</v>
      </c>
    </row>
    <row r="413" ht="15.75" customHeight="1">
      <c r="A413" s="53" t="s">
        <v>429</v>
      </c>
      <c r="B413" s="57" t="s">
        <v>74</v>
      </c>
      <c r="C413" s="61">
        <v>19.0</v>
      </c>
      <c r="D413" s="62" t="s">
        <v>25</v>
      </c>
      <c r="E413" s="81">
        <v>0.722</v>
      </c>
      <c r="F413" s="81">
        <v>18.05</v>
      </c>
      <c r="G413" s="81">
        <v>0.0</v>
      </c>
      <c r="H413" s="81">
        <v>0.0</v>
      </c>
      <c r="I413" s="81">
        <v>0.0</v>
      </c>
      <c r="J413" s="81">
        <v>7.6000000000000005</v>
      </c>
      <c r="K413" s="81">
        <v>13.299999999999999</v>
      </c>
      <c r="L413" s="81">
        <v>0.0</v>
      </c>
    </row>
    <row r="414" ht="15.75" customHeight="1">
      <c r="A414" s="53" t="s">
        <v>429</v>
      </c>
      <c r="B414" s="57" t="s">
        <v>135</v>
      </c>
      <c r="C414" s="61">
        <v>38.0</v>
      </c>
      <c r="D414" s="62" t="s">
        <v>25</v>
      </c>
      <c r="E414" s="81">
        <v>2.052</v>
      </c>
      <c r="F414" s="81">
        <v>0.0</v>
      </c>
      <c r="G414" s="81">
        <v>0.0</v>
      </c>
      <c r="H414" s="81">
        <v>36.86</v>
      </c>
      <c r="I414" s="81">
        <v>0.0</v>
      </c>
      <c r="J414" s="81">
        <v>3.04</v>
      </c>
      <c r="K414" s="81">
        <v>19.0</v>
      </c>
      <c r="L414" s="81">
        <v>13.68</v>
      </c>
    </row>
    <row r="415" ht="15.75" customHeight="1">
      <c r="A415" s="53" t="s">
        <v>429</v>
      </c>
      <c r="B415" s="57" t="s">
        <v>432</v>
      </c>
      <c r="C415" s="61">
        <v>10.0</v>
      </c>
      <c r="D415" s="62" t="s">
        <v>25</v>
      </c>
      <c r="E415" s="81">
        <v>1.8</v>
      </c>
      <c r="F415" s="81">
        <v>0.0</v>
      </c>
      <c r="G415" s="81">
        <v>0.0</v>
      </c>
      <c r="H415" s="81">
        <v>0.0</v>
      </c>
      <c r="I415" s="81">
        <v>10.0</v>
      </c>
      <c r="J415" s="81">
        <v>0.0</v>
      </c>
      <c r="K415" s="81">
        <v>0.0</v>
      </c>
      <c r="L415" s="81">
        <v>2.0</v>
      </c>
    </row>
    <row r="416" ht="15.75" customHeight="1">
      <c r="A416" s="53" t="s">
        <v>429</v>
      </c>
      <c r="B416" s="57" t="s">
        <v>139</v>
      </c>
      <c r="C416" s="61">
        <v>4.0</v>
      </c>
      <c r="D416" s="62" t="s">
        <v>25</v>
      </c>
      <c r="E416" s="81">
        <v>0.8</v>
      </c>
      <c r="F416" s="81">
        <v>0.0</v>
      </c>
      <c r="G416" s="81">
        <v>0.0</v>
      </c>
      <c r="H416" s="81">
        <v>0.0</v>
      </c>
      <c r="I416" s="81">
        <v>4.0</v>
      </c>
      <c r="J416" s="81">
        <v>0.0</v>
      </c>
      <c r="K416" s="81">
        <v>0.0</v>
      </c>
      <c r="L416" s="81">
        <v>0.0</v>
      </c>
    </row>
    <row r="417" ht="15.75" customHeight="1">
      <c r="A417" s="53" t="s">
        <v>435</v>
      </c>
      <c r="B417" s="57" t="s">
        <v>58</v>
      </c>
      <c r="C417" s="61">
        <v>554.0</v>
      </c>
      <c r="D417" s="62" t="s">
        <v>25</v>
      </c>
      <c r="E417" s="81">
        <v>2.5483999999999996</v>
      </c>
      <c r="F417" s="81">
        <v>0.0</v>
      </c>
      <c r="G417" s="81">
        <v>19.39</v>
      </c>
      <c r="H417" s="81">
        <v>49.86</v>
      </c>
      <c r="I417" s="81">
        <v>0.0</v>
      </c>
      <c r="J417" s="81">
        <v>4.3212</v>
      </c>
      <c r="K417" s="81">
        <v>22.16</v>
      </c>
      <c r="L417" s="81">
        <v>19.39</v>
      </c>
    </row>
    <row r="418" ht="15.75" customHeight="1">
      <c r="A418" s="53" t="s">
        <v>435</v>
      </c>
      <c r="B418" s="57" t="s">
        <v>134</v>
      </c>
      <c r="C418" s="61">
        <v>220.0</v>
      </c>
      <c r="D418" s="62" t="s">
        <v>25</v>
      </c>
      <c r="E418" s="81">
        <v>4.18</v>
      </c>
      <c r="F418" s="81">
        <v>0.0</v>
      </c>
      <c r="G418" s="81">
        <v>77.0</v>
      </c>
      <c r="H418" s="81">
        <v>13.2</v>
      </c>
      <c r="I418" s="81">
        <v>0.0</v>
      </c>
      <c r="J418" s="81">
        <v>1.1880000000000002</v>
      </c>
      <c r="K418" s="81">
        <v>6.6</v>
      </c>
      <c r="L418" s="81">
        <v>5.28</v>
      </c>
    </row>
    <row r="419" ht="15.75" customHeight="1">
      <c r="A419" s="53" t="s">
        <v>435</v>
      </c>
      <c r="B419" s="57" t="s">
        <v>176</v>
      </c>
      <c r="C419" s="61">
        <v>190.0</v>
      </c>
      <c r="D419" s="62" t="s">
        <v>25</v>
      </c>
      <c r="E419" s="81">
        <v>6.65</v>
      </c>
      <c r="F419" s="81">
        <v>142.5</v>
      </c>
      <c r="G419" s="81">
        <v>5.7</v>
      </c>
      <c r="H419" s="81">
        <v>9.5</v>
      </c>
      <c r="I419" s="81">
        <v>26.6</v>
      </c>
      <c r="J419" s="81">
        <v>142.5</v>
      </c>
      <c r="K419" s="81">
        <v>152.0</v>
      </c>
      <c r="L419" s="81">
        <v>7.6000000000000005</v>
      </c>
    </row>
    <row r="420" ht="15.75" customHeight="1">
      <c r="A420" s="53" t="s">
        <v>435</v>
      </c>
      <c r="B420" s="57" t="s">
        <v>63</v>
      </c>
      <c r="C420" s="61">
        <v>19.0</v>
      </c>
      <c r="D420" s="62" t="s">
        <v>25</v>
      </c>
      <c r="E420" s="81">
        <v>0.608</v>
      </c>
      <c r="F420" s="81">
        <v>17.48</v>
      </c>
      <c r="G420" s="81">
        <v>0.0</v>
      </c>
      <c r="H420" s="81">
        <v>0.0</v>
      </c>
      <c r="I420" s="81">
        <v>0.0</v>
      </c>
      <c r="J420" s="81">
        <v>14.06</v>
      </c>
      <c r="K420" s="81">
        <v>34.2</v>
      </c>
      <c r="L420" s="81">
        <v>0.0</v>
      </c>
    </row>
    <row r="421" ht="15.75" customHeight="1">
      <c r="A421" s="53" t="s">
        <v>435</v>
      </c>
      <c r="B421" s="57" t="s">
        <v>74</v>
      </c>
      <c r="C421" s="61">
        <v>17.0</v>
      </c>
      <c r="D421" s="62" t="s">
        <v>25</v>
      </c>
      <c r="E421" s="81">
        <v>0.646</v>
      </c>
      <c r="F421" s="81">
        <v>16.15</v>
      </c>
      <c r="G421" s="81">
        <v>0.0</v>
      </c>
      <c r="H421" s="81">
        <v>0.0</v>
      </c>
      <c r="I421" s="81">
        <v>0.0</v>
      </c>
      <c r="J421" s="81">
        <v>6.800000000000001</v>
      </c>
      <c r="K421" s="81">
        <v>11.899999999999999</v>
      </c>
      <c r="L421" s="81">
        <v>0.0</v>
      </c>
    </row>
    <row r="422" ht="15.75" customHeight="1">
      <c r="A422" s="53" t="s">
        <v>435</v>
      </c>
      <c r="B422" s="57" t="s">
        <v>135</v>
      </c>
      <c r="C422" s="61">
        <v>35.0</v>
      </c>
      <c r="D422" s="62" t="s">
        <v>25</v>
      </c>
      <c r="E422" s="81">
        <v>1.89</v>
      </c>
      <c r="F422" s="81">
        <v>0.0</v>
      </c>
      <c r="G422" s="81">
        <v>0.0</v>
      </c>
      <c r="H422" s="81">
        <v>33.949999999999996</v>
      </c>
      <c r="I422" s="81">
        <v>0.0</v>
      </c>
      <c r="J422" s="81">
        <v>2.8000000000000003</v>
      </c>
      <c r="K422" s="81">
        <v>17.5</v>
      </c>
      <c r="L422" s="81">
        <v>12.6</v>
      </c>
    </row>
    <row r="423" ht="15.75" customHeight="1">
      <c r="A423" s="53" t="s">
        <v>435</v>
      </c>
      <c r="B423" s="57" t="s">
        <v>139</v>
      </c>
      <c r="C423" s="61">
        <v>4.0</v>
      </c>
      <c r="D423" s="62" t="s">
        <v>25</v>
      </c>
      <c r="E423" s="81">
        <v>0.8</v>
      </c>
      <c r="F423" s="81">
        <v>0.0</v>
      </c>
      <c r="G423" s="81">
        <v>0.0</v>
      </c>
      <c r="H423" s="81">
        <v>0.0</v>
      </c>
      <c r="I423" s="81">
        <v>4.0</v>
      </c>
      <c r="J423" s="81">
        <v>0.0</v>
      </c>
      <c r="K423" s="81">
        <v>0.0</v>
      </c>
      <c r="L423" s="81">
        <v>0.0</v>
      </c>
    </row>
    <row r="424" ht="15.75" customHeight="1">
      <c r="A424" s="53" t="s">
        <v>437</v>
      </c>
      <c r="B424" s="57" t="s">
        <v>58</v>
      </c>
      <c r="C424" s="61">
        <v>554.0</v>
      </c>
      <c r="D424" s="62" t="s">
        <v>25</v>
      </c>
      <c r="E424" s="81">
        <v>2.5483999999999996</v>
      </c>
      <c r="F424" s="81">
        <v>0.0</v>
      </c>
      <c r="G424" s="81">
        <v>19.39</v>
      </c>
      <c r="H424" s="81">
        <v>49.86</v>
      </c>
      <c r="I424" s="81">
        <v>0.0</v>
      </c>
      <c r="J424" s="81">
        <v>4.3212</v>
      </c>
      <c r="K424" s="81">
        <v>22.16</v>
      </c>
      <c r="L424" s="81">
        <v>19.39</v>
      </c>
    </row>
    <row r="425" ht="15.75" customHeight="1">
      <c r="A425" s="53" t="s">
        <v>437</v>
      </c>
      <c r="B425" s="57" t="s">
        <v>134</v>
      </c>
      <c r="C425" s="61">
        <v>220.0</v>
      </c>
      <c r="D425" s="62" t="s">
        <v>25</v>
      </c>
      <c r="E425" s="81">
        <v>4.18</v>
      </c>
      <c r="F425" s="81">
        <v>0.0</v>
      </c>
      <c r="G425" s="81">
        <v>77.0</v>
      </c>
      <c r="H425" s="81">
        <v>13.2</v>
      </c>
      <c r="I425" s="81">
        <v>0.0</v>
      </c>
      <c r="J425" s="81">
        <v>1.1880000000000002</v>
      </c>
      <c r="K425" s="81">
        <v>6.6</v>
      </c>
      <c r="L425" s="81">
        <v>5.28</v>
      </c>
    </row>
    <row r="426" ht="15.75" customHeight="1">
      <c r="A426" s="53" t="s">
        <v>437</v>
      </c>
      <c r="B426" s="57" t="s">
        <v>94</v>
      </c>
      <c r="C426" s="61">
        <v>146.0</v>
      </c>
      <c r="D426" s="62" t="s">
        <v>25</v>
      </c>
      <c r="E426" s="81">
        <v>0.584</v>
      </c>
      <c r="F426" s="81">
        <v>146.0</v>
      </c>
      <c r="G426" s="81">
        <v>0.0</v>
      </c>
      <c r="H426" s="81">
        <v>0.0</v>
      </c>
      <c r="I426" s="81">
        <v>0.0</v>
      </c>
      <c r="J426" s="81">
        <v>146.0</v>
      </c>
      <c r="K426" s="81">
        <v>146.0</v>
      </c>
      <c r="L426" s="81">
        <v>0.0</v>
      </c>
    </row>
    <row r="427" ht="15.75" customHeight="1">
      <c r="A427" s="53" t="s">
        <v>437</v>
      </c>
      <c r="B427" s="57" t="s">
        <v>63</v>
      </c>
      <c r="C427" s="61">
        <v>19.0</v>
      </c>
      <c r="D427" s="62" t="s">
        <v>25</v>
      </c>
      <c r="E427" s="81">
        <v>0.608</v>
      </c>
      <c r="F427" s="81">
        <v>17.48</v>
      </c>
      <c r="G427" s="81">
        <v>0.0</v>
      </c>
      <c r="H427" s="81">
        <v>0.0</v>
      </c>
      <c r="I427" s="81">
        <v>0.0</v>
      </c>
      <c r="J427" s="81">
        <v>14.06</v>
      </c>
      <c r="K427" s="81">
        <v>34.2</v>
      </c>
      <c r="L427" s="81">
        <v>0.0</v>
      </c>
    </row>
    <row r="428" ht="15.75" customHeight="1">
      <c r="A428" s="53" t="s">
        <v>437</v>
      </c>
      <c r="B428" s="57" t="s">
        <v>74</v>
      </c>
      <c r="C428" s="61">
        <v>19.0</v>
      </c>
      <c r="D428" s="62" t="s">
        <v>25</v>
      </c>
      <c r="E428" s="81">
        <v>0.722</v>
      </c>
      <c r="F428" s="81">
        <v>18.05</v>
      </c>
      <c r="G428" s="81">
        <v>0.0</v>
      </c>
      <c r="H428" s="81">
        <v>0.0</v>
      </c>
      <c r="I428" s="81">
        <v>0.0</v>
      </c>
      <c r="J428" s="81">
        <v>7.6000000000000005</v>
      </c>
      <c r="K428" s="81">
        <v>13.299999999999999</v>
      </c>
      <c r="L428" s="81">
        <v>0.0</v>
      </c>
    </row>
    <row r="429" ht="15.75" customHeight="1">
      <c r="A429" s="53" t="s">
        <v>437</v>
      </c>
      <c r="B429" s="57" t="s">
        <v>135</v>
      </c>
      <c r="C429" s="61">
        <v>38.0</v>
      </c>
      <c r="D429" s="62" t="s">
        <v>25</v>
      </c>
      <c r="E429" s="81">
        <v>2.052</v>
      </c>
      <c r="F429" s="81">
        <v>0.0</v>
      </c>
      <c r="G429" s="81">
        <v>0.0</v>
      </c>
      <c r="H429" s="81">
        <v>36.86</v>
      </c>
      <c r="I429" s="81">
        <v>0.0</v>
      </c>
      <c r="J429" s="81">
        <v>3.04</v>
      </c>
      <c r="K429" s="81">
        <v>19.0</v>
      </c>
      <c r="L429" s="81">
        <v>13.68</v>
      </c>
    </row>
    <row r="430" ht="15.75" customHeight="1">
      <c r="A430" s="53" t="s">
        <v>437</v>
      </c>
      <c r="B430" s="57" t="s">
        <v>139</v>
      </c>
      <c r="C430" s="61">
        <v>4.0</v>
      </c>
      <c r="D430" s="62" t="s">
        <v>25</v>
      </c>
      <c r="E430" s="81">
        <v>0.8</v>
      </c>
      <c r="F430" s="81">
        <v>0.0</v>
      </c>
      <c r="G430" s="81">
        <v>0.0</v>
      </c>
      <c r="H430" s="81">
        <v>0.0</v>
      </c>
      <c r="I430" s="81">
        <v>4.0</v>
      </c>
      <c r="J430" s="81">
        <v>0.0</v>
      </c>
      <c r="K430" s="81">
        <v>0.0</v>
      </c>
      <c r="L430" s="81">
        <v>0.0</v>
      </c>
    </row>
    <row r="431" ht="15.75" customHeight="1">
      <c r="A431" s="53" t="s">
        <v>437</v>
      </c>
      <c r="B431" s="57" t="s">
        <v>431</v>
      </c>
      <c r="C431" s="61">
        <v>100.0</v>
      </c>
      <c r="D431" s="62" t="s">
        <v>25</v>
      </c>
      <c r="E431" s="81">
        <v>4.5</v>
      </c>
      <c r="F431" s="81">
        <v>22.0</v>
      </c>
      <c r="G431" s="81">
        <v>12.0</v>
      </c>
      <c r="H431" s="81">
        <v>4.0</v>
      </c>
      <c r="I431" s="81">
        <v>42.0</v>
      </c>
      <c r="J431" s="81">
        <v>22.0</v>
      </c>
      <c r="K431" s="81">
        <v>25.0</v>
      </c>
      <c r="L431" s="81">
        <v>7.000000000000001</v>
      </c>
    </row>
    <row r="432" ht="15.75" customHeight="1">
      <c r="A432" s="53" t="s">
        <v>441</v>
      </c>
      <c r="B432" s="57" t="s">
        <v>58</v>
      </c>
      <c r="C432" s="61">
        <v>554.0</v>
      </c>
      <c r="D432" s="62" t="s">
        <v>25</v>
      </c>
      <c r="E432" s="81">
        <v>2.5483999999999996</v>
      </c>
      <c r="F432" s="81">
        <v>0.0</v>
      </c>
      <c r="G432" s="81">
        <v>19.39</v>
      </c>
      <c r="H432" s="81">
        <v>49.86</v>
      </c>
      <c r="I432" s="81">
        <v>0.0</v>
      </c>
      <c r="J432" s="81">
        <v>4.3212</v>
      </c>
      <c r="K432" s="81">
        <v>22.16</v>
      </c>
      <c r="L432" s="81">
        <v>19.39</v>
      </c>
    </row>
    <row r="433" ht="15.75" customHeight="1">
      <c r="A433" s="53" t="s">
        <v>441</v>
      </c>
      <c r="B433" s="57" t="s">
        <v>134</v>
      </c>
      <c r="C433" s="61">
        <v>220.0</v>
      </c>
      <c r="D433" s="62" t="s">
        <v>25</v>
      </c>
      <c r="E433" s="81">
        <v>4.18</v>
      </c>
      <c r="F433" s="81">
        <v>0.0</v>
      </c>
      <c r="G433" s="81">
        <v>77.0</v>
      </c>
      <c r="H433" s="81">
        <v>13.2</v>
      </c>
      <c r="I433" s="81">
        <v>0.0</v>
      </c>
      <c r="J433" s="81">
        <v>1.1880000000000002</v>
      </c>
      <c r="K433" s="81">
        <v>6.6</v>
      </c>
      <c r="L433" s="81">
        <v>5.28</v>
      </c>
    </row>
    <row r="434" ht="15.75" customHeight="1">
      <c r="A434" s="53" t="s">
        <v>441</v>
      </c>
      <c r="B434" s="57" t="s">
        <v>353</v>
      </c>
      <c r="C434" s="61">
        <v>80.0</v>
      </c>
      <c r="D434" s="62" t="s">
        <v>25</v>
      </c>
      <c r="E434" s="81">
        <v>0.0</v>
      </c>
      <c r="F434" s="81">
        <v>68.0</v>
      </c>
      <c r="G434" s="81">
        <v>0.0</v>
      </c>
      <c r="H434" s="81">
        <v>0.0</v>
      </c>
      <c r="I434" s="81">
        <v>0.0</v>
      </c>
      <c r="J434" s="81">
        <v>102.4</v>
      </c>
      <c r="K434" s="81">
        <v>152.0</v>
      </c>
      <c r="L434" s="81">
        <v>0.0</v>
      </c>
    </row>
    <row r="435" ht="15.75" customHeight="1">
      <c r="A435" s="53" t="s">
        <v>441</v>
      </c>
      <c r="B435" s="57" t="s">
        <v>208</v>
      </c>
      <c r="C435" s="61">
        <v>15.0</v>
      </c>
      <c r="D435" s="62" t="s">
        <v>25</v>
      </c>
      <c r="E435" s="81">
        <v>3.225</v>
      </c>
      <c r="F435" s="81">
        <v>0.0</v>
      </c>
      <c r="G435" s="81">
        <v>3.3</v>
      </c>
      <c r="H435" s="81">
        <v>0.0</v>
      </c>
      <c r="I435" s="81">
        <v>10.799999999999999</v>
      </c>
      <c r="J435" s="81">
        <v>0.0</v>
      </c>
      <c r="K435" s="81">
        <v>0.0</v>
      </c>
      <c r="L435" s="81">
        <v>2.6999999999999997</v>
      </c>
    </row>
    <row r="436" ht="15.75" customHeight="1">
      <c r="A436" s="53" t="s">
        <v>441</v>
      </c>
      <c r="B436" s="57" t="s">
        <v>94</v>
      </c>
      <c r="C436" s="61">
        <v>46.0</v>
      </c>
      <c r="D436" s="62" t="s">
        <v>25</v>
      </c>
      <c r="E436" s="81">
        <v>0.184</v>
      </c>
      <c r="F436" s="81">
        <v>46.0</v>
      </c>
      <c r="G436" s="81">
        <v>0.0</v>
      </c>
      <c r="H436" s="81">
        <v>0.0</v>
      </c>
      <c r="I436" s="81">
        <v>0.0</v>
      </c>
      <c r="J436" s="81">
        <v>46.0</v>
      </c>
      <c r="K436" s="81">
        <v>46.0</v>
      </c>
      <c r="L436" s="81">
        <v>0.0</v>
      </c>
    </row>
    <row r="437" ht="15.75" customHeight="1">
      <c r="A437" s="53" t="s">
        <v>441</v>
      </c>
      <c r="B437" s="57" t="s">
        <v>63</v>
      </c>
      <c r="C437" s="61">
        <v>19.0</v>
      </c>
      <c r="D437" s="62" t="s">
        <v>25</v>
      </c>
      <c r="E437" s="81">
        <v>0.608</v>
      </c>
      <c r="F437" s="81">
        <v>17.48</v>
      </c>
      <c r="G437" s="81">
        <v>0.0</v>
      </c>
      <c r="H437" s="81">
        <v>0.0</v>
      </c>
      <c r="I437" s="81">
        <v>0.0</v>
      </c>
      <c r="J437" s="81">
        <v>14.06</v>
      </c>
      <c r="K437" s="81">
        <v>34.2</v>
      </c>
      <c r="L437" s="81">
        <v>0.0</v>
      </c>
    </row>
    <row r="438" ht="15.75" customHeight="1">
      <c r="A438" s="53" t="s">
        <v>441</v>
      </c>
      <c r="B438" s="57" t="s">
        <v>74</v>
      </c>
      <c r="C438" s="61">
        <v>19.0</v>
      </c>
      <c r="D438" s="62" t="s">
        <v>25</v>
      </c>
      <c r="E438" s="81">
        <v>0.722</v>
      </c>
      <c r="F438" s="81">
        <v>18.05</v>
      </c>
      <c r="G438" s="81">
        <v>0.0</v>
      </c>
      <c r="H438" s="81">
        <v>0.0</v>
      </c>
      <c r="I438" s="81">
        <v>0.0</v>
      </c>
      <c r="J438" s="81">
        <v>7.6000000000000005</v>
      </c>
      <c r="K438" s="81">
        <v>13.299999999999999</v>
      </c>
      <c r="L438" s="81">
        <v>0.0</v>
      </c>
    </row>
    <row r="439" ht="15.75" customHeight="1">
      <c r="A439" s="53" t="s">
        <v>441</v>
      </c>
      <c r="B439" s="57" t="s">
        <v>135</v>
      </c>
      <c r="C439" s="61">
        <v>38.0</v>
      </c>
      <c r="D439" s="62" t="s">
        <v>25</v>
      </c>
      <c r="E439" s="81">
        <v>2.052</v>
      </c>
      <c r="F439" s="81">
        <v>0.0</v>
      </c>
      <c r="G439" s="81">
        <v>0.0</v>
      </c>
      <c r="H439" s="81">
        <v>36.86</v>
      </c>
      <c r="I439" s="81">
        <v>0.0</v>
      </c>
      <c r="J439" s="81">
        <v>3.04</v>
      </c>
      <c r="K439" s="81">
        <v>19.0</v>
      </c>
      <c r="L439" s="81">
        <v>13.68</v>
      </c>
    </row>
    <row r="440" ht="15.75" customHeight="1">
      <c r="A440" s="53" t="s">
        <v>441</v>
      </c>
      <c r="B440" s="57" t="s">
        <v>139</v>
      </c>
      <c r="C440" s="61">
        <v>4.0</v>
      </c>
      <c r="D440" s="62" t="s">
        <v>25</v>
      </c>
      <c r="E440" s="81">
        <v>0.8</v>
      </c>
      <c r="F440" s="81">
        <v>0.0</v>
      </c>
      <c r="G440" s="81">
        <v>0.0</v>
      </c>
      <c r="H440" s="81">
        <v>0.0</v>
      </c>
      <c r="I440" s="81">
        <v>4.0</v>
      </c>
      <c r="J440" s="81">
        <v>0.0</v>
      </c>
      <c r="K440" s="81">
        <v>0.0</v>
      </c>
      <c r="L440" s="81">
        <v>0.0</v>
      </c>
    </row>
    <row r="441" ht="15.75" customHeight="1">
      <c r="A441" s="53" t="s">
        <v>442</v>
      </c>
      <c r="B441" s="57" t="s">
        <v>14</v>
      </c>
      <c r="C441" s="61">
        <v>250.0</v>
      </c>
      <c r="D441" s="62" t="s">
        <v>25</v>
      </c>
      <c r="E441" s="81">
        <v>0.0</v>
      </c>
      <c r="F441" s="81">
        <v>0.0</v>
      </c>
      <c r="G441" s="81">
        <v>0.0</v>
      </c>
      <c r="H441" s="81">
        <v>0.0</v>
      </c>
      <c r="I441" s="81">
        <v>0.0</v>
      </c>
      <c r="J441" s="81">
        <v>0.0</v>
      </c>
      <c r="K441" s="81">
        <v>0.0</v>
      </c>
      <c r="L441" s="81">
        <v>0.0</v>
      </c>
    </row>
    <row r="442" ht="15.75" customHeight="1">
      <c r="A442" s="53" t="s">
        <v>442</v>
      </c>
      <c r="B442" s="57" t="s">
        <v>58</v>
      </c>
      <c r="C442" s="61">
        <v>177.0</v>
      </c>
      <c r="D442" s="62" t="s">
        <v>25</v>
      </c>
      <c r="E442" s="81">
        <v>0.8141999999999999</v>
      </c>
      <c r="F442" s="81">
        <v>0.0</v>
      </c>
      <c r="G442" s="81">
        <v>6.195</v>
      </c>
      <c r="H442" s="81">
        <v>15.93</v>
      </c>
      <c r="I442" s="81">
        <v>0.0</v>
      </c>
      <c r="J442" s="81">
        <v>1.3805999999999998</v>
      </c>
      <c r="K442" s="81">
        <v>7.08</v>
      </c>
      <c r="L442" s="81">
        <v>6.195</v>
      </c>
    </row>
    <row r="443" ht="15.75" customHeight="1">
      <c r="A443" s="53" t="s">
        <v>442</v>
      </c>
      <c r="B443" s="57" t="s">
        <v>195</v>
      </c>
      <c r="C443" s="61">
        <v>70.0</v>
      </c>
      <c r="D443" s="62" t="s">
        <v>25</v>
      </c>
      <c r="E443" s="81">
        <v>0.0</v>
      </c>
      <c r="F443" s="81">
        <v>5.880000000000001</v>
      </c>
      <c r="G443" s="81">
        <v>3.5</v>
      </c>
      <c r="H443" s="81">
        <v>0.0</v>
      </c>
      <c r="I443" s="81">
        <v>2.45</v>
      </c>
      <c r="J443" s="81">
        <v>9.1</v>
      </c>
      <c r="K443" s="81">
        <v>5.880000000000001</v>
      </c>
      <c r="L443" s="81">
        <v>0.0</v>
      </c>
    </row>
    <row r="444" ht="15.75" customHeight="1">
      <c r="A444" s="53" t="s">
        <v>442</v>
      </c>
      <c r="B444" s="57" t="s">
        <v>71</v>
      </c>
      <c r="C444" s="61">
        <v>240.0</v>
      </c>
      <c r="D444" s="62" t="s">
        <v>25</v>
      </c>
      <c r="E444" s="81">
        <v>4.86</v>
      </c>
      <c r="F444" s="81">
        <v>105.6</v>
      </c>
      <c r="G444" s="81">
        <v>19.2</v>
      </c>
      <c r="H444" s="81">
        <v>43.68</v>
      </c>
      <c r="I444" s="81">
        <v>4.319999999999999</v>
      </c>
      <c r="J444" s="81">
        <v>103.2</v>
      </c>
      <c r="K444" s="81">
        <v>132.0</v>
      </c>
      <c r="L444" s="81">
        <v>19.2</v>
      </c>
    </row>
    <row r="445" ht="15.75" customHeight="1">
      <c r="A445" s="53" t="s">
        <v>442</v>
      </c>
      <c r="B445" s="57" t="s">
        <v>63</v>
      </c>
      <c r="C445" s="61">
        <v>40.0</v>
      </c>
      <c r="D445" s="62" t="s">
        <v>25</v>
      </c>
      <c r="E445" s="81">
        <v>1.28</v>
      </c>
      <c r="F445" s="81">
        <v>36.800000000000004</v>
      </c>
      <c r="G445" s="81">
        <v>0.0</v>
      </c>
      <c r="H445" s="81">
        <v>0.0</v>
      </c>
      <c r="I445" s="81">
        <v>0.0</v>
      </c>
      <c r="J445" s="81">
        <v>29.6</v>
      </c>
      <c r="K445" s="81">
        <v>72.0</v>
      </c>
      <c r="L445" s="81">
        <v>0.0</v>
      </c>
    </row>
    <row r="446" ht="15.75" customHeight="1">
      <c r="A446" s="53" t="s">
        <v>442</v>
      </c>
      <c r="B446" s="57" t="s">
        <v>74</v>
      </c>
      <c r="C446" s="61">
        <v>31.0</v>
      </c>
      <c r="D446" s="62" t="s">
        <v>25</v>
      </c>
      <c r="E446" s="81">
        <v>1.178</v>
      </c>
      <c r="F446" s="81">
        <v>29.45</v>
      </c>
      <c r="G446" s="81">
        <v>0.0</v>
      </c>
      <c r="H446" s="81">
        <v>0.0</v>
      </c>
      <c r="I446" s="81">
        <v>0.0</v>
      </c>
      <c r="J446" s="81">
        <v>12.4</v>
      </c>
      <c r="K446" s="81">
        <v>21.7</v>
      </c>
      <c r="L446" s="81">
        <v>0.0</v>
      </c>
    </row>
    <row r="447" ht="15.75" customHeight="1">
      <c r="A447" s="53" t="s">
        <v>442</v>
      </c>
      <c r="B447" s="57" t="s">
        <v>139</v>
      </c>
      <c r="C447" s="61">
        <v>5.0</v>
      </c>
      <c r="D447" s="62" t="s">
        <v>25</v>
      </c>
      <c r="E447" s="81">
        <v>1.0</v>
      </c>
      <c r="F447" s="81">
        <v>0.0</v>
      </c>
      <c r="G447" s="81">
        <v>0.0</v>
      </c>
      <c r="H447" s="81">
        <v>0.0</v>
      </c>
      <c r="I447" s="81">
        <v>5.0</v>
      </c>
      <c r="J447" s="81">
        <v>0.0</v>
      </c>
      <c r="K447" s="81">
        <v>0.0</v>
      </c>
      <c r="L447" s="81">
        <v>0.0</v>
      </c>
    </row>
    <row r="448" ht="15.75" customHeight="1">
      <c r="A448" s="53" t="s">
        <v>442</v>
      </c>
      <c r="B448" s="57" t="s">
        <v>181</v>
      </c>
      <c r="C448" s="61">
        <v>50.0</v>
      </c>
      <c r="D448" s="62" t="s">
        <v>25</v>
      </c>
      <c r="E448" s="81">
        <v>5.85</v>
      </c>
      <c r="F448" s="81">
        <v>0.0</v>
      </c>
      <c r="G448" s="81">
        <v>14.499999999999998</v>
      </c>
      <c r="H448" s="81">
        <v>19.0</v>
      </c>
      <c r="I448" s="81">
        <v>0.0</v>
      </c>
      <c r="J448" s="81">
        <v>0.0</v>
      </c>
      <c r="K448" s="81">
        <v>0.0</v>
      </c>
      <c r="L448" s="81">
        <v>17.8</v>
      </c>
    </row>
    <row r="449" ht="15.75" customHeight="1">
      <c r="A449" s="53" t="s">
        <v>444</v>
      </c>
      <c r="B449" s="57" t="s">
        <v>58</v>
      </c>
      <c r="C449" s="61">
        <v>350.0</v>
      </c>
      <c r="D449" s="62" t="s">
        <v>25</v>
      </c>
      <c r="E449" s="81">
        <v>1.6099999999999999</v>
      </c>
      <c r="F449" s="81">
        <v>0.0</v>
      </c>
      <c r="G449" s="81">
        <v>12.250000000000002</v>
      </c>
      <c r="H449" s="81">
        <v>31.5</v>
      </c>
      <c r="I449" s="81">
        <v>0.0</v>
      </c>
      <c r="J449" s="81">
        <v>2.73</v>
      </c>
      <c r="K449" s="81">
        <v>14.0</v>
      </c>
      <c r="L449" s="81">
        <v>12.250000000000002</v>
      </c>
    </row>
    <row r="450" ht="15.75" customHeight="1">
      <c r="A450" s="53" t="s">
        <v>444</v>
      </c>
      <c r="B450" s="57" t="s">
        <v>14</v>
      </c>
      <c r="C450" s="61">
        <v>206.0</v>
      </c>
      <c r="D450" s="62" t="s">
        <v>25</v>
      </c>
      <c r="E450" s="81">
        <v>0.0</v>
      </c>
      <c r="F450" s="81">
        <v>0.0</v>
      </c>
      <c r="G450" s="81">
        <v>0.0</v>
      </c>
      <c r="H450" s="81">
        <v>0.0</v>
      </c>
      <c r="I450" s="81">
        <v>0.0</v>
      </c>
      <c r="J450" s="81">
        <v>0.0</v>
      </c>
      <c r="K450" s="81">
        <v>0.0</v>
      </c>
      <c r="L450" s="81">
        <v>0.0</v>
      </c>
    </row>
    <row r="451" ht="15.75" customHeight="1">
      <c r="A451" s="53" t="s">
        <v>444</v>
      </c>
      <c r="B451" s="57" t="s">
        <v>134</v>
      </c>
      <c r="C451" s="61">
        <v>70.0</v>
      </c>
      <c r="D451" s="62" t="s">
        <v>25</v>
      </c>
      <c r="E451" s="81">
        <v>1.33</v>
      </c>
      <c r="F451" s="81">
        <v>0.0</v>
      </c>
      <c r="G451" s="81">
        <v>24.5</v>
      </c>
      <c r="H451" s="81">
        <v>4.2</v>
      </c>
      <c r="I451" s="81">
        <v>0.0</v>
      </c>
      <c r="J451" s="81">
        <v>0.378</v>
      </c>
      <c r="K451" s="81">
        <v>2.1</v>
      </c>
      <c r="L451" s="81">
        <v>1.68</v>
      </c>
    </row>
    <row r="452" ht="15.75" customHeight="1">
      <c r="A452" s="53" t="s">
        <v>444</v>
      </c>
      <c r="B452" s="57" t="s">
        <v>329</v>
      </c>
      <c r="C452" s="61">
        <v>50.0</v>
      </c>
      <c r="D452" s="62" t="s">
        <v>25</v>
      </c>
      <c r="E452" s="81">
        <v>0.0</v>
      </c>
      <c r="F452" s="81">
        <v>4.2</v>
      </c>
      <c r="G452" s="81">
        <v>24.65</v>
      </c>
      <c r="H452" s="81">
        <v>0.0</v>
      </c>
      <c r="I452" s="81">
        <v>19.900000000000002</v>
      </c>
      <c r="J452" s="81">
        <v>0.0</v>
      </c>
      <c r="K452" s="81">
        <v>0.0</v>
      </c>
      <c r="L452" s="81">
        <v>12.35</v>
      </c>
    </row>
    <row r="453" ht="15.75" customHeight="1">
      <c r="A453" s="53" t="s">
        <v>444</v>
      </c>
      <c r="B453" s="57" t="s">
        <v>94</v>
      </c>
      <c r="C453" s="61">
        <v>61.0</v>
      </c>
      <c r="D453" s="62" t="s">
        <v>25</v>
      </c>
      <c r="E453" s="81">
        <v>0.244</v>
      </c>
      <c r="F453" s="81">
        <v>61.0</v>
      </c>
      <c r="G453" s="81">
        <v>0.0</v>
      </c>
      <c r="H453" s="81">
        <v>0.0</v>
      </c>
      <c r="I453" s="81">
        <v>0.0</v>
      </c>
      <c r="J453" s="81">
        <v>61.0</v>
      </c>
      <c r="K453" s="81">
        <v>61.0</v>
      </c>
      <c r="L453" s="81">
        <v>0.0</v>
      </c>
    </row>
    <row r="454" ht="15.75" customHeight="1">
      <c r="A454" s="53" t="s">
        <v>444</v>
      </c>
      <c r="B454" s="57" t="s">
        <v>63</v>
      </c>
      <c r="C454" s="61">
        <v>30.0</v>
      </c>
      <c r="D454" s="62" t="s">
        <v>25</v>
      </c>
      <c r="E454" s="81">
        <v>0.96</v>
      </c>
      <c r="F454" s="81">
        <v>27.6</v>
      </c>
      <c r="G454" s="81">
        <v>0.0</v>
      </c>
      <c r="H454" s="81">
        <v>0.0</v>
      </c>
      <c r="I454" s="81">
        <v>0.0</v>
      </c>
      <c r="J454" s="81">
        <v>22.2</v>
      </c>
      <c r="K454" s="81">
        <v>54.0</v>
      </c>
      <c r="L454" s="81">
        <v>0.0</v>
      </c>
    </row>
    <row r="455" ht="15.75" customHeight="1">
      <c r="A455" s="53" t="s">
        <v>444</v>
      </c>
      <c r="B455" s="57" t="s">
        <v>74</v>
      </c>
      <c r="C455" s="61">
        <v>20.0</v>
      </c>
      <c r="D455" s="62" t="s">
        <v>25</v>
      </c>
      <c r="E455" s="81">
        <v>0.76</v>
      </c>
      <c r="F455" s="81">
        <v>19.0</v>
      </c>
      <c r="G455" s="81">
        <v>0.0</v>
      </c>
      <c r="H455" s="81">
        <v>0.0</v>
      </c>
      <c r="I455" s="81">
        <v>0.0</v>
      </c>
      <c r="J455" s="81">
        <v>8.0</v>
      </c>
      <c r="K455" s="81">
        <v>14.0</v>
      </c>
      <c r="L455" s="81">
        <v>0.0</v>
      </c>
    </row>
    <row r="456" ht="15.75" customHeight="1">
      <c r="A456" s="53" t="s">
        <v>444</v>
      </c>
      <c r="B456" s="57" t="s">
        <v>135</v>
      </c>
      <c r="C456" s="61">
        <v>10.0</v>
      </c>
      <c r="D456" s="62" t="s">
        <v>25</v>
      </c>
      <c r="E456" s="81">
        <v>0.54</v>
      </c>
      <c r="F456" s="81">
        <v>0.0</v>
      </c>
      <c r="G456" s="81">
        <v>0.0</v>
      </c>
      <c r="H456" s="81">
        <v>9.7</v>
      </c>
      <c r="I456" s="81">
        <v>0.0</v>
      </c>
      <c r="J456" s="81">
        <v>0.8</v>
      </c>
      <c r="K456" s="81">
        <v>5.0</v>
      </c>
      <c r="L456" s="81">
        <v>3.5999999999999996</v>
      </c>
    </row>
    <row r="457" ht="15.75" customHeight="1">
      <c r="A457" s="53" t="s">
        <v>444</v>
      </c>
      <c r="B457" s="57" t="s">
        <v>139</v>
      </c>
      <c r="C457" s="61">
        <v>5.0</v>
      </c>
      <c r="D457" s="62" t="s">
        <v>25</v>
      </c>
      <c r="E457" s="81">
        <v>1.0</v>
      </c>
      <c r="F457" s="81">
        <v>0.0</v>
      </c>
      <c r="G457" s="81">
        <v>0.0</v>
      </c>
      <c r="H457" s="81">
        <v>0.0</v>
      </c>
      <c r="I457" s="81">
        <v>5.0</v>
      </c>
      <c r="J457" s="81">
        <v>0.0</v>
      </c>
      <c r="K457" s="81">
        <v>0.0</v>
      </c>
      <c r="L457" s="81">
        <v>0.0</v>
      </c>
    </row>
    <row r="458" ht="15.75" customHeight="1">
      <c r="A458" s="53" t="s">
        <v>444</v>
      </c>
      <c r="B458" s="57" t="s">
        <v>132</v>
      </c>
      <c r="C458" s="61">
        <v>150.0</v>
      </c>
      <c r="D458" s="62" t="s">
        <v>25</v>
      </c>
      <c r="E458" s="81">
        <v>27.75</v>
      </c>
      <c r="F458" s="81">
        <v>67.5</v>
      </c>
      <c r="G458" s="81">
        <v>54.0</v>
      </c>
      <c r="H458" s="81">
        <v>18.75</v>
      </c>
      <c r="I458" s="81">
        <v>9.75</v>
      </c>
      <c r="J458" s="81">
        <v>91.5</v>
      </c>
      <c r="K458" s="81">
        <v>76.5</v>
      </c>
      <c r="L458" s="81">
        <v>13.5</v>
      </c>
    </row>
    <row r="459" ht="15.75" customHeight="1">
      <c r="A459" s="53" t="s">
        <v>444</v>
      </c>
      <c r="B459" s="57" t="s">
        <v>174</v>
      </c>
      <c r="C459" s="61">
        <v>100.0</v>
      </c>
      <c r="D459" s="62" t="s">
        <v>25</v>
      </c>
      <c r="E459" s="81">
        <v>9.5</v>
      </c>
      <c r="F459" s="81">
        <v>40.0</v>
      </c>
      <c r="G459" s="81">
        <v>35.0</v>
      </c>
      <c r="H459" s="81">
        <v>0.0</v>
      </c>
      <c r="I459" s="81">
        <v>25.0</v>
      </c>
      <c r="J459" s="81">
        <v>40.0</v>
      </c>
      <c r="K459" s="81">
        <v>40.0</v>
      </c>
      <c r="L459" s="81">
        <v>8.4</v>
      </c>
    </row>
    <row r="460" ht="15.75" customHeight="1">
      <c r="A460" s="53" t="s">
        <v>447</v>
      </c>
      <c r="B460" s="57" t="s">
        <v>58</v>
      </c>
      <c r="C460" s="61">
        <v>554.0</v>
      </c>
      <c r="D460" s="62" t="s">
        <v>25</v>
      </c>
      <c r="E460" s="81">
        <v>2.5483999999999996</v>
      </c>
      <c r="F460" s="81">
        <v>0.0</v>
      </c>
      <c r="G460" s="81">
        <v>19.39</v>
      </c>
      <c r="H460" s="81">
        <v>49.86</v>
      </c>
      <c r="I460" s="81">
        <v>0.0</v>
      </c>
      <c r="J460" s="81">
        <v>4.3212</v>
      </c>
      <c r="K460" s="81">
        <v>22.16</v>
      </c>
      <c r="L460" s="81">
        <v>19.39</v>
      </c>
    </row>
    <row r="461" ht="15.75" customHeight="1">
      <c r="A461" s="53" t="s">
        <v>447</v>
      </c>
      <c r="B461" s="57" t="s">
        <v>134</v>
      </c>
      <c r="C461" s="61">
        <v>220.0</v>
      </c>
      <c r="D461" s="62" t="s">
        <v>25</v>
      </c>
      <c r="E461" s="81">
        <v>4.18</v>
      </c>
      <c r="F461" s="81">
        <v>0.0</v>
      </c>
      <c r="G461" s="81">
        <v>77.0</v>
      </c>
      <c r="H461" s="81">
        <v>13.2</v>
      </c>
      <c r="I461" s="81">
        <v>0.0</v>
      </c>
      <c r="J461" s="81">
        <v>1.1880000000000002</v>
      </c>
      <c r="K461" s="81">
        <v>6.6</v>
      </c>
      <c r="L461" s="81">
        <v>5.28</v>
      </c>
    </row>
    <row r="462" ht="15.75" customHeight="1">
      <c r="A462" s="53" t="s">
        <v>447</v>
      </c>
      <c r="B462" s="57" t="s">
        <v>329</v>
      </c>
      <c r="C462" s="61">
        <v>20.0</v>
      </c>
      <c r="D462" s="62" t="s">
        <v>25</v>
      </c>
      <c r="E462" s="81">
        <v>0.0</v>
      </c>
      <c r="F462" s="81">
        <v>1.6800000000000002</v>
      </c>
      <c r="G462" s="81">
        <v>9.86</v>
      </c>
      <c r="H462" s="81">
        <v>0.0</v>
      </c>
      <c r="I462" s="81">
        <v>7.960000000000001</v>
      </c>
      <c r="J462" s="81">
        <v>0.0</v>
      </c>
      <c r="K462" s="81">
        <v>0.0</v>
      </c>
      <c r="L462" s="81">
        <v>4.9399999999999995</v>
      </c>
    </row>
    <row r="463" ht="15.75" customHeight="1">
      <c r="A463" s="53" t="s">
        <v>447</v>
      </c>
      <c r="B463" s="57" t="s">
        <v>94</v>
      </c>
      <c r="C463" s="61">
        <v>100.0</v>
      </c>
      <c r="D463" s="62" t="s">
        <v>25</v>
      </c>
      <c r="E463" s="81">
        <v>0.4</v>
      </c>
      <c r="F463" s="81">
        <v>100.0</v>
      </c>
      <c r="G463" s="81">
        <v>0.0</v>
      </c>
      <c r="H463" s="81">
        <v>0.0</v>
      </c>
      <c r="I463" s="81">
        <v>0.0</v>
      </c>
      <c r="J463" s="81">
        <v>100.0</v>
      </c>
      <c r="K463" s="81">
        <v>100.0</v>
      </c>
      <c r="L463" s="81">
        <v>0.0</v>
      </c>
    </row>
    <row r="464" ht="15.75" customHeight="1">
      <c r="A464" s="53" t="s">
        <v>447</v>
      </c>
      <c r="B464" s="57" t="s">
        <v>63</v>
      </c>
      <c r="C464" s="61">
        <v>65.0</v>
      </c>
      <c r="D464" s="62" t="s">
        <v>25</v>
      </c>
      <c r="E464" s="81">
        <v>2.08</v>
      </c>
      <c r="F464" s="81">
        <v>59.800000000000004</v>
      </c>
      <c r="G464" s="81">
        <v>0.0</v>
      </c>
      <c r="H464" s="81">
        <v>0.0</v>
      </c>
      <c r="I464" s="81">
        <v>0.0</v>
      </c>
      <c r="J464" s="81">
        <v>48.1</v>
      </c>
      <c r="K464" s="81">
        <v>117.0</v>
      </c>
      <c r="L464" s="81">
        <v>0.0</v>
      </c>
    </row>
    <row r="465" ht="15.75" customHeight="1">
      <c r="A465" s="53" t="s">
        <v>447</v>
      </c>
      <c r="B465" s="57" t="s">
        <v>74</v>
      </c>
      <c r="C465" s="61">
        <v>19.0</v>
      </c>
      <c r="D465" s="62" t="s">
        <v>25</v>
      </c>
      <c r="E465" s="81">
        <v>0.722</v>
      </c>
      <c r="F465" s="81">
        <v>18.05</v>
      </c>
      <c r="G465" s="81">
        <v>0.0</v>
      </c>
      <c r="H465" s="81">
        <v>0.0</v>
      </c>
      <c r="I465" s="81">
        <v>0.0</v>
      </c>
      <c r="J465" s="81">
        <v>7.6000000000000005</v>
      </c>
      <c r="K465" s="81">
        <v>13.299999999999999</v>
      </c>
      <c r="L465" s="81">
        <v>0.0</v>
      </c>
    </row>
    <row r="466" ht="15.75" customHeight="1">
      <c r="A466" s="53" t="s">
        <v>447</v>
      </c>
      <c r="B466" s="57" t="s">
        <v>135</v>
      </c>
      <c r="C466" s="61">
        <v>38.0</v>
      </c>
      <c r="D466" s="62" t="s">
        <v>25</v>
      </c>
      <c r="E466" s="81">
        <v>2.052</v>
      </c>
      <c r="F466" s="81">
        <v>0.0</v>
      </c>
      <c r="G466" s="81">
        <v>0.0</v>
      </c>
      <c r="H466" s="81">
        <v>36.86</v>
      </c>
      <c r="I466" s="81">
        <v>0.0</v>
      </c>
      <c r="J466" s="81">
        <v>3.04</v>
      </c>
      <c r="K466" s="81">
        <v>19.0</v>
      </c>
      <c r="L466" s="81">
        <v>13.68</v>
      </c>
    </row>
    <row r="467" ht="15.75" customHeight="1">
      <c r="A467" s="53" t="s">
        <v>447</v>
      </c>
      <c r="B467" s="57" t="s">
        <v>139</v>
      </c>
      <c r="C467" s="61">
        <v>5.0</v>
      </c>
      <c r="D467" s="62" t="s">
        <v>25</v>
      </c>
      <c r="E467" s="81">
        <v>1.0</v>
      </c>
      <c r="F467" s="81">
        <v>0.0</v>
      </c>
      <c r="G467" s="81">
        <v>0.0</v>
      </c>
      <c r="H467" s="81">
        <v>0.0</v>
      </c>
      <c r="I467" s="81">
        <v>5.0</v>
      </c>
      <c r="J467" s="81">
        <v>0.0</v>
      </c>
      <c r="K467" s="81">
        <v>0.0</v>
      </c>
      <c r="L467" s="81">
        <v>0.0</v>
      </c>
    </row>
    <row r="468" ht="15.75" customHeight="1">
      <c r="A468" s="53" t="s">
        <v>447</v>
      </c>
      <c r="B468" s="57" t="s">
        <v>132</v>
      </c>
      <c r="C468" s="61">
        <v>80.0</v>
      </c>
      <c r="D468" s="62" t="s">
        <v>25</v>
      </c>
      <c r="E468" s="81">
        <v>14.8</v>
      </c>
      <c r="F468" s="81">
        <v>36.0</v>
      </c>
      <c r="G468" s="81">
        <v>28.799999999999997</v>
      </c>
      <c r="H468" s="81">
        <v>10.0</v>
      </c>
      <c r="I468" s="81">
        <v>5.2</v>
      </c>
      <c r="J468" s="81">
        <v>48.8</v>
      </c>
      <c r="K468" s="81">
        <v>40.8</v>
      </c>
      <c r="L468" s="81">
        <v>7.199999999999999</v>
      </c>
    </row>
    <row r="469" ht="15.75" customHeight="1">
      <c r="A469" s="53" t="s">
        <v>449</v>
      </c>
      <c r="B469" s="57" t="s">
        <v>58</v>
      </c>
      <c r="C469" s="149">
        <v>711.0</v>
      </c>
      <c r="D469" s="62" t="s">
        <v>25</v>
      </c>
      <c r="E469" s="81">
        <v>3.2706</v>
      </c>
      <c r="F469" s="81">
        <v>0.0</v>
      </c>
      <c r="G469" s="81">
        <v>24.885</v>
      </c>
      <c r="H469" s="81">
        <v>63.989999999999995</v>
      </c>
      <c r="I469" s="81">
        <v>0.0</v>
      </c>
      <c r="J469" s="81">
        <v>5.5458</v>
      </c>
      <c r="K469" s="81">
        <v>28.44</v>
      </c>
      <c r="L469" s="81">
        <v>24.885</v>
      </c>
    </row>
    <row r="470" ht="15.75" customHeight="1">
      <c r="A470" s="53" t="s">
        <v>449</v>
      </c>
      <c r="B470" s="57" t="s">
        <v>134</v>
      </c>
      <c r="C470" s="149">
        <v>45.0</v>
      </c>
      <c r="D470" s="62" t="s">
        <v>25</v>
      </c>
      <c r="E470" s="81">
        <v>0.855</v>
      </c>
      <c r="F470" s="81">
        <v>0.0</v>
      </c>
      <c r="G470" s="81">
        <v>15.749999999999998</v>
      </c>
      <c r="H470" s="81">
        <v>2.6999999999999997</v>
      </c>
      <c r="I470" s="81">
        <v>0.0</v>
      </c>
      <c r="J470" s="81">
        <v>0.24300000000000002</v>
      </c>
      <c r="K470" s="81">
        <v>1.3499999999999999</v>
      </c>
      <c r="L470" s="81">
        <v>1.08</v>
      </c>
    </row>
    <row r="471" ht="15.75" customHeight="1">
      <c r="A471" s="53" t="s">
        <v>449</v>
      </c>
      <c r="B471" s="57" t="s">
        <v>94</v>
      </c>
      <c r="C471" s="149">
        <v>145.0</v>
      </c>
      <c r="D471" s="62" t="s">
        <v>25</v>
      </c>
      <c r="E471" s="81">
        <v>0.58</v>
      </c>
      <c r="F471" s="81">
        <v>145.0</v>
      </c>
      <c r="G471" s="81">
        <v>0.0</v>
      </c>
      <c r="H471" s="81">
        <v>0.0</v>
      </c>
      <c r="I471" s="81">
        <v>0.0</v>
      </c>
      <c r="J471" s="81">
        <v>145.0</v>
      </c>
      <c r="K471" s="81">
        <v>145.0</v>
      </c>
      <c r="L471" s="81">
        <v>0.0</v>
      </c>
    </row>
    <row r="472" ht="15.75" customHeight="1">
      <c r="A472" s="53" t="s">
        <v>449</v>
      </c>
      <c r="B472" s="57" t="s">
        <v>74</v>
      </c>
      <c r="C472" s="149">
        <v>35.0</v>
      </c>
      <c r="D472" s="62" t="s">
        <v>25</v>
      </c>
      <c r="E472" s="81">
        <v>1.33</v>
      </c>
      <c r="F472" s="81">
        <v>33.25</v>
      </c>
      <c r="G472" s="81">
        <v>0.0</v>
      </c>
      <c r="H472" s="81">
        <v>0.0</v>
      </c>
      <c r="I472" s="81">
        <v>0.0</v>
      </c>
      <c r="J472" s="81">
        <v>14.0</v>
      </c>
      <c r="K472" s="81">
        <v>24.5</v>
      </c>
      <c r="L472" s="81">
        <v>0.0</v>
      </c>
    </row>
    <row r="473" ht="15.75" customHeight="1">
      <c r="A473" s="53" t="s">
        <v>449</v>
      </c>
      <c r="B473" s="57" t="s">
        <v>135</v>
      </c>
      <c r="C473" s="149">
        <v>59.0</v>
      </c>
      <c r="D473" s="62" t="s">
        <v>25</v>
      </c>
      <c r="E473" s="81">
        <v>3.186</v>
      </c>
      <c r="F473" s="81">
        <v>0.0</v>
      </c>
      <c r="G473" s="81">
        <v>0.0</v>
      </c>
      <c r="H473" s="81">
        <v>57.23</v>
      </c>
      <c r="I473" s="81">
        <v>0.0</v>
      </c>
      <c r="J473" s="81">
        <v>4.72</v>
      </c>
      <c r="K473" s="81">
        <v>29.5</v>
      </c>
      <c r="L473" s="81">
        <v>21.24</v>
      </c>
    </row>
    <row r="474" ht="15.75" customHeight="1">
      <c r="A474" s="53" t="s">
        <v>449</v>
      </c>
      <c r="B474" s="57" t="s">
        <v>139</v>
      </c>
      <c r="C474" s="149">
        <v>5.52</v>
      </c>
      <c r="D474" s="62" t="s">
        <v>25</v>
      </c>
      <c r="E474" s="81">
        <v>1.104</v>
      </c>
      <c r="F474" s="81">
        <v>0.0</v>
      </c>
      <c r="G474" s="81">
        <v>0.0</v>
      </c>
      <c r="H474" s="81">
        <v>0.0</v>
      </c>
      <c r="I474" s="81">
        <v>5.52</v>
      </c>
      <c r="J474" s="81">
        <v>0.0</v>
      </c>
      <c r="K474" s="81">
        <v>0.0</v>
      </c>
      <c r="L474" s="81">
        <v>0.0</v>
      </c>
    </row>
    <row r="475" ht="15.75" customHeight="1">
      <c r="A475" s="53" t="s">
        <v>451</v>
      </c>
      <c r="B475" s="57" t="s">
        <v>58</v>
      </c>
      <c r="C475" s="149">
        <v>658.0</v>
      </c>
      <c r="D475" s="62" t="s">
        <v>25</v>
      </c>
      <c r="E475" s="81">
        <v>3.0267999999999997</v>
      </c>
      <c r="F475" s="81">
        <v>0.0</v>
      </c>
      <c r="G475" s="81">
        <v>23.03</v>
      </c>
      <c r="H475" s="81">
        <v>59.22</v>
      </c>
      <c r="I475" s="81">
        <v>0.0</v>
      </c>
      <c r="J475" s="81">
        <v>5.1324</v>
      </c>
      <c r="K475" s="81">
        <v>26.32</v>
      </c>
      <c r="L475" s="81">
        <v>23.03</v>
      </c>
    </row>
    <row r="476" ht="15.75" customHeight="1">
      <c r="A476" s="53" t="s">
        <v>451</v>
      </c>
      <c r="B476" s="57" t="s">
        <v>134</v>
      </c>
      <c r="C476" s="149">
        <v>35.0</v>
      </c>
      <c r="D476" s="62" t="s">
        <v>25</v>
      </c>
      <c r="E476" s="81">
        <v>0.665</v>
      </c>
      <c r="F476" s="81">
        <v>0.0</v>
      </c>
      <c r="G476" s="81">
        <v>12.25</v>
      </c>
      <c r="H476" s="81">
        <v>2.1</v>
      </c>
      <c r="I476" s="81">
        <v>0.0</v>
      </c>
      <c r="J476" s="81">
        <v>0.189</v>
      </c>
      <c r="K476" s="81">
        <v>1.05</v>
      </c>
      <c r="L476" s="81">
        <v>0.84</v>
      </c>
    </row>
    <row r="477" ht="15.75" customHeight="1">
      <c r="A477" s="53" t="s">
        <v>451</v>
      </c>
      <c r="B477" s="57" t="s">
        <v>94</v>
      </c>
      <c r="C477" s="149">
        <v>139.0</v>
      </c>
      <c r="D477" s="62" t="s">
        <v>25</v>
      </c>
      <c r="E477" s="81">
        <v>0.556</v>
      </c>
      <c r="F477" s="81">
        <v>139.0</v>
      </c>
      <c r="G477" s="81">
        <v>0.0</v>
      </c>
      <c r="H477" s="81">
        <v>0.0</v>
      </c>
      <c r="I477" s="81">
        <v>0.0</v>
      </c>
      <c r="J477" s="81">
        <v>139.0</v>
      </c>
      <c r="K477" s="81">
        <v>139.0</v>
      </c>
      <c r="L477" s="81">
        <v>0.0</v>
      </c>
    </row>
    <row r="478" ht="15.75" customHeight="1">
      <c r="A478" s="53" t="s">
        <v>451</v>
      </c>
      <c r="B478" s="57" t="s">
        <v>74</v>
      </c>
      <c r="C478" s="149">
        <v>27.0</v>
      </c>
      <c r="D478" s="62" t="s">
        <v>25</v>
      </c>
      <c r="E478" s="81">
        <v>1.026</v>
      </c>
      <c r="F478" s="81">
        <v>25.65</v>
      </c>
      <c r="G478" s="81">
        <v>0.0</v>
      </c>
      <c r="H478" s="81">
        <v>0.0</v>
      </c>
      <c r="I478" s="81">
        <v>0.0</v>
      </c>
      <c r="J478" s="81">
        <v>10.8</v>
      </c>
      <c r="K478" s="81">
        <v>18.9</v>
      </c>
      <c r="L478" s="81">
        <v>0.0</v>
      </c>
    </row>
    <row r="479" ht="15.75" customHeight="1">
      <c r="A479" s="53" t="s">
        <v>451</v>
      </c>
      <c r="B479" s="57" t="s">
        <v>135</v>
      </c>
      <c r="C479" s="149">
        <v>46.0</v>
      </c>
      <c r="D479" s="62" t="s">
        <v>25</v>
      </c>
      <c r="E479" s="81">
        <v>2.484</v>
      </c>
      <c r="F479" s="81">
        <v>0.0</v>
      </c>
      <c r="G479" s="81">
        <v>0.0</v>
      </c>
      <c r="H479" s="81">
        <v>44.62</v>
      </c>
      <c r="I479" s="81">
        <v>0.0</v>
      </c>
      <c r="J479" s="81">
        <v>3.68</v>
      </c>
      <c r="K479" s="81">
        <v>23.0</v>
      </c>
      <c r="L479" s="81">
        <v>16.56</v>
      </c>
    </row>
    <row r="480" ht="15.75" customHeight="1">
      <c r="A480" s="53" t="s">
        <v>451</v>
      </c>
      <c r="B480" s="57" t="s">
        <v>139</v>
      </c>
      <c r="C480" s="149">
        <v>4.28</v>
      </c>
      <c r="D480" s="62" t="s">
        <v>25</v>
      </c>
      <c r="E480" s="81">
        <v>0.856</v>
      </c>
      <c r="F480" s="81">
        <v>0.0</v>
      </c>
      <c r="G480" s="81">
        <v>0.0</v>
      </c>
      <c r="H480" s="81">
        <v>0.0</v>
      </c>
      <c r="I480" s="81">
        <v>4.28</v>
      </c>
      <c r="J480" s="81">
        <v>0.0</v>
      </c>
      <c r="K480" s="81">
        <v>0.0</v>
      </c>
      <c r="L480" s="81">
        <v>0.0</v>
      </c>
    </row>
    <row r="481" ht="15.75" customHeight="1">
      <c r="A481" s="53" t="s">
        <v>451</v>
      </c>
      <c r="B481" s="57" t="s">
        <v>206</v>
      </c>
      <c r="C481" s="149">
        <v>91.0</v>
      </c>
      <c r="D481" s="62" t="s">
        <v>25</v>
      </c>
      <c r="E481" s="81">
        <v>26.39</v>
      </c>
      <c r="F481" s="81">
        <v>4.095</v>
      </c>
      <c r="G481" s="81">
        <v>50.96000000000001</v>
      </c>
      <c r="H481" s="81">
        <v>0.0</v>
      </c>
      <c r="I481" s="81">
        <v>35.945</v>
      </c>
      <c r="J481" s="81">
        <v>0.0</v>
      </c>
      <c r="K481" s="81">
        <v>0.0</v>
      </c>
      <c r="L481" s="81">
        <v>11.83</v>
      </c>
    </row>
    <row r="482" ht="15.75" customHeight="1">
      <c r="A482" s="53" t="s">
        <v>453</v>
      </c>
      <c r="B482" s="57" t="s">
        <v>58</v>
      </c>
      <c r="C482" s="149">
        <v>465.0</v>
      </c>
      <c r="D482" s="62" t="s">
        <v>25</v>
      </c>
      <c r="E482" s="81">
        <v>2.139</v>
      </c>
      <c r="F482" s="81">
        <v>0.0</v>
      </c>
      <c r="G482" s="81">
        <v>16.275000000000002</v>
      </c>
      <c r="H482" s="81">
        <v>41.85</v>
      </c>
      <c r="I482" s="81">
        <v>0.0</v>
      </c>
      <c r="J482" s="81">
        <v>3.627</v>
      </c>
      <c r="K482" s="81">
        <v>18.6</v>
      </c>
      <c r="L482" s="81">
        <v>16.275000000000002</v>
      </c>
    </row>
    <row r="483" ht="15.75" customHeight="1">
      <c r="A483" s="53" t="s">
        <v>453</v>
      </c>
      <c r="B483" s="57" t="s">
        <v>14</v>
      </c>
      <c r="C483" s="149">
        <v>145.0</v>
      </c>
      <c r="D483" s="62" t="s">
        <v>25</v>
      </c>
      <c r="E483" s="81">
        <v>0.0</v>
      </c>
      <c r="F483" s="81">
        <v>0.0</v>
      </c>
      <c r="G483" s="81">
        <v>0.0</v>
      </c>
      <c r="H483" s="81">
        <v>0.0</v>
      </c>
      <c r="I483" s="81">
        <v>0.0</v>
      </c>
      <c r="J483" s="81">
        <v>0.0</v>
      </c>
      <c r="K483" s="81">
        <v>0.0</v>
      </c>
      <c r="L483" s="81">
        <v>0.0</v>
      </c>
    </row>
    <row r="484" ht="15.75" customHeight="1">
      <c r="A484" s="53" t="s">
        <v>453</v>
      </c>
      <c r="B484" s="57" t="s">
        <v>134</v>
      </c>
      <c r="C484" s="149">
        <v>59.0</v>
      </c>
      <c r="D484" s="62" t="s">
        <v>25</v>
      </c>
      <c r="E484" s="81">
        <v>1.121</v>
      </c>
      <c r="F484" s="81">
        <v>0.0</v>
      </c>
      <c r="G484" s="81">
        <v>20.65</v>
      </c>
      <c r="H484" s="81">
        <v>3.54</v>
      </c>
      <c r="I484" s="81">
        <v>0.0</v>
      </c>
      <c r="J484" s="81">
        <v>0.3186</v>
      </c>
      <c r="K484" s="81">
        <v>1.77</v>
      </c>
      <c r="L484" s="81">
        <v>1.416</v>
      </c>
    </row>
    <row r="485" ht="15.75" customHeight="1">
      <c r="A485" s="53" t="s">
        <v>453</v>
      </c>
      <c r="B485" s="57" t="s">
        <v>94</v>
      </c>
      <c r="C485" s="149">
        <v>133.0</v>
      </c>
      <c r="D485" s="62" t="s">
        <v>25</v>
      </c>
      <c r="E485" s="81">
        <v>0.532</v>
      </c>
      <c r="F485" s="81">
        <v>133.0</v>
      </c>
      <c r="G485" s="81">
        <v>0.0</v>
      </c>
      <c r="H485" s="81">
        <v>0.0</v>
      </c>
      <c r="I485" s="81">
        <v>0.0</v>
      </c>
      <c r="J485" s="81">
        <v>133.0</v>
      </c>
      <c r="K485" s="81">
        <v>133.0</v>
      </c>
      <c r="L485" s="81">
        <v>0.0</v>
      </c>
    </row>
    <row r="486" ht="15.75" customHeight="1">
      <c r="A486" s="53" t="s">
        <v>453</v>
      </c>
      <c r="B486" s="57" t="s">
        <v>63</v>
      </c>
      <c r="C486" s="149">
        <v>32.0</v>
      </c>
      <c r="D486" s="62" t="s">
        <v>25</v>
      </c>
      <c r="E486" s="81">
        <v>1.024</v>
      </c>
      <c r="F486" s="81">
        <v>29.44</v>
      </c>
      <c r="G486" s="81">
        <v>0.0</v>
      </c>
      <c r="H486" s="81">
        <v>0.0</v>
      </c>
      <c r="I486" s="81">
        <v>0.0</v>
      </c>
      <c r="J486" s="81">
        <v>23.68</v>
      </c>
      <c r="K486" s="81">
        <v>57.6</v>
      </c>
      <c r="L486" s="81">
        <v>0.0</v>
      </c>
    </row>
    <row r="487" ht="15.75" customHeight="1">
      <c r="A487" s="53" t="s">
        <v>453</v>
      </c>
      <c r="B487" s="57" t="s">
        <v>74</v>
      </c>
      <c r="C487" s="149">
        <v>23.0</v>
      </c>
      <c r="D487" s="62" t="s">
        <v>25</v>
      </c>
      <c r="E487" s="81">
        <v>0.874</v>
      </c>
      <c r="F487" s="81">
        <v>21.849999999999998</v>
      </c>
      <c r="G487" s="81">
        <v>0.0</v>
      </c>
      <c r="H487" s="81">
        <v>0.0</v>
      </c>
      <c r="I487" s="81">
        <v>0.0</v>
      </c>
      <c r="J487" s="81">
        <v>9.200000000000001</v>
      </c>
      <c r="K487" s="81">
        <v>16.099999999999998</v>
      </c>
      <c r="L487" s="81">
        <v>0.0</v>
      </c>
    </row>
    <row r="488" ht="15.75" customHeight="1">
      <c r="A488" s="53" t="s">
        <v>453</v>
      </c>
      <c r="B488" s="57" t="s">
        <v>135</v>
      </c>
      <c r="C488" s="149">
        <v>38.0</v>
      </c>
      <c r="D488" s="62" t="s">
        <v>25</v>
      </c>
      <c r="E488" s="81">
        <v>2.052</v>
      </c>
      <c r="F488" s="81">
        <v>0.0</v>
      </c>
      <c r="G488" s="81">
        <v>0.0</v>
      </c>
      <c r="H488" s="81">
        <v>36.86</v>
      </c>
      <c r="I488" s="81">
        <v>0.0</v>
      </c>
      <c r="J488" s="81">
        <v>3.04</v>
      </c>
      <c r="K488" s="81">
        <v>19.0</v>
      </c>
      <c r="L488" s="81">
        <v>13.68</v>
      </c>
    </row>
    <row r="489" ht="15.75" customHeight="1">
      <c r="A489" s="53" t="s">
        <v>453</v>
      </c>
      <c r="B489" s="57" t="s">
        <v>139</v>
      </c>
      <c r="C489" s="149">
        <v>3.61</v>
      </c>
      <c r="D489" s="62" t="s">
        <v>25</v>
      </c>
      <c r="E489" s="81">
        <v>0.722</v>
      </c>
      <c r="F489" s="81">
        <v>0.0</v>
      </c>
      <c r="G489" s="81">
        <v>0.0</v>
      </c>
      <c r="H489" s="81">
        <v>0.0</v>
      </c>
      <c r="I489" s="81">
        <v>3.61</v>
      </c>
      <c r="J489" s="81">
        <v>0.0</v>
      </c>
      <c r="K489" s="81">
        <v>0.0</v>
      </c>
      <c r="L489" s="81">
        <v>0.0</v>
      </c>
    </row>
    <row r="490" ht="15.75" customHeight="1">
      <c r="A490" s="53" t="s">
        <v>453</v>
      </c>
      <c r="B490" s="57" t="s">
        <v>208</v>
      </c>
      <c r="C490" s="149">
        <v>54.0</v>
      </c>
      <c r="D490" s="62" t="s">
        <v>25</v>
      </c>
      <c r="E490" s="81">
        <v>11.61</v>
      </c>
      <c r="F490" s="81">
        <v>0.0</v>
      </c>
      <c r="G490" s="81">
        <v>11.88</v>
      </c>
      <c r="H490" s="81">
        <v>0.0</v>
      </c>
      <c r="I490" s="81">
        <v>38.879999999999995</v>
      </c>
      <c r="J490" s="81">
        <v>0.0</v>
      </c>
      <c r="K490" s="81">
        <v>0.0</v>
      </c>
      <c r="L490" s="81">
        <v>9.719999999999999</v>
      </c>
    </row>
    <row r="491" ht="15.75" customHeight="1">
      <c r="A491" s="53" t="s">
        <v>453</v>
      </c>
      <c r="B491" s="57" t="s">
        <v>155</v>
      </c>
      <c r="C491" s="149">
        <v>47.0</v>
      </c>
      <c r="D491" s="62" t="s">
        <v>25</v>
      </c>
      <c r="E491" s="81">
        <v>8.225</v>
      </c>
      <c r="F491" s="81">
        <v>14.1</v>
      </c>
      <c r="G491" s="81">
        <v>17.86</v>
      </c>
      <c r="H491" s="81">
        <v>0.0</v>
      </c>
      <c r="I491" s="81">
        <v>15.040000000000001</v>
      </c>
      <c r="J491" s="81">
        <v>27.259999999999998</v>
      </c>
      <c r="K491" s="81">
        <v>0.0</v>
      </c>
      <c r="L491" s="81">
        <v>2.35</v>
      </c>
    </row>
    <row r="492" ht="15.75" customHeight="1">
      <c r="A492" s="213" t="s">
        <v>456</v>
      </c>
      <c r="B492" s="214" t="s">
        <v>57</v>
      </c>
      <c r="C492" s="149">
        <v>551.0</v>
      </c>
      <c r="D492" s="215" t="s">
        <v>25</v>
      </c>
      <c r="E492" s="81">
        <v>6.820909952606636</v>
      </c>
      <c r="F492" s="81">
        <v>133.70236966824646</v>
      </c>
      <c r="G492" s="81">
        <v>33.16445497630332</v>
      </c>
      <c r="H492" s="81">
        <v>56.82350710900474</v>
      </c>
      <c r="I492" s="81">
        <v>17.47009478672986</v>
      </c>
      <c r="J492" s="81">
        <v>133.24276777251185</v>
      </c>
      <c r="K492" s="81">
        <v>165.0388625592417</v>
      </c>
      <c r="L492" s="81">
        <v>37.73436018957346</v>
      </c>
    </row>
    <row r="493" ht="15.75" customHeight="1">
      <c r="A493" s="213" t="s">
        <v>456</v>
      </c>
      <c r="B493" s="214" t="s">
        <v>58</v>
      </c>
      <c r="C493" s="149">
        <v>190.0</v>
      </c>
      <c r="D493" s="215" t="s">
        <v>25</v>
      </c>
      <c r="E493" s="81">
        <v>0.8739999999999999</v>
      </c>
      <c r="F493" s="81">
        <v>0.0</v>
      </c>
      <c r="G493" s="81">
        <v>6.65</v>
      </c>
      <c r="H493" s="81">
        <v>17.099999999999998</v>
      </c>
      <c r="I493" s="81">
        <v>0.0</v>
      </c>
      <c r="J493" s="81">
        <v>1.482</v>
      </c>
      <c r="K493" s="81">
        <v>7.6000000000000005</v>
      </c>
      <c r="L493" s="81">
        <v>6.65</v>
      </c>
    </row>
    <row r="494" ht="15.75" customHeight="1">
      <c r="A494" s="213" t="s">
        <v>456</v>
      </c>
      <c r="B494" s="214" t="s">
        <v>99</v>
      </c>
      <c r="C494" s="149">
        <v>150.0</v>
      </c>
      <c r="D494" s="215" t="s">
        <v>25</v>
      </c>
      <c r="E494" s="81">
        <v>1.875</v>
      </c>
      <c r="F494" s="81">
        <v>0.0</v>
      </c>
      <c r="G494" s="81">
        <v>25.500000000000004</v>
      </c>
      <c r="H494" s="81">
        <v>10.500000000000002</v>
      </c>
      <c r="I494" s="81">
        <v>0.0</v>
      </c>
      <c r="J494" s="81">
        <v>0.81</v>
      </c>
      <c r="K494" s="81">
        <v>4.5</v>
      </c>
      <c r="L494" s="81">
        <v>3.6</v>
      </c>
    </row>
    <row r="495" ht="15.75" customHeight="1">
      <c r="A495" s="213" t="s">
        <v>456</v>
      </c>
      <c r="B495" s="214" t="s">
        <v>71</v>
      </c>
      <c r="C495" s="149">
        <v>50.0</v>
      </c>
      <c r="D495" s="215" t="s">
        <v>25</v>
      </c>
      <c r="E495" s="81">
        <v>1.0125</v>
      </c>
      <c r="F495" s="81">
        <v>22.0</v>
      </c>
      <c r="G495" s="81">
        <v>4.0</v>
      </c>
      <c r="H495" s="81">
        <v>9.1</v>
      </c>
      <c r="I495" s="81">
        <v>0.8999999999999999</v>
      </c>
      <c r="J495" s="81">
        <v>21.5</v>
      </c>
      <c r="K495" s="81">
        <v>27.500000000000004</v>
      </c>
      <c r="L495" s="81">
        <v>4.0</v>
      </c>
    </row>
    <row r="496" ht="15.75" customHeight="1">
      <c r="A496" s="213" t="s">
        <v>456</v>
      </c>
      <c r="B496" s="214" t="s">
        <v>63</v>
      </c>
      <c r="C496" s="149">
        <v>35.0</v>
      </c>
      <c r="D496" s="215" t="s">
        <v>25</v>
      </c>
      <c r="E496" s="81">
        <v>1.12</v>
      </c>
      <c r="F496" s="81">
        <v>32.2</v>
      </c>
      <c r="G496" s="81">
        <v>0.0</v>
      </c>
      <c r="H496" s="81">
        <v>0.0</v>
      </c>
      <c r="I496" s="81">
        <v>0.0</v>
      </c>
      <c r="J496" s="81">
        <v>25.9</v>
      </c>
      <c r="K496" s="81">
        <v>63.0</v>
      </c>
      <c r="L496" s="81">
        <v>0.0</v>
      </c>
    </row>
    <row r="497" ht="15.75" customHeight="1">
      <c r="A497" s="213" t="s">
        <v>456</v>
      </c>
      <c r="B497" s="214" t="s">
        <v>170</v>
      </c>
      <c r="C497" s="149">
        <v>20.0</v>
      </c>
      <c r="D497" s="215" t="s">
        <v>25</v>
      </c>
      <c r="E497" s="81">
        <v>1.9</v>
      </c>
      <c r="F497" s="81">
        <v>0.0</v>
      </c>
      <c r="G497" s="81">
        <v>0.0</v>
      </c>
      <c r="H497" s="81">
        <v>0.0</v>
      </c>
      <c r="I497" s="81">
        <v>19.0</v>
      </c>
      <c r="J497" s="81">
        <v>0.0</v>
      </c>
      <c r="K497" s="81">
        <v>4.0</v>
      </c>
      <c r="L497" s="81">
        <v>0.0</v>
      </c>
    </row>
    <row r="498" ht="15.75" customHeight="1">
      <c r="A498" s="213" t="s">
        <v>456</v>
      </c>
      <c r="B498" s="214" t="s">
        <v>139</v>
      </c>
      <c r="C498" s="149">
        <v>3.67</v>
      </c>
      <c r="D498" s="215" t="s">
        <v>25</v>
      </c>
      <c r="E498" s="81">
        <v>0.734</v>
      </c>
      <c r="F498" s="81">
        <v>0.0</v>
      </c>
      <c r="G498" s="81">
        <v>0.0</v>
      </c>
      <c r="H498" s="81">
        <v>0.0</v>
      </c>
      <c r="I498" s="81">
        <v>3.67</v>
      </c>
      <c r="J498" s="81">
        <v>0.0</v>
      </c>
      <c r="K498" s="81">
        <v>0.0</v>
      </c>
      <c r="L498" s="81">
        <v>0.0</v>
      </c>
    </row>
    <row r="499" ht="15.75" customHeight="1">
      <c r="A499" s="228" t="s">
        <v>459</v>
      </c>
      <c r="B499" s="230" t="s">
        <v>58</v>
      </c>
      <c r="C499" s="61">
        <v>490.0</v>
      </c>
      <c r="D499" s="231" t="s">
        <v>83</v>
      </c>
      <c r="E499" s="81">
        <v>2.254</v>
      </c>
      <c r="F499" s="81">
        <v>0.0</v>
      </c>
      <c r="G499" s="81">
        <v>17.150000000000002</v>
      </c>
      <c r="H499" s="81">
        <v>44.1</v>
      </c>
      <c r="I499" s="81">
        <v>0.0</v>
      </c>
      <c r="J499" s="81">
        <v>3.8219999999999996</v>
      </c>
      <c r="K499" s="81">
        <v>19.6</v>
      </c>
      <c r="L499" s="81">
        <v>17.150000000000002</v>
      </c>
    </row>
    <row r="500" ht="15.75" customHeight="1">
      <c r="A500" s="228" t="s">
        <v>459</v>
      </c>
      <c r="B500" s="230" t="s">
        <v>351</v>
      </c>
      <c r="C500" s="61">
        <v>175.0</v>
      </c>
      <c r="D500" s="231" t="s">
        <v>83</v>
      </c>
      <c r="E500" s="81">
        <v>0.0</v>
      </c>
      <c r="F500" s="81">
        <v>12.250000000000002</v>
      </c>
      <c r="G500" s="81">
        <v>0.0</v>
      </c>
      <c r="H500" s="81">
        <v>0.0</v>
      </c>
      <c r="I500" s="81">
        <v>7.0</v>
      </c>
      <c r="J500" s="81">
        <v>12.250000000000002</v>
      </c>
      <c r="K500" s="81">
        <v>28.0</v>
      </c>
      <c r="L500" s="81">
        <v>0.525</v>
      </c>
    </row>
    <row r="501" ht="15.75" customHeight="1">
      <c r="A501" s="228" t="s">
        <v>459</v>
      </c>
      <c r="B501" s="230" t="s">
        <v>134</v>
      </c>
      <c r="C501" s="61">
        <v>100.0</v>
      </c>
      <c r="D501" s="231" t="s">
        <v>83</v>
      </c>
      <c r="E501" s="81">
        <v>1.9</v>
      </c>
      <c r="F501" s="81">
        <v>0.0</v>
      </c>
      <c r="G501" s="81">
        <v>35.0</v>
      </c>
      <c r="H501" s="81">
        <v>6.0</v>
      </c>
      <c r="I501" s="81">
        <v>0.0</v>
      </c>
      <c r="J501" s="81">
        <v>0.54</v>
      </c>
      <c r="K501" s="81">
        <v>3.0</v>
      </c>
      <c r="L501" s="81">
        <v>2.4</v>
      </c>
    </row>
    <row r="502" ht="15.75" customHeight="1">
      <c r="A502" s="228" t="s">
        <v>459</v>
      </c>
      <c r="B502" s="230" t="s">
        <v>135</v>
      </c>
      <c r="C502" s="61">
        <v>55.0</v>
      </c>
      <c r="D502" s="231" t="s">
        <v>83</v>
      </c>
      <c r="E502" s="81">
        <v>2.97</v>
      </c>
      <c r="F502" s="81">
        <v>0.0</v>
      </c>
      <c r="G502" s="81">
        <v>0.0</v>
      </c>
      <c r="H502" s="81">
        <v>53.35</v>
      </c>
      <c r="I502" s="81">
        <v>0.0</v>
      </c>
      <c r="J502" s="81">
        <v>4.4</v>
      </c>
      <c r="K502" s="81">
        <v>27.5</v>
      </c>
      <c r="L502" s="81">
        <v>19.8</v>
      </c>
    </row>
    <row r="503" ht="15.75" customHeight="1">
      <c r="A503" s="228" t="s">
        <v>459</v>
      </c>
      <c r="B503" s="230" t="s">
        <v>94</v>
      </c>
      <c r="C503" s="61">
        <v>115.0</v>
      </c>
      <c r="D503" s="231" t="s">
        <v>83</v>
      </c>
      <c r="E503" s="81">
        <v>0.46</v>
      </c>
      <c r="F503" s="81">
        <v>115.0</v>
      </c>
      <c r="G503" s="81">
        <v>0.0</v>
      </c>
      <c r="H503" s="81">
        <v>0.0</v>
      </c>
      <c r="I503" s="81">
        <v>0.0</v>
      </c>
      <c r="J503" s="81">
        <v>115.0</v>
      </c>
      <c r="K503" s="81">
        <v>115.0</v>
      </c>
      <c r="L503" s="81">
        <v>0.0</v>
      </c>
    </row>
    <row r="504" ht="15.75" customHeight="1">
      <c r="A504" s="228" t="s">
        <v>459</v>
      </c>
      <c r="B504" s="230" t="s">
        <v>63</v>
      </c>
      <c r="C504" s="61">
        <v>30.0</v>
      </c>
      <c r="D504" s="231" t="s">
        <v>83</v>
      </c>
      <c r="E504" s="81">
        <v>0.96</v>
      </c>
      <c r="F504" s="81">
        <v>27.6</v>
      </c>
      <c r="G504" s="81">
        <v>0.0</v>
      </c>
      <c r="H504" s="81">
        <v>0.0</v>
      </c>
      <c r="I504" s="81">
        <v>0.0</v>
      </c>
      <c r="J504" s="81">
        <v>22.2</v>
      </c>
      <c r="K504" s="81">
        <v>54.0</v>
      </c>
      <c r="L504" s="81">
        <v>0.0</v>
      </c>
    </row>
    <row r="505" ht="15.75" customHeight="1">
      <c r="A505" s="228" t="s">
        <v>459</v>
      </c>
      <c r="B505" s="230" t="s">
        <v>170</v>
      </c>
      <c r="C505" s="61">
        <v>15.0</v>
      </c>
      <c r="D505" s="231" t="s">
        <v>83</v>
      </c>
      <c r="E505" s="81">
        <v>1.425</v>
      </c>
      <c r="F505" s="81">
        <v>0.0</v>
      </c>
      <c r="G505" s="81">
        <v>0.0</v>
      </c>
      <c r="H505" s="81">
        <v>0.0</v>
      </c>
      <c r="I505" s="81">
        <v>14.25</v>
      </c>
      <c r="J505" s="81">
        <v>0.0</v>
      </c>
      <c r="K505" s="81">
        <v>3.0</v>
      </c>
      <c r="L505" s="81">
        <v>0.0</v>
      </c>
    </row>
    <row r="506" ht="15.75" customHeight="1">
      <c r="A506" s="228" t="s">
        <v>459</v>
      </c>
      <c r="B506" s="230" t="s">
        <v>74</v>
      </c>
      <c r="C506" s="61">
        <v>20.0</v>
      </c>
      <c r="D506" s="231" t="s">
        <v>83</v>
      </c>
      <c r="E506" s="81">
        <v>0.76</v>
      </c>
      <c r="F506" s="81">
        <v>19.0</v>
      </c>
      <c r="G506" s="81">
        <v>0.0</v>
      </c>
      <c r="H506" s="81">
        <v>0.0</v>
      </c>
      <c r="I506" s="81">
        <v>0.0</v>
      </c>
      <c r="J506" s="81">
        <v>8.0</v>
      </c>
      <c r="K506" s="81">
        <v>14.0</v>
      </c>
      <c r="L506" s="81">
        <v>0.0</v>
      </c>
    </row>
    <row r="507" ht="15.75" customHeight="1">
      <c r="A507" s="228" t="s">
        <v>459</v>
      </c>
      <c r="B507" s="230" t="s">
        <v>141</v>
      </c>
      <c r="C507" s="61">
        <v>1.0</v>
      </c>
      <c r="D507" s="231" t="s">
        <v>83</v>
      </c>
      <c r="E507" s="81">
        <v>0.0035</v>
      </c>
      <c r="F507" s="81">
        <v>0.0</v>
      </c>
      <c r="G507" s="81">
        <v>0.0</v>
      </c>
      <c r="H507" s="81">
        <v>0.0</v>
      </c>
      <c r="I507" s="81">
        <v>1.0</v>
      </c>
      <c r="J507" s="81">
        <v>0.0</v>
      </c>
      <c r="K507" s="81">
        <v>3.0</v>
      </c>
      <c r="L507" s="81">
        <v>0.0</v>
      </c>
    </row>
    <row r="508" ht="15.75" customHeight="1">
      <c r="A508" s="228" t="s">
        <v>459</v>
      </c>
      <c r="B508" s="230" t="s">
        <v>139</v>
      </c>
      <c r="C508" s="61">
        <v>5.0</v>
      </c>
      <c r="D508" s="231" t="s">
        <v>83</v>
      </c>
      <c r="E508" s="81">
        <v>1.0</v>
      </c>
      <c r="F508" s="81">
        <v>0.0</v>
      </c>
      <c r="G508" s="81">
        <v>0.0</v>
      </c>
      <c r="H508" s="81">
        <v>0.0</v>
      </c>
      <c r="I508" s="81">
        <v>5.0</v>
      </c>
      <c r="J508" s="81">
        <v>0.0</v>
      </c>
      <c r="K508" s="81">
        <v>0.0</v>
      </c>
      <c r="L508" s="81">
        <v>0.0</v>
      </c>
    </row>
    <row r="509" ht="15.75" customHeight="1">
      <c r="A509" s="228" t="s">
        <v>460</v>
      </c>
      <c r="B509" s="230" t="s">
        <v>58</v>
      </c>
      <c r="C509" s="61">
        <v>465.0</v>
      </c>
      <c r="D509" s="231" t="s">
        <v>83</v>
      </c>
      <c r="E509" s="81">
        <v>2.139</v>
      </c>
      <c r="F509" s="81">
        <v>0.0</v>
      </c>
      <c r="G509" s="81">
        <v>16.275000000000002</v>
      </c>
      <c r="H509" s="81">
        <v>41.85</v>
      </c>
      <c r="I509" s="81">
        <v>0.0</v>
      </c>
      <c r="J509" s="81">
        <v>3.627</v>
      </c>
      <c r="K509" s="81">
        <v>18.6</v>
      </c>
      <c r="L509" s="81">
        <v>16.275000000000002</v>
      </c>
    </row>
    <row r="510" ht="15.75" customHeight="1">
      <c r="A510" s="228" t="s">
        <v>460</v>
      </c>
      <c r="B510" s="230" t="s">
        <v>105</v>
      </c>
      <c r="C510" s="61">
        <v>200.0</v>
      </c>
      <c r="D510" s="231" t="s">
        <v>83</v>
      </c>
      <c r="E510" s="81">
        <v>0.0</v>
      </c>
      <c r="F510" s="81">
        <v>32.0</v>
      </c>
      <c r="G510" s="81">
        <v>0.0</v>
      </c>
      <c r="H510" s="81">
        <v>0.0</v>
      </c>
      <c r="I510" s="81">
        <v>14.000000000000002</v>
      </c>
      <c r="J510" s="81">
        <v>38.0</v>
      </c>
      <c r="K510" s="81">
        <v>46.0</v>
      </c>
      <c r="L510" s="81">
        <v>2.0</v>
      </c>
    </row>
    <row r="511" ht="15.75" customHeight="1">
      <c r="A511" s="228" t="s">
        <v>460</v>
      </c>
      <c r="B511" s="230" t="s">
        <v>134</v>
      </c>
      <c r="C511" s="61">
        <v>120.0</v>
      </c>
      <c r="D511" s="231" t="s">
        <v>83</v>
      </c>
      <c r="E511" s="81">
        <v>2.28</v>
      </c>
      <c r="F511" s="81">
        <v>0.0</v>
      </c>
      <c r="G511" s="81">
        <v>42.0</v>
      </c>
      <c r="H511" s="81">
        <v>7.199999999999999</v>
      </c>
      <c r="I511" s="81">
        <v>0.0</v>
      </c>
      <c r="J511" s="81">
        <v>0.648</v>
      </c>
      <c r="K511" s="81">
        <v>3.5999999999999996</v>
      </c>
      <c r="L511" s="81">
        <v>2.88</v>
      </c>
    </row>
    <row r="512" ht="15.75" customHeight="1">
      <c r="A512" s="228" t="s">
        <v>460</v>
      </c>
      <c r="B512" s="230" t="s">
        <v>135</v>
      </c>
      <c r="C512" s="61">
        <v>50.0</v>
      </c>
      <c r="D512" s="231" t="s">
        <v>83</v>
      </c>
      <c r="E512" s="81">
        <v>2.7</v>
      </c>
      <c r="F512" s="81">
        <v>0.0</v>
      </c>
      <c r="G512" s="81">
        <v>0.0</v>
      </c>
      <c r="H512" s="81">
        <v>48.5</v>
      </c>
      <c r="I512" s="81">
        <v>0.0</v>
      </c>
      <c r="J512" s="81">
        <v>4.0</v>
      </c>
      <c r="K512" s="81">
        <v>25.0</v>
      </c>
      <c r="L512" s="81">
        <v>18.0</v>
      </c>
    </row>
    <row r="513" ht="15.75" customHeight="1">
      <c r="A513" s="228" t="s">
        <v>460</v>
      </c>
      <c r="B513" s="230" t="s">
        <v>94</v>
      </c>
      <c r="C513" s="61">
        <v>115.0</v>
      </c>
      <c r="D513" s="231" t="s">
        <v>83</v>
      </c>
      <c r="E513" s="81">
        <v>0.46</v>
      </c>
      <c r="F513" s="81">
        <v>115.0</v>
      </c>
      <c r="G513" s="81">
        <v>0.0</v>
      </c>
      <c r="H513" s="81">
        <v>0.0</v>
      </c>
      <c r="I513" s="81">
        <v>0.0</v>
      </c>
      <c r="J513" s="81">
        <v>115.0</v>
      </c>
      <c r="K513" s="81">
        <v>115.0</v>
      </c>
      <c r="L513" s="81">
        <v>0.0</v>
      </c>
    </row>
    <row r="514" ht="15.75" customHeight="1">
      <c r="A514" s="228" t="s">
        <v>460</v>
      </c>
      <c r="B514" s="230" t="s">
        <v>63</v>
      </c>
      <c r="C514" s="61">
        <v>30.0</v>
      </c>
      <c r="D514" s="231" t="s">
        <v>83</v>
      </c>
      <c r="E514" s="81">
        <v>0.96</v>
      </c>
      <c r="F514" s="81">
        <v>27.6</v>
      </c>
      <c r="G514" s="81">
        <v>0.0</v>
      </c>
      <c r="H514" s="81">
        <v>0.0</v>
      </c>
      <c r="I514" s="81">
        <v>0.0</v>
      </c>
      <c r="J514" s="81">
        <v>22.2</v>
      </c>
      <c r="K514" s="81">
        <v>54.0</v>
      </c>
      <c r="L514" s="81">
        <v>0.0</v>
      </c>
    </row>
    <row r="515" ht="15.75" customHeight="1">
      <c r="A515" s="228" t="s">
        <v>460</v>
      </c>
      <c r="B515" s="230" t="s">
        <v>170</v>
      </c>
      <c r="C515" s="61">
        <v>15.0</v>
      </c>
      <c r="D515" s="231" t="s">
        <v>83</v>
      </c>
      <c r="E515" s="81">
        <v>1.425</v>
      </c>
      <c r="F515" s="81">
        <v>0.0</v>
      </c>
      <c r="G515" s="81">
        <v>0.0</v>
      </c>
      <c r="H515" s="81">
        <v>0.0</v>
      </c>
      <c r="I515" s="81">
        <v>14.25</v>
      </c>
      <c r="J515" s="81">
        <v>0.0</v>
      </c>
      <c r="K515" s="81">
        <v>3.0</v>
      </c>
      <c r="L515" s="81">
        <v>0.0</v>
      </c>
    </row>
    <row r="516" ht="15.75" customHeight="1">
      <c r="A516" s="228" t="s">
        <v>460</v>
      </c>
      <c r="B516" s="230" t="s">
        <v>141</v>
      </c>
      <c r="C516" s="61">
        <v>1.0</v>
      </c>
      <c r="D516" s="231" t="s">
        <v>83</v>
      </c>
      <c r="E516" s="81">
        <v>0.0035</v>
      </c>
      <c r="F516" s="81">
        <v>0.0</v>
      </c>
      <c r="G516" s="81">
        <v>0.0</v>
      </c>
      <c r="H516" s="81">
        <v>0.0</v>
      </c>
      <c r="I516" s="81">
        <v>1.0</v>
      </c>
      <c r="J516" s="81">
        <v>0.0</v>
      </c>
      <c r="K516" s="81">
        <v>3.0</v>
      </c>
      <c r="L516" s="81">
        <v>0.0</v>
      </c>
    </row>
    <row r="517" ht="15.75" customHeight="1">
      <c r="A517" s="228" t="s">
        <v>460</v>
      </c>
      <c r="B517" s="230" t="s">
        <v>139</v>
      </c>
      <c r="C517" s="61">
        <v>5.0</v>
      </c>
      <c r="D517" s="231" t="s">
        <v>83</v>
      </c>
      <c r="E517" s="81">
        <v>1.0</v>
      </c>
      <c r="F517" s="81">
        <v>0.0</v>
      </c>
      <c r="G517" s="81">
        <v>0.0</v>
      </c>
      <c r="H517" s="81">
        <v>0.0</v>
      </c>
      <c r="I517" s="81">
        <v>5.0</v>
      </c>
      <c r="J517" s="81">
        <v>0.0</v>
      </c>
      <c r="K517" s="81">
        <v>0.0</v>
      </c>
      <c r="L517" s="81">
        <v>0.0</v>
      </c>
    </row>
    <row r="518" ht="15.75" customHeight="1">
      <c r="A518" s="228" t="s">
        <v>469</v>
      </c>
      <c r="B518" s="230" t="s">
        <v>58</v>
      </c>
      <c r="C518" s="61">
        <v>165.0</v>
      </c>
      <c r="D518" s="231" t="s">
        <v>83</v>
      </c>
      <c r="E518" s="81">
        <v>0.7589999999999999</v>
      </c>
      <c r="F518" s="81">
        <v>0.0</v>
      </c>
      <c r="G518" s="81">
        <v>5.775</v>
      </c>
      <c r="H518" s="81">
        <v>14.85</v>
      </c>
      <c r="I518" s="81">
        <v>0.0</v>
      </c>
      <c r="J518" s="81">
        <v>1.287</v>
      </c>
      <c r="K518" s="81">
        <v>6.6000000000000005</v>
      </c>
      <c r="L518" s="81">
        <v>5.775</v>
      </c>
    </row>
    <row r="519" ht="15.75" customHeight="1">
      <c r="A519" s="228" t="s">
        <v>469</v>
      </c>
      <c r="B519" s="230" t="s">
        <v>358</v>
      </c>
      <c r="C519" s="61">
        <v>530.0</v>
      </c>
      <c r="D519" s="231" t="s">
        <v>83</v>
      </c>
      <c r="E519" s="81">
        <v>13.25</v>
      </c>
      <c r="F519" s="81">
        <v>26.5</v>
      </c>
      <c r="G519" s="81">
        <v>0.0</v>
      </c>
      <c r="H519" s="81">
        <v>0.0</v>
      </c>
      <c r="I519" s="81">
        <v>21.2</v>
      </c>
      <c r="J519" s="81">
        <v>50.88</v>
      </c>
      <c r="K519" s="81">
        <v>61.480000000000004</v>
      </c>
      <c r="L519" s="81">
        <v>5.3</v>
      </c>
    </row>
    <row r="520" ht="15.75" customHeight="1">
      <c r="A520" s="228" t="s">
        <v>469</v>
      </c>
      <c r="B520" s="230" t="s">
        <v>124</v>
      </c>
      <c r="C520" s="61">
        <v>60.0</v>
      </c>
      <c r="D520" s="231" t="s">
        <v>83</v>
      </c>
      <c r="E520" s="81">
        <v>3.9</v>
      </c>
      <c r="F520" s="81">
        <v>0.0</v>
      </c>
      <c r="G520" s="81">
        <v>49.199999999999996</v>
      </c>
      <c r="H520" s="81">
        <v>1.2</v>
      </c>
      <c r="I520" s="81">
        <v>0.0</v>
      </c>
      <c r="J520" s="81">
        <v>0.0</v>
      </c>
      <c r="K520" s="81">
        <v>0.0</v>
      </c>
      <c r="L520" s="81">
        <v>0.6</v>
      </c>
    </row>
    <row r="521" ht="15.75" customHeight="1">
      <c r="A521" s="228" t="s">
        <v>469</v>
      </c>
      <c r="B521" s="230" t="s">
        <v>135</v>
      </c>
      <c r="C521" s="61">
        <v>80.0</v>
      </c>
      <c r="D521" s="231" t="s">
        <v>83</v>
      </c>
      <c r="E521" s="81">
        <v>4.32</v>
      </c>
      <c r="F521" s="81">
        <v>0.0</v>
      </c>
      <c r="G521" s="81">
        <v>0.0</v>
      </c>
      <c r="H521" s="81">
        <v>77.6</v>
      </c>
      <c r="I521" s="81">
        <v>0.0</v>
      </c>
      <c r="J521" s="81">
        <v>6.4</v>
      </c>
      <c r="K521" s="81">
        <v>40.0</v>
      </c>
      <c r="L521" s="81">
        <v>28.799999999999997</v>
      </c>
    </row>
    <row r="522" ht="15.75" customHeight="1">
      <c r="A522" s="228" t="s">
        <v>469</v>
      </c>
      <c r="B522" s="230" t="s">
        <v>94</v>
      </c>
      <c r="C522" s="61">
        <v>120.0</v>
      </c>
      <c r="D522" s="231" t="s">
        <v>83</v>
      </c>
      <c r="E522" s="81">
        <v>0.48</v>
      </c>
      <c r="F522" s="81">
        <v>120.0</v>
      </c>
      <c r="G522" s="81">
        <v>0.0</v>
      </c>
      <c r="H522" s="81">
        <v>0.0</v>
      </c>
      <c r="I522" s="81">
        <v>0.0</v>
      </c>
      <c r="J522" s="81">
        <v>120.0</v>
      </c>
      <c r="K522" s="81">
        <v>120.0</v>
      </c>
      <c r="L522" s="81">
        <v>0.0</v>
      </c>
    </row>
    <row r="523" ht="15.75" customHeight="1">
      <c r="A523" s="228" t="s">
        <v>469</v>
      </c>
      <c r="B523" s="230" t="s">
        <v>63</v>
      </c>
      <c r="C523" s="61">
        <v>30.0</v>
      </c>
      <c r="D523" s="231" t="s">
        <v>83</v>
      </c>
      <c r="E523" s="81">
        <v>0.96</v>
      </c>
      <c r="F523" s="81">
        <v>27.6</v>
      </c>
      <c r="G523" s="81">
        <v>0.0</v>
      </c>
      <c r="H523" s="81">
        <v>0.0</v>
      </c>
      <c r="I523" s="81">
        <v>0.0</v>
      </c>
      <c r="J523" s="81">
        <v>22.2</v>
      </c>
      <c r="K523" s="81">
        <v>54.0</v>
      </c>
      <c r="L523" s="81">
        <v>0.0</v>
      </c>
    </row>
    <row r="524" ht="15.75" customHeight="1">
      <c r="A524" s="228" t="s">
        <v>469</v>
      </c>
      <c r="B524" s="230" t="s">
        <v>170</v>
      </c>
      <c r="C524" s="61">
        <v>15.0</v>
      </c>
      <c r="D524" s="231" t="s">
        <v>83</v>
      </c>
      <c r="E524" s="81">
        <v>1.425</v>
      </c>
      <c r="F524" s="81">
        <v>0.0</v>
      </c>
      <c r="G524" s="81">
        <v>0.0</v>
      </c>
      <c r="H524" s="81">
        <v>0.0</v>
      </c>
      <c r="I524" s="81">
        <v>14.25</v>
      </c>
      <c r="J524" s="81">
        <v>0.0</v>
      </c>
      <c r="K524" s="81">
        <v>3.0</v>
      </c>
      <c r="L524" s="81">
        <v>0.0</v>
      </c>
    </row>
    <row r="525" ht="15.75" customHeight="1">
      <c r="A525" s="228" t="s">
        <v>469</v>
      </c>
      <c r="B525" s="230" t="s">
        <v>141</v>
      </c>
      <c r="C525" s="61">
        <v>1.0</v>
      </c>
      <c r="D525" s="231" t="s">
        <v>83</v>
      </c>
      <c r="E525" s="81">
        <v>0.0035</v>
      </c>
      <c r="F525" s="81">
        <v>0.0</v>
      </c>
      <c r="G525" s="81">
        <v>0.0</v>
      </c>
      <c r="H525" s="81">
        <v>0.0</v>
      </c>
      <c r="I525" s="81">
        <v>1.0</v>
      </c>
      <c r="J525" s="81">
        <v>0.0</v>
      </c>
      <c r="K525" s="81">
        <v>3.0</v>
      </c>
      <c r="L525" s="81">
        <v>0.0</v>
      </c>
    </row>
    <row r="526" ht="15.75" customHeight="1">
      <c r="A526" s="228" t="s">
        <v>469</v>
      </c>
      <c r="B526" s="230" t="s">
        <v>139</v>
      </c>
      <c r="C526" s="61">
        <v>5.0</v>
      </c>
      <c r="D526" s="231" t="s">
        <v>83</v>
      </c>
      <c r="E526" s="81">
        <v>1.0</v>
      </c>
      <c r="F526" s="81">
        <v>0.0</v>
      </c>
      <c r="G526" s="81">
        <v>0.0</v>
      </c>
      <c r="H526" s="81">
        <v>0.0</v>
      </c>
      <c r="I526" s="81">
        <v>5.0</v>
      </c>
      <c r="J526" s="81">
        <v>0.0</v>
      </c>
      <c r="K526" s="81">
        <v>0.0</v>
      </c>
      <c r="L526" s="81">
        <v>0.0</v>
      </c>
    </row>
    <row r="527" ht="15.75" customHeight="1">
      <c r="A527" s="228" t="s">
        <v>472</v>
      </c>
      <c r="B527" s="230" t="s">
        <v>58</v>
      </c>
      <c r="C527" s="61">
        <v>554.0</v>
      </c>
      <c r="D527" s="231" t="s">
        <v>83</v>
      </c>
      <c r="E527" s="81">
        <v>2.5483999999999996</v>
      </c>
      <c r="F527" s="81">
        <v>0.0</v>
      </c>
      <c r="G527" s="81">
        <v>19.39</v>
      </c>
      <c r="H527" s="81">
        <v>49.86</v>
      </c>
      <c r="I527" s="81">
        <v>0.0</v>
      </c>
      <c r="J527" s="81">
        <v>4.3212</v>
      </c>
      <c r="K527" s="81">
        <v>22.16</v>
      </c>
      <c r="L527" s="81">
        <v>19.39</v>
      </c>
    </row>
    <row r="528" ht="15.75" customHeight="1">
      <c r="A528" s="228" t="s">
        <v>472</v>
      </c>
      <c r="B528" s="230" t="s">
        <v>134</v>
      </c>
      <c r="C528" s="61">
        <v>220.0</v>
      </c>
      <c r="D528" s="231" t="s">
        <v>83</v>
      </c>
      <c r="E528" s="81">
        <v>4.18</v>
      </c>
      <c r="F528" s="81">
        <v>0.0</v>
      </c>
      <c r="G528" s="81">
        <v>77.0</v>
      </c>
      <c r="H528" s="81">
        <v>13.2</v>
      </c>
      <c r="I528" s="81">
        <v>0.0</v>
      </c>
      <c r="J528" s="81">
        <v>1.1880000000000002</v>
      </c>
      <c r="K528" s="81">
        <v>6.6</v>
      </c>
      <c r="L528" s="81">
        <v>5.28</v>
      </c>
    </row>
    <row r="529" ht="15.75" customHeight="1">
      <c r="A529" s="228" t="s">
        <v>472</v>
      </c>
      <c r="B529" s="230" t="s">
        <v>353</v>
      </c>
      <c r="C529" s="61">
        <v>90.0</v>
      </c>
      <c r="D529" s="231" t="s">
        <v>83</v>
      </c>
      <c r="E529" s="81">
        <v>0.0</v>
      </c>
      <c r="F529" s="81">
        <v>76.5</v>
      </c>
      <c r="G529" s="81">
        <v>0.0</v>
      </c>
      <c r="H529" s="81">
        <v>0.0</v>
      </c>
      <c r="I529" s="81">
        <v>0.0</v>
      </c>
      <c r="J529" s="81">
        <v>115.2</v>
      </c>
      <c r="K529" s="81">
        <v>171.0</v>
      </c>
      <c r="L529" s="81">
        <v>0.0</v>
      </c>
    </row>
    <row r="530" ht="15.75" customHeight="1">
      <c r="A530" s="228" t="s">
        <v>472</v>
      </c>
      <c r="B530" s="230" t="s">
        <v>427</v>
      </c>
      <c r="C530" s="61">
        <v>30.0</v>
      </c>
      <c r="D530" s="231" t="s">
        <v>83</v>
      </c>
      <c r="E530" s="81">
        <v>0.45</v>
      </c>
      <c r="F530" s="81">
        <v>0.3</v>
      </c>
      <c r="G530" s="81">
        <v>2.1</v>
      </c>
      <c r="H530" s="81">
        <v>0.0</v>
      </c>
      <c r="I530" s="81">
        <v>24.599999999999998</v>
      </c>
      <c r="J530" s="81">
        <v>0.3</v>
      </c>
      <c r="K530" s="81">
        <v>0.3</v>
      </c>
      <c r="L530" s="81">
        <v>4.2</v>
      </c>
    </row>
    <row r="531" ht="15.75" customHeight="1">
      <c r="A531" s="228" t="s">
        <v>472</v>
      </c>
      <c r="B531" s="230" t="s">
        <v>74</v>
      </c>
      <c r="C531" s="61">
        <v>19.0</v>
      </c>
      <c r="D531" s="231" t="s">
        <v>83</v>
      </c>
      <c r="E531" s="81">
        <v>0.722</v>
      </c>
      <c r="F531" s="81">
        <v>18.05</v>
      </c>
      <c r="G531" s="81">
        <v>0.0</v>
      </c>
      <c r="H531" s="81">
        <v>0.0</v>
      </c>
      <c r="I531" s="81">
        <v>0.0</v>
      </c>
      <c r="J531" s="81">
        <v>7.6000000000000005</v>
      </c>
      <c r="K531" s="81">
        <v>13.299999999999999</v>
      </c>
      <c r="L531" s="81">
        <v>0.0</v>
      </c>
    </row>
    <row r="532" ht="15.75" customHeight="1">
      <c r="A532" s="228" t="s">
        <v>472</v>
      </c>
      <c r="B532" s="230" t="s">
        <v>63</v>
      </c>
      <c r="C532" s="61">
        <v>10.0</v>
      </c>
      <c r="D532" s="231" t="s">
        <v>83</v>
      </c>
      <c r="E532" s="81">
        <v>0.32</v>
      </c>
      <c r="F532" s="81">
        <v>9.200000000000001</v>
      </c>
      <c r="G532" s="81">
        <v>0.0</v>
      </c>
      <c r="H532" s="81">
        <v>0.0</v>
      </c>
      <c r="I532" s="81">
        <v>0.0</v>
      </c>
      <c r="J532" s="81">
        <v>7.4</v>
      </c>
      <c r="K532" s="81">
        <v>18.0</v>
      </c>
      <c r="L532" s="81">
        <v>0.0</v>
      </c>
    </row>
    <row r="533" ht="15.75" customHeight="1">
      <c r="A533" s="228" t="s">
        <v>472</v>
      </c>
      <c r="B533" s="230" t="s">
        <v>139</v>
      </c>
      <c r="C533" s="61">
        <v>4.0</v>
      </c>
      <c r="D533" s="231" t="s">
        <v>83</v>
      </c>
      <c r="E533" s="81">
        <v>0.8</v>
      </c>
      <c r="F533" s="81">
        <v>0.0</v>
      </c>
      <c r="G533" s="81">
        <v>0.0</v>
      </c>
      <c r="H533" s="81">
        <v>0.0</v>
      </c>
      <c r="I533" s="81">
        <v>4.0</v>
      </c>
      <c r="J533" s="81">
        <v>0.0</v>
      </c>
      <c r="K533" s="81">
        <v>0.0</v>
      </c>
      <c r="L533" s="81">
        <v>0.0</v>
      </c>
    </row>
    <row r="534" ht="15.75" customHeight="1">
      <c r="A534" s="228" t="s">
        <v>472</v>
      </c>
      <c r="B534" s="230" t="s">
        <v>426</v>
      </c>
      <c r="C534" s="61">
        <v>200.0</v>
      </c>
      <c r="D534" s="231" t="s">
        <v>83</v>
      </c>
      <c r="E534" s="81">
        <v>9.0</v>
      </c>
      <c r="F534" s="81">
        <v>76.0</v>
      </c>
      <c r="G534" s="81">
        <v>0.0</v>
      </c>
      <c r="H534" s="81">
        <v>0.0</v>
      </c>
      <c r="I534" s="81">
        <v>62.0</v>
      </c>
      <c r="J534" s="81">
        <v>90.0</v>
      </c>
      <c r="K534" s="81">
        <v>130.0</v>
      </c>
      <c r="L534" s="81">
        <v>4.0</v>
      </c>
    </row>
    <row r="535" ht="15.75" customHeight="1">
      <c r="A535" s="228" t="s">
        <v>473</v>
      </c>
      <c r="B535" s="230" t="s">
        <v>58</v>
      </c>
      <c r="C535" s="61">
        <v>300.0</v>
      </c>
      <c r="D535" s="231" t="s">
        <v>83</v>
      </c>
      <c r="E535" s="81">
        <v>1.38</v>
      </c>
      <c r="F535" s="81">
        <v>0.0</v>
      </c>
      <c r="G535" s="81">
        <v>10.500000000000002</v>
      </c>
      <c r="H535" s="81">
        <v>27.0</v>
      </c>
      <c r="I535" s="81">
        <v>0.0</v>
      </c>
      <c r="J535" s="81">
        <v>2.34</v>
      </c>
      <c r="K535" s="81">
        <v>12.0</v>
      </c>
      <c r="L535" s="81">
        <v>10.500000000000002</v>
      </c>
    </row>
    <row r="536" ht="15.75" customHeight="1">
      <c r="A536" s="228" t="s">
        <v>473</v>
      </c>
      <c r="B536" s="230" t="s">
        <v>134</v>
      </c>
      <c r="C536" s="61">
        <v>110.0</v>
      </c>
      <c r="D536" s="231" t="s">
        <v>83</v>
      </c>
      <c r="E536" s="81">
        <v>2.09</v>
      </c>
      <c r="F536" s="81">
        <v>0.0</v>
      </c>
      <c r="G536" s="81">
        <v>38.5</v>
      </c>
      <c r="H536" s="81">
        <v>6.6</v>
      </c>
      <c r="I536" s="81">
        <v>0.0</v>
      </c>
      <c r="J536" s="81">
        <v>0.5940000000000001</v>
      </c>
      <c r="K536" s="81">
        <v>3.3</v>
      </c>
      <c r="L536" s="81">
        <v>2.64</v>
      </c>
    </row>
    <row r="537" ht="15.75" customHeight="1">
      <c r="A537" s="228" t="s">
        <v>473</v>
      </c>
      <c r="B537" s="230" t="s">
        <v>94</v>
      </c>
      <c r="C537" s="61">
        <v>48.0</v>
      </c>
      <c r="D537" s="231" t="s">
        <v>83</v>
      </c>
      <c r="E537" s="81">
        <v>0.192</v>
      </c>
      <c r="F537" s="81">
        <v>48.0</v>
      </c>
      <c r="G537" s="81">
        <v>0.0</v>
      </c>
      <c r="H537" s="81">
        <v>0.0</v>
      </c>
      <c r="I537" s="81">
        <v>0.0</v>
      </c>
      <c r="J537" s="81">
        <v>48.0</v>
      </c>
      <c r="K537" s="81">
        <v>48.0</v>
      </c>
      <c r="L537" s="81">
        <v>0.0</v>
      </c>
    </row>
    <row r="538" ht="15.75" customHeight="1">
      <c r="A538" s="228" t="s">
        <v>473</v>
      </c>
      <c r="B538" s="230" t="s">
        <v>63</v>
      </c>
      <c r="C538" s="61">
        <v>50.0</v>
      </c>
      <c r="D538" s="231" t="s">
        <v>83</v>
      </c>
      <c r="E538" s="81">
        <v>1.6</v>
      </c>
      <c r="F538" s="81">
        <v>46.0</v>
      </c>
      <c r="G538" s="81">
        <v>0.0</v>
      </c>
      <c r="H538" s="81">
        <v>0.0</v>
      </c>
      <c r="I538" s="81">
        <v>0.0</v>
      </c>
      <c r="J538" s="81">
        <v>37.0</v>
      </c>
      <c r="K538" s="81">
        <v>90.0</v>
      </c>
      <c r="L538" s="81">
        <v>0.0</v>
      </c>
    </row>
    <row r="539" ht="15.75" customHeight="1">
      <c r="A539" s="228" t="s">
        <v>473</v>
      </c>
      <c r="B539" s="230" t="s">
        <v>74</v>
      </c>
      <c r="C539" s="61">
        <v>10.0</v>
      </c>
      <c r="D539" s="231" t="s">
        <v>83</v>
      </c>
      <c r="E539" s="81">
        <v>0.38</v>
      </c>
      <c r="F539" s="81">
        <v>9.5</v>
      </c>
      <c r="G539" s="81">
        <v>0.0</v>
      </c>
      <c r="H539" s="81">
        <v>0.0</v>
      </c>
      <c r="I539" s="81">
        <v>0.0</v>
      </c>
      <c r="J539" s="81">
        <v>4.0</v>
      </c>
      <c r="K539" s="81">
        <v>7.0</v>
      </c>
      <c r="L539" s="81">
        <v>0.0</v>
      </c>
    </row>
    <row r="540" ht="15.75" customHeight="1">
      <c r="A540" s="228" t="s">
        <v>473</v>
      </c>
      <c r="B540" s="230" t="s">
        <v>135</v>
      </c>
      <c r="C540" s="61">
        <v>9.0</v>
      </c>
      <c r="D540" s="231" t="s">
        <v>83</v>
      </c>
      <c r="E540" s="81">
        <v>0.486</v>
      </c>
      <c r="F540" s="81">
        <v>0.0</v>
      </c>
      <c r="G540" s="81">
        <v>0.0</v>
      </c>
      <c r="H540" s="81">
        <v>8.73</v>
      </c>
      <c r="I540" s="81">
        <v>0.0</v>
      </c>
      <c r="J540" s="81">
        <v>0.72</v>
      </c>
      <c r="K540" s="81">
        <v>4.5</v>
      </c>
      <c r="L540" s="81">
        <v>3.2399999999999998</v>
      </c>
    </row>
    <row r="541" ht="15.75" customHeight="1">
      <c r="A541" s="228" t="s">
        <v>473</v>
      </c>
      <c r="B541" s="230" t="s">
        <v>139</v>
      </c>
      <c r="C541" s="61">
        <v>4.0</v>
      </c>
      <c r="D541" s="231" t="s">
        <v>83</v>
      </c>
      <c r="E541" s="81">
        <v>0.8</v>
      </c>
      <c r="F541" s="81">
        <v>0.0</v>
      </c>
      <c r="G541" s="81">
        <v>0.0</v>
      </c>
      <c r="H541" s="81">
        <v>0.0</v>
      </c>
      <c r="I541" s="81">
        <v>4.0</v>
      </c>
      <c r="J541" s="81">
        <v>0.0</v>
      </c>
      <c r="K541" s="81">
        <v>0.0</v>
      </c>
      <c r="L541" s="81">
        <v>0.0</v>
      </c>
    </row>
    <row r="542" ht="15.75" customHeight="1">
      <c r="A542" s="228" t="s">
        <v>473</v>
      </c>
      <c r="B542" s="230" t="s">
        <v>105</v>
      </c>
      <c r="C542" s="61">
        <v>500.0</v>
      </c>
      <c r="D542" s="231" t="s">
        <v>83</v>
      </c>
      <c r="E542" s="81">
        <v>0.0</v>
      </c>
      <c r="F542" s="81">
        <v>80.0</v>
      </c>
      <c r="G542" s="81">
        <v>0.0</v>
      </c>
      <c r="H542" s="81">
        <v>0.0</v>
      </c>
      <c r="I542" s="81">
        <v>35.0</v>
      </c>
      <c r="J542" s="81">
        <v>95.0</v>
      </c>
      <c r="K542" s="81">
        <v>115.0</v>
      </c>
      <c r="L542" s="81">
        <v>5.0</v>
      </c>
    </row>
    <row r="543" ht="15.75" customHeight="1">
      <c r="A543" s="228" t="s">
        <v>476</v>
      </c>
      <c r="B543" s="230" t="s">
        <v>58</v>
      </c>
      <c r="C543" s="61">
        <v>440.0</v>
      </c>
      <c r="D543" s="231" t="s">
        <v>83</v>
      </c>
      <c r="E543" s="81">
        <v>2.0239999999999996</v>
      </c>
      <c r="F543" s="81">
        <v>0.0</v>
      </c>
      <c r="G543" s="81">
        <v>15.400000000000002</v>
      </c>
      <c r="H543" s="81">
        <v>39.6</v>
      </c>
      <c r="I543" s="81">
        <v>0.0</v>
      </c>
      <c r="J543" s="81">
        <v>3.432</v>
      </c>
      <c r="K543" s="81">
        <v>17.6</v>
      </c>
      <c r="L543" s="81">
        <v>15.400000000000002</v>
      </c>
    </row>
    <row r="544" ht="15.75" customHeight="1">
      <c r="A544" s="228" t="s">
        <v>476</v>
      </c>
      <c r="B544" s="230" t="s">
        <v>134</v>
      </c>
      <c r="C544" s="61">
        <v>72.0</v>
      </c>
      <c r="D544" s="231" t="s">
        <v>83</v>
      </c>
      <c r="E544" s="81">
        <v>1.368</v>
      </c>
      <c r="F544" s="81">
        <v>0.0</v>
      </c>
      <c r="G544" s="81">
        <v>25.2</v>
      </c>
      <c r="H544" s="81">
        <v>4.32</v>
      </c>
      <c r="I544" s="81">
        <v>0.0</v>
      </c>
      <c r="J544" s="81">
        <v>0.38880000000000003</v>
      </c>
      <c r="K544" s="81">
        <v>2.16</v>
      </c>
      <c r="L544" s="81">
        <v>1.728</v>
      </c>
    </row>
    <row r="545" ht="15.75" customHeight="1">
      <c r="A545" s="228" t="s">
        <v>476</v>
      </c>
      <c r="B545" s="230" t="s">
        <v>94</v>
      </c>
      <c r="C545" s="61">
        <v>174.0</v>
      </c>
      <c r="D545" s="231" t="s">
        <v>83</v>
      </c>
      <c r="E545" s="81">
        <v>0.696</v>
      </c>
      <c r="F545" s="81">
        <v>174.0</v>
      </c>
      <c r="G545" s="81">
        <v>0.0</v>
      </c>
      <c r="H545" s="81">
        <v>0.0</v>
      </c>
      <c r="I545" s="81">
        <v>0.0</v>
      </c>
      <c r="J545" s="81">
        <v>174.0</v>
      </c>
      <c r="K545" s="81">
        <v>174.0</v>
      </c>
      <c r="L545" s="81">
        <v>0.0</v>
      </c>
    </row>
    <row r="546" ht="15.75" customHeight="1">
      <c r="A546" s="228" t="s">
        <v>476</v>
      </c>
      <c r="B546" s="230" t="s">
        <v>63</v>
      </c>
      <c r="C546" s="61">
        <v>32.0</v>
      </c>
      <c r="D546" s="231" t="s">
        <v>83</v>
      </c>
      <c r="E546" s="81">
        <v>1.024</v>
      </c>
      <c r="F546" s="81">
        <v>29.44</v>
      </c>
      <c r="G546" s="81">
        <v>0.0</v>
      </c>
      <c r="H546" s="81">
        <v>0.0</v>
      </c>
      <c r="I546" s="81">
        <v>0.0</v>
      </c>
      <c r="J546" s="81">
        <v>23.68</v>
      </c>
      <c r="K546" s="81">
        <v>57.6</v>
      </c>
      <c r="L546" s="81">
        <v>0.0</v>
      </c>
    </row>
    <row r="547" ht="15.75" customHeight="1">
      <c r="A547" s="228" t="s">
        <v>476</v>
      </c>
      <c r="B547" s="230" t="s">
        <v>74</v>
      </c>
      <c r="C547" s="61">
        <v>19.0</v>
      </c>
      <c r="D547" s="231" t="s">
        <v>83</v>
      </c>
      <c r="E547" s="81">
        <v>0.722</v>
      </c>
      <c r="F547" s="81">
        <v>18.05</v>
      </c>
      <c r="G547" s="81">
        <v>0.0</v>
      </c>
      <c r="H547" s="81">
        <v>0.0</v>
      </c>
      <c r="I547" s="81">
        <v>0.0</v>
      </c>
      <c r="J547" s="81">
        <v>7.6000000000000005</v>
      </c>
      <c r="K547" s="81">
        <v>13.299999999999999</v>
      </c>
      <c r="L547" s="81">
        <v>0.0</v>
      </c>
    </row>
    <row r="548" ht="15.75" customHeight="1">
      <c r="A548" s="228" t="s">
        <v>476</v>
      </c>
      <c r="B548" s="230" t="s">
        <v>135</v>
      </c>
      <c r="C548" s="61">
        <v>35.0</v>
      </c>
      <c r="D548" s="231" t="s">
        <v>83</v>
      </c>
      <c r="E548" s="81">
        <v>1.89</v>
      </c>
      <c r="F548" s="81">
        <v>0.0</v>
      </c>
      <c r="G548" s="81">
        <v>0.0</v>
      </c>
      <c r="H548" s="81">
        <v>33.949999999999996</v>
      </c>
      <c r="I548" s="81">
        <v>0.0</v>
      </c>
      <c r="J548" s="81">
        <v>2.8000000000000003</v>
      </c>
      <c r="K548" s="81">
        <v>17.5</v>
      </c>
      <c r="L548" s="81">
        <v>12.6</v>
      </c>
    </row>
    <row r="549" ht="15.75" customHeight="1">
      <c r="A549" s="228" t="s">
        <v>476</v>
      </c>
      <c r="B549" s="230" t="s">
        <v>139</v>
      </c>
      <c r="C549" s="61">
        <v>4.0</v>
      </c>
      <c r="D549" s="231" t="s">
        <v>83</v>
      </c>
      <c r="E549" s="81">
        <v>0.8</v>
      </c>
      <c r="F549" s="81">
        <v>0.0</v>
      </c>
      <c r="G549" s="81">
        <v>0.0</v>
      </c>
      <c r="H549" s="81">
        <v>0.0</v>
      </c>
      <c r="I549" s="81">
        <v>4.0</v>
      </c>
      <c r="J549" s="81">
        <v>0.0</v>
      </c>
      <c r="K549" s="81">
        <v>0.0</v>
      </c>
      <c r="L549" s="81">
        <v>0.0</v>
      </c>
    </row>
    <row r="550" ht="15.75" customHeight="1">
      <c r="A550" s="228" t="s">
        <v>476</v>
      </c>
      <c r="B550" s="230" t="s">
        <v>318</v>
      </c>
      <c r="C550" s="61">
        <v>60.0</v>
      </c>
      <c r="D550" s="231" t="s">
        <v>83</v>
      </c>
      <c r="E550" s="81">
        <v>0.0</v>
      </c>
      <c r="F550" s="81">
        <v>4.8</v>
      </c>
      <c r="G550" s="81">
        <v>0.0</v>
      </c>
      <c r="H550" s="81">
        <v>0.0</v>
      </c>
      <c r="I550" s="81">
        <v>1.7999999999999998</v>
      </c>
      <c r="J550" s="81">
        <v>7.199999999999999</v>
      </c>
      <c r="K550" s="81">
        <v>8.4</v>
      </c>
      <c r="L550" s="81">
        <v>0.6</v>
      </c>
    </row>
    <row r="551" ht="15.75" customHeight="1">
      <c r="A551" s="228" t="s">
        <v>476</v>
      </c>
      <c r="B551" s="230" t="s">
        <v>178</v>
      </c>
      <c r="C551" s="61">
        <v>200.0</v>
      </c>
      <c r="D551" s="231" t="s">
        <v>83</v>
      </c>
      <c r="E551" s="81">
        <v>9.6</v>
      </c>
      <c r="F551" s="81">
        <v>0.0</v>
      </c>
      <c r="G551" s="81">
        <v>62.0</v>
      </c>
      <c r="H551" s="81">
        <v>20.0</v>
      </c>
      <c r="I551" s="81">
        <v>0.0</v>
      </c>
      <c r="J551" s="81">
        <v>0.0</v>
      </c>
      <c r="K551" s="81">
        <v>0.0</v>
      </c>
      <c r="L551" s="81">
        <v>17.2</v>
      </c>
    </row>
    <row r="552" ht="15.75" customHeight="1">
      <c r="A552" s="228" t="s">
        <v>477</v>
      </c>
      <c r="B552" s="230" t="s">
        <v>58</v>
      </c>
      <c r="C552" s="61">
        <v>220.0</v>
      </c>
      <c r="D552" s="231" t="s">
        <v>83</v>
      </c>
      <c r="E552" s="81">
        <v>1.0119999999999998</v>
      </c>
      <c r="F552" s="81">
        <v>0.0</v>
      </c>
      <c r="G552" s="81">
        <v>7.700000000000001</v>
      </c>
      <c r="H552" s="81">
        <v>19.8</v>
      </c>
      <c r="I552" s="81">
        <v>0.0</v>
      </c>
      <c r="J552" s="81">
        <v>1.716</v>
      </c>
      <c r="K552" s="81">
        <v>8.8</v>
      </c>
      <c r="L552" s="81">
        <v>7.700000000000001</v>
      </c>
    </row>
    <row r="553" ht="15.75" customHeight="1">
      <c r="A553" s="228" t="s">
        <v>477</v>
      </c>
      <c r="B553" s="230" t="s">
        <v>14</v>
      </c>
      <c r="C553" s="61">
        <v>130.0</v>
      </c>
      <c r="D553" s="231" t="s">
        <v>83</v>
      </c>
      <c r="E553" s="81">
        <v>0.0</v>
      </c>
      <c r="F553" s="81">
        <v>0.0</v>
      </c>
      <c r="G553" s="81">
        <v>0.0</v>
      </c>
      <c r="H553" s="81">
        <v>0.0</v>
      </c>
      <c r="I553" s="81">
        <v>0.0</v>
      </c>
      <c r="J553" s="81">
        <v>0.0</v>
      </c>
      <c r="K553" s="81">
        <v>0.0</v>
      </c>
      <c r="L553" s="81">
        <v>0.0</v>
      </c>
    </row>
    <row r="554" ht="15.75" customHeight="1">
      <c r="A554" s="228" t="s">
        <v>477</v>
      </c>
      <c r="B554" s="230" t="s">
        <v>134</v>
      </c>
      <c r="C554" s="61">
        <v>45.0</v>
      </c>
      <c r="D554" s="231" t="s">
        <v>83</v>
      </c>
      <c r="E554" s="81">
        <v>0.855</v>
      </c>
      <c r="F554" s="81">
        <v>0.0</v>
      </c>
      <c r="G554" s="81">
        <v>15.749999999999998</v>
      </c>
      <c r="H554" s="81">
        <v>2.6999999999999997</v>
      </c>
      <c r="I554" s="81">
        <v>0.0</v>
      </c>
      <c r="J554" s="81">
        <v>0.24300000000000002</v>
      </c>
      <c r="K554" s="81">
        <v>1.3499999999999999</v>
      </c>
      <c r="L554" s="81">
        <v>1.08</v>
      </c>
    </row>
    <row r="555" ht="15.75" customHeight="1">
      <c r="A555" s="228" t="s">
        <v>477</v>
      </c>
      <c r="B555" s="230" t="s">
        <v>94</v>
      </c>
      <c r="C555" s="61">
        <v>95.0</v>
      </c>
      <c r="D555" s="231" t="s">
        <v>83</v>
      </c>
      <c r="E555" s="81">
        <v>0.38</v>
      </c>
      <c r="F555" s="81">
        <v>95.0</v>
      </c>
      <c r="G555" s="81">
        <v>0.0</v>
      </c>
      <c r="H555" s="81">
        <v>0.0</v>
      </c>
      <c r="I555" s="81">
        <v>0.0</v>
      </c>
      <c r="J555" s="81">
        <v>95.0</v>
      </c>
      <c r="K555" s="81">
        <v>95.0</v>
      </c>
      <c r="L555" s="81">
        <v>0.0</v>
      </c>
    </row>
    <row r="556" ht="15.75" customHeight="1">
      <c r="A556" s="228" t="s">
        <v>477</v>
      </c>
      <c r="B556" s="230" t="s">
        <v>63</v>
      </c>
      <c r="C556" s="61">
        <v>13.0</v>
      </c>
      <c r="D556" s="231" t="s">
        <v>83</v>
      </c>
      <c r="E556" s="81">
        <v>0.416</v>
      </c>
      <c r="F556" s="81">
        <v>11.96</v>
      </c>
      <c r="G556" s="81">
        <v>0.0</v>
      </c>
      <c r="H556" s="81">
        <v>0.0</v>
      </c>
      <c r="I556" s="81">
        <v>0.0</v>
      </c>
      <c r="J556" s="81">
        <v>9.62</v>
      </c>
      <c r="K556" s="81">
        <v>23.400000000000002</v>
      </c>
      <c r="L556" s="81">
        <v>0.0</v>
      </c>
    </row>
    <row r="557" ht="15.75" customHeight="1">
      <c r="A557" s="228" t="s">
        <v>477</v>
      </c>
      <c r="B557" s="230" t="s">
        <v>74</v>
      </c>
      <c r="C557" s="61">
        <v>13.0</v>
      </c>
      <c r="D557" s="231" t="s">
        <v>83</v>
      </c>
      <c r="E557" s="81">
        <v>0.494</v>
      </c>
      <c r="F557" s="81">
        <v>12.35</v>
      </c>
      <c r="G557" s="81">
        <v>0.0</v>
      </c>
      <c r="H557" s="81">
        <v>0.0</v>
      </c>
      <c r="I557" s="81">
        <v>0.0</v>
      </c>
      <c r="J557" s="81">
        <v>5.2</v>
      </c>
      <c r="K557" s="81">
        <v>9.1</v>
      </c>
      <c r="L557" s="81">
        <v>0.0</v>
      </c>
    </row>
    <row r="558" ht="15.75" customHeight="1">
      <c r="A558" s="228" t="s">
        <v>477</v>
      </c>
      <c r="B558" s="230" t="s">
        <v>135</v>
      </c>
      <c r="C558" s="61">
        <v>6.0</v>
      </c>
      <c r="D558" s="231" t="s">
        <v>83</v>
      </c>
      <c r="E558" s="81">
        <v>0.324</v>
      </c>
      <c r="F558" s="81">
        <v>0.0</v>
      </c>
      <c r="G558" s="81">
        <v>0.0</v>
      </c>
      <c r="H558" s="81">
        <v>5.82</v>
      </c>
      <c r="I558" s="81">
        <v>0.0</v>
      </c>
      <c r="J558" s="81">
        <v>0.48</v>
      </c>
      <c r="K558" s="81">
        <v>3.0</v>
      </c>
      <c r="L558" s="81">
        <v>2.16</v>
      </c>
    </row>
    <row r="559" ht="15.75" customHeight="1">
      <c r="A559" s="228" t="s">
        <v>477</v>
      </c>
      <c r="B559" s="230" t="s">
        <v>139</v>
      </c>
      <c r="C559" s="61">
        <v>5.0</v>
      </c>
      <c r="D559" s="231" t="s">
        <v>83</v>
      </c>
      <c r="E559" s="81">
        <v>1.0</v>
      </c>
      <c r="F559" s="81">
        <v>0.0</v>
      </c>
      <c r="G559" s="81">
        <v>0.0</v>
      </c>
      <c r="H559" s="81">
        <v>0.0</v>
      </c>
      <c r="I559" s="81">
        <v>5.0</v>
      </c>
      <c r="J559" s="81">
        <v>0.0</v>
      </c>
      <c r="K559" s="81">
        <v>0.0</v>
      </c>
      <c r="L559" s="81">
        <v>0.0</v>
      </c>
    </row>
    <row r="560" ht="15.75" customHeight="1">
      <c r="A560" s="228" t="s">
        <v>477</v>
      </c>
      <c r="B560" s="230" t="s">
        <v>218</v>
      </c>
      <c r="C560" s="61">
        <v>95.0</v>
      </c>
      <c r="D560" s="231" t="s">
        <v>83</v>
      </c>
      <c r="E560" s="81">
        <v>0.0</v>
      </c>
      <c r="F560" s="81">
        <v>38.0</v>
      </c>
      <c r="G560" s="81">
        <v>33.25</v>
      </c>
      <c r="H560" s="81">
        <v>17.099999999999998</v>
      </c>
      <c r="I560" s="81">
        <v>6.65</v>
      </c>
      <c r="J560" s="81">
        <v>39.504799999999996</v>
      </c>
      <c r="K560" s="81">
        <v>47.405</v>
      </c>
      <c r="L560" s="81">
        <v>5.643</v>
      </c>
    </row>
    <row r="561" ht="15.75" customHeight="1">
      <c r="A561" s="228" t="s">
        <v>477</v>
      </c>
      <c r="B561" s="230" t="s">
        <v>174</v>
      </c>
      <c r="C561" s="61">
        <v>63.0</v>
      </c>
      <c r="D561" s="231" t="s">
        <v>83</v>
      </c>
      <c r="E561" s="81">
        <v>5.985</v>
      </c>
      <c r="F561" s="81">
        <v>25.200000000000003</v>
      </c>
      <c r="G561" s="81">
        <v>22.049999999999997</v>
      </c>
      <c r="H561" s="81">
        <v>0.0</v>
      </c>
      <c r="I561" s="81">
        <v>15.75</v>
      </c>
      <c r="J561" s="81">
        <v>25.200000000000003</v>
      </c>
      <c r="K561" s="81">
        <v>25.200000000000003</v>
      </c>
      <c r="L561" s="81">
        <v>5.292000000000001</v>
      </c>
    </row>
    <row r="562" ht="15.75" customHeight="1">
      <c r="A562" s="228" t="s">
        <v>477</v>
      </c>
      <c r="B562" s="230" t="s">
        <v>358</v>
      </c>
      <c r="C562" s="61">
        <v>315.0</v>
      </c>
      <c r="D562" s="231" t="s">
        <v>83</v>
      </c>
      <c r="E562" s="81">
        <v>7.875</v>
      </c>
      <c r="F562" s="81">
        <v>15.75</v>
      </c>
      <c r="G562" s="81">
        <v>0.0</v>
      </c>
      <c r="H562" s="81">
        <v>0.0</v>
      </c>
      <c r="I562" s="81">
        <v>12.6</v>
      </c>
      <c r="J562" s="81">
        <v>30.240000000000002</v>
      </c>
      <c r="K562" s="81">
        <v>36.54</v>
      </c>
      <c r="L562" s="81">
        <v>3.15</v>
      </c>
    </row>
    <row r="563" ht="15.75" customHeight="1">
      <c r="A563" s="228" t="s">
        <v>480</v>
      </c>
      <c r="B563" s="230" t="s">
        <v>58</v>
      </c>
      <c r="C563" s="61">
        <v>554.0</v>
      </c>
      <c r="D563" s="231" t="s">
        <v>83</v>
      </c>
      <c r="E563" s="81">
        <v>2.5483999999999996</v>
      </c>
      <c r="F563" s="81">
        <v>0.0</v>
      </c>
      <c r="G563" s="81">
        <v>19.39</v>
      </c>
      <c r="H563" s="81">
        <v>49.86</v>
      </c>
      <c r="I563" s="81">
        <v>0.0</v>
      </c>
      <c r="J563" s="81">
        <v>4.3212</v>
      </c>
      <c r="K563" s="81">
        <v>22.16</v>
      </c>
      <c r="L563" s="81">
        <v>19.39</v>
      </c>
    </row>
    <row r="564" ht="15.75" customHeight="1">
      <c r="A564" s="228" t="s">
        <v>480</v>
      </c>
      <c r="B564" s="230" t="s">
        <v>134</v>
      </c>
      <c r="C564" s="61">
        <v>220.0</v>
      </c>
      <c r="D564" s="231" t="s">
        <v>83</v>
      </c>
      <c r="E564" s="81">
        <v>4.18</v>
      </c>
      <c r="F564" s="81">
        <v>0.0</v>
      </c>
      <c r="G564" s="81">
        <v>77.0</v>
      </c>
      <c r="H564" s="81">
        <v>13.2</v>
      </c>
      <c r="I564" s="81">
        <v>0.0</v>
      </c>
      <c r="J564" s="81">
        <v>1.1880000000000002</v>
      </c>
      <c r="K564" s="81">
        <v>6.6</v>
      </c>
      <c r="L564" s="81">
        <v>5.28</v>
      </c>
    </row>
    <row r="565" ht="15.75" customHeight="1">
      <c r="A565" s="228" t="s">
        <v>480</v>
      </c>
      <c r="B565" s="230" t="s">
        <v>94</v>
      </c>
      <c r="C565" s="61">
        <v>150.0</v>
      </c>
      <c r="D565" s="231" t="s">
        <v>83</v>
      </c>
      <c r="E565" s="81">
        <v>0.6</v>
      </c>
      <c r="F565" s="81">
        <v>150.0</v>
      </c>
      <c r="G565" s="81">
        <v>0.0</v>
      </c>
      <c r="H565" s="81">
        <v>0.0</v>
      </c>
      <c r="I565" s="81">
        <v>0.0</v>
      </c>
      <c r="J565" s="81">
        <v>150.0</v>
      </c>
      <c r="K565" s="81">
        <v>150.0</v>
      </c>
      <c r="L565" s="81">
        <v>0.0</v>
      </c>
    </row>
    <row r="566" ht="15.75" customHeight="1">
      <c r="A566" s="228" t="s">
        <v>480</v>
      </c>
      <c r="B566" s="230" t="s">
        <v>63</v>
      </c>
      <c r="C566" s="61">
        <v>19.0</v>
      </c>
      <c r="D566" s="231" t="s">
        <v>83</v>
      </c>
      <c r="E566" s="81">
        <v>0.608</v>
      </c>
      <c r="F566" s="81">
        <v>17.48</v>
      </c>
      <c r="G566" s="81">
        <v>0.0</v>
      </c>
      <c r="H566" s="81">
        <v>0.0</v>
      </c>
      <c r="I566" s="81">
        <v>0.0</v>
      </c>
      <c r="J566" s="81">
        <v>14.06</v>
      </c>
      <c r="K566" s="81">
        <v>34.2</v>
      </c>
      <c r="L566" s="81">
        <v>0.0</v>
      </c>
    </row>
    <row r="567" ht="15.75" customHeight="1">
      <c r="A567" s="228" t="s">
        <v>480</v>
      </c>
      <c r="B567" s="230" t="s">
        <v>74</v>
      </c>
      <c r="C567" s="61">
        <v>19.0</v>
      </c>
      <c r="D567" s="231" t="s">
        <v>83</v>
      </c>
      <c r="E567" s="81">
        <v>0.722</v>
      </c>
      <c r="F567" s="81">
        <v>18.05</v>
      </c>
      <c r="G567" s="81">
        <v>0.0</v>
      </c>
      <c r="H567" s="81">
        <v>0.0</v>
      </c>
      <c r="I567" s="81">
        <v>0.0</v>
      </c>
      <c r="J567" s="81">
        <v>7.6000000000000005</v>
      </c>
      <c r="K567" s="81">
        <v>13.299999999999999</v>
      </c>
      <c r="L567" s="81">
        <v>0.0</v>
      </c>
    </row>
    <row r="568" ht="15.75" customHeight="1">
      <c r="A568" s="228" t="s">
        <v>480</v>
      </c>
      <c r="B568" s="230" t="s">
        <v>135</v>
      </c>
      <c r="C568" s="61">
        <v>38.0</v>
      </c>
      <c r="D568" s="231" t="s">
        <v>83</v>
      </c>
      <c r="E568" s="81">
        <v>2.052</v>
      </c>
      <c r="F568" s="81">
        <v>0.0</v>
      </c>
      <c r="G568" s="81">
        <v>0.0</v>
      </c>
      <c r="H568" s="81">
        <v>36.86</v>
      </c>
      <c r="I568" s="81">
        <v>0.0</v>
      </c>
      <c r="J568" s="81">
        <v>3.04</v>
      </c>
      <c r="K568" s="81">
        <v>19.0</v>
      </c>
      <c r="L568" s="81">
        <v>13.68</v>
      </c>
    </row>
    <row r="569" ht="15.75" customHeight="1">
      <c r="A569" s="228" t="s">
        <v>480</v>
      </c>
      <c r="B569" s="230" t="s">
        <v>139</v>
      </c>
      <c r="C569" s="61">
        <v>4.0</v>
      </c>
      <c r="D569" s="231" t="s">
        <v>83</v>
      </c>
      <c r="E569" s="81">
        <v>0.8</v>
      </c>
      <c r="F569" s="81">
        <v>0.0</v>
      </c>
      <c r="G569" s="81">
        <v>0.0</v>
      </c>
      <c r="H569" s="81">
        <v>0.0</v>
      </c>
      <c r="I569" s="81">
        <v>4.0</v>
      </c>
      <c r="J569" s="81">
        <v>0.0</v>
      </c>
      <c r="K569" s="81">
        <v>0.0</v>
      </c>
      <c r="L569" s="81">
        <v>0.0</v>
      </c>
    </row>
    <row r="570" ht="15.75" customHeight="1">
      <c r="A570" s="228" t="s">
        <v>480</v>
      </c>
      <c r="B570" s="230" t="s">
        <v>298</v>
      </c>
      <c r="C570" s="61">
        <v>50.0</v>
      </c>
      <c r="D570" s="231" t="s">
        <v>83</v>
      </c>
      <c r="E570" s="81">
        <v>0.0</v>
      </c>
      <c r="F570" s="81">
        <v>3.5000000000000004</v>
      </c>
      <c r="G570" s="81">
        <v>0.5</v>
      </c>
      <c r="H570" s="81">
        <v>0.0</v>
      </c>
      <c r="I570" s="81">
        <v>4.0</v>
      </c>
      <c r="J570" s="81">
        <v>4.25</v>
      </c>
      <c r="K570" s="81">
        <v>5.25</v>
      </c>
      <c r="L570" s="81">
        <v>0.5</v>
      </c>
    </row>
    <row r="571" ht="15.75" customHeight="1">
      <c r="A571" s="228" t="s">
        <v>481</v>
      </c>
      <c r="B571" s="230" t="s">
        <v>58</v>
      </c>
      <c r="C571" s="61">
        <v>247.0</v>
      </c>
      <c r="D571" s="231" t="s">
        <v>83</v>
      </c>
      <c r="E571" s="81">
        <v>1.1361999999999999</v>
      </c>
      <c r="F571" s="81">
        <v>0.0</v>
      </c>
      <c r="G571" s="81">
        <v>8.645000000000001</v>
      </c>
      <c r="H571" s="81">
        <v>22.23</v>
      </c>
      <c r="I571" s="81">
        <v>0.0</v>
      </c>
      <c r="J571" s="81">
        <v>1.9265999999999999</v>
      </c>
      <c r="K571" s="81">
        <v>9.88</v>
      </c>
      <c r="L571" s="81">
        <v>8.645000000000001</v>
      </c>
    </row>
    <row r="572" ht="15.75" customHeight="1">
      <c r="A572" s="228" t="s">
        <v>481</v>
      </c>
      <c r="B572" s="230" t="s">
        <v>134</v>
      </c>
      <c r="C572" s="61">
        <v>175.0</v>
      </c>
      <c r="D572" s="231" t="s">
        <v>83</v>
      </c>
      <c r="E572" s="81">
        <v>3.325</v>
      </c>
      <c r="F572" s="81">
        <v>0.0</v>
      </c>
      <c r="G572" s="81">
        <v>61.24999999999999</v>
      </c>
      <c r="H572" s="81">
        <v>10.5</v>
      </c>
      <c r="I572" s="81">
        <v>0.0</v>
      </c>
      <c r="J572" s="81">
        <v>0.9450000000000001</v>
      </c>
      <c r="K572" s="81">
        <v>5.25</v>
      </c>
      <c r="L572" s="81">
        <v>4.2</v>
      </c>
    </row>
    <row r="573" ht="15.75" customHeight="1">
      <c r="A573" s="228" t="s">
        <v>481</v>
      </c>
      <c r="B573" s="230" t="s">
        <v>14</v>
      </c>
      <c r="C573" s="61">
        <v>168.0</v>
      </c>
      <c r="D573" s="231" t="s">
        <v>83</v>
      </c>
      <c r="E573" s="81">
        <v>0.0</v>
      </c>
      <c r="F573" s="81">
        <v>0.0</v>
      </c>
      <c r="G573" s="81">
        <v>0.0</v>
      </c>
      <c r="H573" s="81">
        <v>0.0</v>
      </c>
      <c r="I573" s="81">
        <v>0.0</v>
      </c>
      <c r="J573" s="81">
        <v>0.0</v>
      </c>
      <c r="K573" s="81">
        <v>0.0</v>
      </c>
      <c r="L573" s="81">
        <v>0.0</v>
      </c>
    </row>
    <row r="574" ht="15.75" customHeight="1">
      <c r="A574" s="228" t="s">
        <v>481</v>
      </c>
      <c r="B574" s="230" t="s">
        <v>71</v>
      </c>
      <c r="C574" s="61">
        <v>232.0</v>
      </c>
      <c r="D574" s="231" t="s">
        <v>83</v>
      </c>
      <c r="E574" s="81">
        <v>4.698</v>
      </c>
      <c r="F574" s="81">
        <v>102.08</v>
      </c>
      <c r="G574" s="81">
        <v>18.56</v>
      </c>
      <c r="H574" s="81">
        <v>42.224</v>
      </c>
      <c r="I574" s="81">
        <v>4.175999999999999</v>
      </c>
      <c r="J574" s="81">
        <v>99.76</v>
      </c>
      <c r="K574" s="81">
        <v>127.60000000000001</v>
      </c>
      <c r="L574" s="81">
        <v>18.56</v>
      </c>
    </row>
    <row r="575" ht="15.75" customHeight="1">
      <c r="A575" s="228" t="s">
        <v>481</v>
      </c>
      <c r="B575" s="230" t="s">
        <v>63</v>
      </c>
      <c r="C575" s="61">
        <v>55.0</v>
      </c>
      <c r="D575" s="231" t="s">
        <v>83</v>
      </c>
      <c r="E575" s="81">
        <v>1.76</v>
      </c>
      <c r="F575" s="81">
        <v>50.6</v>
      </c>
      <c r="G575" s="81">
        <v>0.0</v>
      </c>
      <c r="H575" s="81">
        <v>0.0</v>
      </c>
      <c r="I575" s="81">
        <v>0.0</v>
      </c>
      <c r="J575" s="81">
        <v>40.7</v>
      </c>
      <c r="K575" s="81">
        <v>99.0</v>
      </c>
      <c r="L575" s="81">
        <v>0.0</v>
      </c>
    </row>
    <row r="576" ht="15.75" customHeight="1">
      <c r="A576" s="228" t="s">
        <v>481</v>
      </c>
      <c r="B576" s="230" t="s">
        <v>74</v>
      </c>
      <c r="C576" s="61">
        <v>31.0</v>
      </c>
      <c r="D576" s="231" t="s">
        <v>83</v>
      </c>
      <c r="E576" s="81">
        <v>1.178</v>
      </c>
      <c r="F576" s="81">
        <v>29.45</v>
      </c>
      <c r="G576" s="81">
        <v>0.0</v>
      </c>
      <c r="H576" s="81">
        <v>0.0</v>
      </c>
      <c r="I576" s="81">
        <v>0.0</v>
      </c>
      <c r="J576" s="81">
        <v>12.4</v>
      </c>
      <c r="K576" s="81">
        <v>21.7</v>
      </c>
      <c r="L576" s="81">
        <v>0.0</v>
      </c>
    </row>
    <row r="577" ht="15.75" customHeight="1">
      <c r="A577" s="228" t="s">
        <v>481</v>
      </c>
      <c r="B577" s="230" t="s">
        <v>135</v>
      </c>
      <c r="C577" s="61">
        <v>10.0</v>
      </c>
      <c r="D577" s="231" t="s">
        <v>83</v>
      </c>
      <c r="E577" s="81">
        <v>0.54</v>
      </c>
      <c r="F577" s="81">
        <v>0.0</v>
      </c>
      <c r="G577" s="81">
        <v>0.0</v>
      </c>
      <c r="H577" s="81">
        <v>9.7</v>
      </c>
      <c r="I577" s="81">
        <v>0.0</v>
      </c>
      <c r="J577" s="81">
        <v>0.8</v>
      </c>
      <c r="K577" s="81">
        <v>5.0</v>
      </c>
      <c r="L577" s="81">
        <v>3.5999999999999996</v>
      </c>
    </row>
    <row r="578" ht="15.75" customHeight="1">
      <c r="A578" s="228" t="s">
        <v>481</v>
      </c>
      <c r="B578" s="230" t="s">
        <v>139</v>
      </c>
      <c r="C578" s="61">
        <v>5.0</v>
      </c>
      <c r="D578" s="231" t="s">
        <v>83</v>
      </c>
      <c r="E578" s="81">
        <v>1.0</v>
      </c>
      <c r="F578" s="81">
        <v>0.0</v>
      </c>
      <c r="G578" s="81">
        <v>0.0</v>
      </c>
      <c r="H578" s="81">
        <v>0.0</v>
      </c>
      <c r="I578" s="81">
        <v>5.0</v>
      </c>
      <c r="J578" s="81">
        <v>0.0</v>
      </c>
      <c r="K578" s="81">
        <v>0.0</v>
      </c>
      <c r="L578" s="81">
        <v>0.0</v>
      </c>
    </row>
    <row r="579" ht="15.75" customHeight="1">
      <c r="A579" s="228" t="s">
        <v>481</v>
      </c>
      <c r="B579" s="230" t="s">
        <v>162</v>
      </c>
      <c r="C579" s="61">
        <v>85.0</v>
      </c>
      <c r="D579" s="231" t="s">
        <v>83</v>
      </c>
      <c r="E579" s="81">
        <v>1.105</v>
      </c>
      <c r="F579" s="81">
        <v>1.7</v>
      </c>
      <c r="G579" s="81">
        <v>0.0</v>
      </c>
      <c r="H579" s="81">
        <v>0.0</v>
      </c>
      <c r="I579" s="81">
        <v>5.1</v>
      </c>
      <c r="J579" s="81">
        <v>2.55</v>
      </c>
      <c r="K579" s="81">
        <v>2.72</v>
      </c>
      <c r="L579" s="81">
        <v>0.0</v>
      </c>
    </row>
    <row r="580" ht="15.75" customHeight="1">
      <c r="A580" s="228" t="s">
        <v>483</v>
      </c>
      <c r="B580" s="230" t="s">
        <v>58</v>
      </c>
      <c r="C580" s="61">
        <v>247.0</v>
      </c>
      <c r="D580" s="231" t="s">
        <v>83</v>
      </c>
      <c r="E580" s="81">
        <v>1.1361999999999999</v>
      </c>
      <c r="F580" s="81">
        <v>0.0</v>
      </c>
      <c r="G580" s="81">
        <v>8.645000000000001</v>
      </c>
      <c r="H580" s="81">
        <v>22.23</v>
      </c>
      <c r="I580" s="81">
        <v>0.0</v>
      </c>
      <c r="J580" s="81">
        <v>1.9265999999999999</v>
      </c>
      <c r="K580" s="81">
        <v>9.88</v>
      </c>
      <c r="L580" s="81">
        <v>8.645000000000001</v>
      </c>
    </row>
    <row r="581" ht="15.75" customHeight="1">
      <c r="A581" s="228" t="s">
        <v>483</v>
      </c>
      <c r="B581" s="230" t="s">
        <v>134</v>
      </c>
      <c r="C581" s="61">
        <v>175.0</v>
      </c>
      <c r="D581" s="231" t="s">
        <v>83</v>
      </c>
      <c r="E581" s="81">
        <v>3.325</v>
      </c>
      <c r="F581" s="81">
        <v>0.0</v>
      </c>
      <c r="G581" s="81">
        <v>61.24999999999999</v>
      </c>
      <c r="H581" s="81">
        <v>10.5</v>
      </c>
      <c r="I581" s="81">
        <v>0.0</v>
      </c>
      <c r="J581" s="81">
        <v>0.9450000000000001</v>
      </c>
      <c r="K581" s="81">
        <v>5.25</v>
      </c>
      <c r="L581" s="81">
        <v>4.2</v>
      </c>
    </row>
    <row r="582" ht="15.75" customHeight="1">
      <c r="A582" s="228" t="s">
        <v>483</v>
      </c>
      <c r="B582" s="230" t="s">
        <v>14</v>
      </c>
      <c r="C582" s="61">
        <v>100.0</v>
      </c>
      <c r="D582" s="231" t="s">
        <v>83</v>
      </c>
      <c r="E582" s="81">
        <v>0.0</v>
      </c>
      <c r="F582" s="81">
        <v>0.0</v>
      </c>
      <c r="G582" s="81">
        <v>0.0</v>
      </c>
      <c r="H582" s="81">
        <v>0.0</v>
      </c>
      <c r="I582" s="81">
        <v>0.0</v>
      </c>
      <c r="J582" s="81">
        <v>0.0</v>
      </c>
      <c r="K582" s="81">
        <v>0.0</v>
      </c>
      <c r="L582" s="81">
        <v>0.0</v>
      </c>
    </row>
    <row r="583" ht="15.75" customHeight="1">
      <c r="A583" s="228" t="s">
        <v>483</v>
      </c>
      <c r="B583" s="230" t="s">
        <v>71</v>
      </c>
      <c r="C583" s="61">
        <v>250.0</v>
      </c>
      <c r="D583" s="231" t="s">
        <v>83</v>
      </c>
      <c r="E583" s="81">
        <v>5.0625</v>
      </c>
      <c r="F583" s="81">
        <v>110.0</v>
      </c>
      <c r="G583" s="81">
        <v>20.0</v>
      </c>
      <c r="H583" s="81">
        <v>45.5</v>
      </c>
      <c r="I583" s="81">
        <v>4.5</v>
      </c>
      <c r="J583" s="81">
        <v>107.5</v>
      </c>
      <c r="K583" s="81">
        <v>137.5</v>
      </c>
      <c r="L583" s="81">
        <v>20.0</v>
      </c>
    </row>
    <row r="584" ht="15.75" customHeight="1">
      <c r="A584" s="228" t="s">
        <v>483</v>
      </c>
      <c r="B584" s="230" t="s">
        <v>63</v>
      </c>
      <c r="C584" s="61">
        <v>90.0</v>
      </c>
      <c r="D584" s="231" t="s">
        <v>83</v>
      </c>
      <c r="E584" s="81">
        <v>2.88</v>
      </c>
      <c r="F584" s="81">
        <v>82.8</v>
      </c>
      <c r="G584" s="81">
        <v>0.0</v>
      </c>
      <c r="H584" s="81">
        <v>0.0</v>
      </c>
      <c r="I584" s="81">
        <v>0.0</v>
      </c>
      <c r="J584" s="81">
        <v>66.6</v>
      </c>
      <c r="K584" s="81">
        <v>162.0</v>
      </c>
      <c r="L584" s="81">
        <v>0.0</v>
      </c>
    </row>
    <row r="585" ht="15.75" customHeight="1">
      <c r="A585" s="228" t="s">
        <v>483</v>
      </c>
      <c r="B585" s="230" t="s">
        <v>74</v>
      </c>
      <c r="C585" s="61">
        <v>31.0</v>
      </c>
      <c r="D585" s="231" t="s">
        <v>83</v>
      </c>
      <c r="E585" s="81">
        <v>1.178</v>
      </c>
      <c r="F585" s="81">
        <v>29.45</v>
      </c>
      <c r="G585" s="81">
        <v>0.0</v>
      </c>
      <c r="H585" s="81">
        <v>0.0</v>
      </c>
      <c r="I585" s="81">
        <v>0.0</v>
      </c>
      <c r="J585" s="81">
        <v>12.4</v>
      </c>
      <c r="K585" s="81">
        <v>21.7</v>
      </c>
      <c r="L585" s="81">
        <v>0.0</v>
      </c>
    </row>
    <row r="586" ht="15.75" customHeight="1">
      <c r="A586" s="228" t="s">
        <v>483</v>
      </c>
      <c r="B586" s="230" t="s">
        <v>135</v>
      </c>
      <c r="C586" s="61">
        <v>10.0</v>
      </c>
      <c r="D586" s="231" t="s">
        <v>83</v>
      </c>
      <c r="E586" s="81">
        <v>0.54</v>
      </c>
      <c r="F586" s="81">
        <v>0.0</v>
      </c>
      <c r="G586" s="81">
        <v>0.0</v>
      </c>
      <c r="H586" s="81">
        <v>9.7</v>
      </c>
      <c r="I586" s="81">
        <v>0.0</v>
      </c>
      <c r="J586" s="81">
        <v>0.8</v>
      </c>
      <c r="K586" s="81">
        <v>5.0</v>
      </c>
      <c r="L586" s="81">
        <v>3.5999999999999996</v>
      </c>
    </row>
    <row r="587" ht="15.75" customHeight="1">
      <c r="A587" s="228" t="s">
        <v>483</v>
      </c>
      <c r="B587" s="230" t="s">
        <v>139</v>
      </c>
      <c r="C587" s="61">
        <v>5.0</v>
      </c>
      <c r="D587" s="231" t="s">
        <v>83</v>
      </c>
      <c r="E587" s="81">
        <v>1.0</v>
      </c>
      <c r="F587" s="81">
        <v>0.0</v>
      </c>
      <c r="G587" s="81">
        <v>0.0</v>
      </c>
      <c r="H587" s="81">
        <v>0.0</v>
      </c>
      <c r="I587" s="81">
        <v>5.0</v>
      </c>
      <c r="J587" s="81">
        <v>0.0</v>
      </c>
      <c r="K587" s="81">
        <v>0.0</v>
      </c>
      <c r="L587" s="81">
        <v>0.0</v>
      </c>
    </row>
    <row r="588" ht="15.75" customHeight="1">
      <c r="A588" s="228" t="s">
        <v>483</v>
      </c>
      <c r="B588" s="230" t="s">
        <v>351</v>
      </c>
      <c r="C588" s="61">
        <v>200.0</v>
      </c>
      <c r="D588" s="231" t="s">
        <v>83</v>
      </c>
      <c r="E588" s="81">
        <v>0.0</v>
      </c>
      <c r="F588" s="81">
        <v>14.000000000000002</v>
      </c>
      <c r="G588" s="81">
        <v>0.0</v>
      </c>
      <c r="H588" s="81">
        <v>0.0</v>
      </c>
      <c r="I588" s="81">
        <v>8.0</v>
      </c>
      <c r="J588" s="81">
        <v>14.000000000000002</v>
      </c>
      <c r="K588" s="81">
        <v>32.0</v>
      </c>
      <c r="L588" s="81">
        <v>0.6</v>
      </c>
    </row>
    <row r="589" ht="15.75" customHeight="1">
      <c r="A589" s="228" t="s">
        <v>485</v>
      </c>
      <c r="B589" s="230" t="s">
        <v>419</v>
      </c>
      <c r="C589" s="61">
        <v>550.0</v>
      </c>
      <c r="D589" s="231" t="s">
        <v>86</v>
      </c>
      <c r="E589" s="81">
        <v>16.5</v>
      </c>
      <c r="F589" s="81">
        <v>33.0</v>
      </c>
      <c r="G589" s="81">
        <v>5.5</v>
      </c>
      <c r="H589" s="81">
        <v>0.0</v>
      </c>
      <c r="I589" s="81">
        <v>22.0</v>
      </c>
      <c r="J589" s="81">
        <v>44.0</v>
      </c>
      <c r="K589" s="81">
        <v>55.0</v>
      </c>
      <c r="L589" s="81">
        <v>5.5</v>
      </c>
    </row>
    <row r="590" ht="15.75" customHeight="1">
      <c r="A590" s="228" t="s">
        <v>485</v>
      </c>
      <c r="B590" s="230" t="s">
        <v>14</v>
      </c>
      <c r="C590" s="61">
        <v>180.0</v>
      </c>
      <c r="D590" s="231" t="s">
        <v>86</v>
      </c>
      <c r="E590" s="81">
        <v>0.0</v>
      </c>
      <c r="F590" s="81">
        <v>0.0</v>
      </c>
      <c r="G590" s="81">
        <v>0.0</v>
      </c>
      <c r="H590" s="81">
        <v>0.0</v>
      </c>
      <c r="I590" s="81">
        <v>0.0</v>
      </c>
      <c r="J590" s="81">
        <v>0.0</v>
      </c>
      <c r="K590" s="81">
        <v>0.0</v>
      </c>
      <c r="L590" s="81">
        <v>0.0</v>
      </c>
    </row>
    <row r="591" ht="15.75" customHeight="1">
      <c r="A591" s="228" t="s">
        <v>485</v>
      </c>
      <c r="B591" s="230" t="s">
        <v>94</v>
      </c>
      <c r="C591" s="61">
        <v>135.0</v>
      </c>
      <c r="D591" s="231" t="s">
        <v>86</v>
      </c>
      <c r="E591" s="81">
        <v>0.54</v>
      </c>
      <c r="F591" s="81">
        <v>135.0</v>
      </c>
      <c r="G591" s="81">
        <v>0.0</v>
      </c>
      <c r="H591" s="81">
        <v>0.0</v>
      </c>
      <c r="I591" s="81">
        <v>0.0</v>
      </c>
      <c r="J591" s="81">
        <v>135.0</v>
      </c>
      <c r="K591" s="81">
        <v>135.0</v>
      </c>
      <c r="L591" s="81">
        <v>0.0</v>
      </c>
    </row>
    <row r="592" ht="15.75" customHeight="1">
      <c r="A592" s="228" t="s">
        <v>485</v>
      </c>
      <c r="B592" s="230" t="s">
        <v>63</v>
      </c>
      <c r="C592" s="61">
        <v>30.0</v>
      </c>
      <c r="D592" s="231" t="s">
        <v>86</v>
      </c>
      <c r="E592" s="81">
        <v>0.96</v>
      </c>
      <c r="F592" s="81">
        <v>27.6</v>
      </c>
      <c r="G592" s="81">
        <v>0.0</v>
      </c>
      <c r="H592" s="81">
        <v>0.0</v>
      </c>
      <c r="I592" s="81">
        <v>0.0</v>
      </c>
      <c r="J592" s="81">
        <v>22.2</v>
      </c>
      <c r="K592" s="81">
        <v>54.0</v>
      </c>
      <c r="L592" s="81">
        <v>0.0</v>
      </c>
    </row>
    <row r="593" ht="15.75" customHeight="1">
      <c r="A593" s="228" t="s">
        <v>485</v>
      </c>
      <c r="B593" s="230" t="s">
        <v>74</v>
      </c>
      <c r="C593" s="61">
        <v>70.0</v>
      </c>
      <c r="D593" s="231" t="s">
        <v>86</v>
      </c>
      <c r="E593" s="81">
        <v>2.66</v>
      </c>
      <c r="F593" s="81">
        <v>66.5</v>
      </c>
      <c r="G593" s="81">
        <v>0.0</v>
      </c>
      <c r="H593" s="81">
        <v>0.0</v>
      </c>
      <c r="I593" s="81">
        <v>0.0</v>
      </c>
      <c r="J593" s="81">
        <v>28.0</v>
      </c>
      <c r="K593" s="81">
        <v>49.0</v>
      </c>
      <c r="L593" s="81">
        <v>0.0</v>
      </c>
    </row>
    <row r="594" ht="15.75" customHeight="1">
      <c r="A594" s="228" t="s">
        <v>485</v>
      </c>
      <c r="B594" s="230" t="s">
        <v>170</v>
      </c>
      <c r="C594" s="61">
        <v>15.0</v>
      </c>
      <c r="D594" s="231" t="s">
        <v>86</v>
      </c>
      <c r="E594" s="81">
        <v>1.425</v>
      </c>
      <c r="F594" s="81">
        <v>0.0</v>
      </c>
      <c r="G594" s="81">
        <v>0.0</v>
      </c>
      <c r="H594" s="81">
        <v>0.0</v>
      </c>
      <c r="I594" s="81">
        <v>14.25</v>
      </c>
      <c r="J594" s="81">
        <v>0.0</v>
      </c>
      <c r="K594" s="81">
        <v>3.0</v>
      </c>
      <c r="L594" s="81">
        <v>0.0</v>
      </c>
    </row>
    <row r="595" ht="15.75" customHeight="1">
      <c r="A595" s="228" t="s">
        <v>485</v>
      </c>
      <c r="B595" s="230" t="s">
        <v>162</v>
      </c>
      <c r="C595" s="61">
        <v>20.0</v>
      </c>
      <c r="D595" s="231" t="s">
        <v>86</v>
      </c>
      <c r="E595" s="81">
        <v>0.26</v>
      </c>
      <c r="F595" s="81">
        <v>0.4</v>
      </c>
      <c r="G595" s="81">
        <v>0.0</v>
      </c>
      <c r="H595" s="81">
        <v>0.0</v>
      </c>
      <c r="I595" s="81">
        <v>1.2</v>
      </c>
      <c r="J595" s="81">
        <v>0.6</v>
      </c>
      <c r="K595" s="81">
        <v>0.64</v>
      </c>
      <c r="L595" s="81">
        <v>0.0</v>
      </c>
    </row>
    <row r="596" ht="15.75" customHeight="1">
      <c r="A596" s="228" t="s">
        <v>485</v>
      </c>
      <c r="B596" s="230" t="s">
        <v>139</v>
      </c>
      <c r="C596" s="61">
        <v>5.0</v>
      </c>
      <c r="D596" s="231" t="s">
        <v>86</v>
      </c>
      <c r="E596" s="81">
        <v>1.0</v>
      </c>
      <c r="F596" s="81">
        <v>0.0</v>
      </c>
      <c r="G596" s="81">
        <v>0.0</v>
      </c>
      <c r="H596" s="81">
        <v>0.0</v>
      </c>
      <c r="I596" s="81">
        <v>5.0</v>
      </c>
      <c r="J596" s="81">
        <v>0.0</v>
      </c>
      <c r="K596" s="81">
        <v>0.0</v>
      </c>
      <c r="L596" s="81">
        <v>0.0</v>
      </c>
    </row>
    <row r="597" ht="15.75" customHeight="1">
      <c r="A597" s="228" t="s">
        <v>486</v>
      </c>
      <c r="B597" s="230" t="s">
        <v>348</v>
      </c>
      <c r="C597" s="61">
        <v>400.0</v>
      </c>
      <c r="D597" s="231" t="s">
        <v>86</v>
      </c>
      <c r="E597" s="81">
        <v>0.0</v>
      </c>
      <c r="F597" s="81">
        <v>52.0</v>
      </c>
      <c r="G597" s="81">
        <v>0.0</v>
      </c>
      <c r="H597" s="81">
        <v>0.0</v>
      </c>
      <c r="I597" s="81">
        <v>16.0</v>
      </c>
      <c r="J597" s="81">
        <v>60.0</v>
      </c>
      <c r="K597" s="81">
        <v>72.0</v>
      </c>
      <c r="L597" s="81">
        <v>4.0</v>
      </c>
    </row>
    <row r="598" ht="15.75" customHeight="1">
      <c r="A598" s="228" t="s">
        <v>486</v>
      </c>
      <c r="B598" s="230" t="s">
        <v>14</v>
      </c>
      <c r="C598" s="61">
        <v>190.0</v>
      </c>
      <c r="D598" s="231" t="s">
        <v>86</v>
      </c>
      <c r="E598" s="81">
        <v>0.0</v>
      </c>
      <c r="F598" s="81">
        <v>0.0</v>
      </c>
      <c r="G598" s="81">
        <v>0.0</v>
      </c>
      <c r="H598" s="81">
        <v>0.0</v>
      </c>
      <c r="I598" s="81">
        <v>0.0</v>
      </c>
      <c r="J598" s="81">
        <v>0.0</v>
      </c>
      <c r="K598" s="81">
        <v>0.0</v>
      </c>
      <c r="L598" s="81">
        <v>0.0</v>
      </c>
    </row>
    <row r="599" ht="15.75" customHeight="1">
      <c r="A599" s="228" t="s">
        <v>486</v>
      </c>
      <c r="B599" s="230" t="s">
        <v>351</v>
      </c>
      <c r="C599" s="61">
        <v>175.0</v>
      </c>
      <c r="D599" s="231" t="s">
        <v>86</v>
      </c>
      <c r="E599" s="81">
        <v>0.0</v>
      </c>
      <c r="F599" s="81">
        <v>12.250000000000002</v>
      </c>
      <c r="G599" s="81">
        <v>0.0</v>
      </c>
      <c r="H599" s="81">
        <v>0.0</v>
      </c>
      <c r="I599" s="81">
        <v>7.0</v>
      </c>
      <c r="J599" s="81">
        <v>12.250000000000002</v>
      </c>
      <c r="K599" s="81">
        <v>28.0</v>
      </c>
      <c r="L599" s="81">
        <v>0.525</v>
      </c>
    </row>
    <row r="600" ht="15.75" customHeight="1">
      <c r="A600" s="228" t="s">
        <v>486</v>
      </c>
      <c r="B600" s="230" t="s">
        <v>94</v>
      </c>
      <c r="C600" s="61">
        <v>120.0</v>
      </c>
      <c r="D600" s="231" t="s">
        <v>86</v>
      </c>
      <c r="E600" s="81">
        <v>0.48</v>
      </c>
      <c r="F600" s="81">
        <v>120.0</v>
      </c>
      <c r="G600" s="81">
        <v>0.0</v>
      </c>
      <c r="H600" s="81">
        <v>0.0</v>
      </c>
      <c r="I600" s="81">
        <v>0.0</v>
      </c>
      <c r="J600" s="81">
        <v>120.0</v>
      </c>
      <c r="K600" s="81">
        <v>120.0</v>
      </c>
      <c r="L600" s="81">
        <v>0.0</v>
      </c>
    </row>
    <row r="601" ht="15.75" customHeight="1">
      <c r="A601" s="228" t="s">
        <v>486</v>
      </c>
      <c r="B601" s="230" t="s">
        <v>63</v>
      </c>
      <c r="C601" s="61">
        <v>30.0</v>
      </c>
      <c r="D601" s="231" t="s">
        <v>86</v>
      </c>
      <c r="E601" s="81">
        <v>0.96</v>
      </c>
      <c r="F601" s="81">
        <v>27.6</v>
      </c>
      <c r="G601" s="81">
        <v>0.0</v>
      </c>
      <c r="H601" s="81">
        <v>0.0</v>
      </c>
      <c r="I601" s="81">
        <v>0.0</v>
      </c>
      <c r="J601" s="81">
        <v>22.2</v>
      </c>
      <c r="K601" s="81">
        <v>54.0</v>
      </c>
      <c r="L601" s="81">
        <v>0.0</v>
      </c>
    </row>
    <row r="602" ht="15.75" customHeight="1">
      <c r="A602" s="228" t="s">
        <v>486</v>
      </c>
      <c r="B602" s="230" t="s">
        <v>74</v>
      </c>
      <c r="C602" s="61">
        <v>50.0</v>
      </c>
      <c r="D602" s="231" t="s">
        <v>86</v>
      </c>
      <c r="E602" s="81">
        <v>1.9</v>
      </c>
      <c r="F602" s="81">
        <v>47.5</v>
      </c>
      <c r="G602" s="81">
        <v>0.0</v>
      </c>
      <c r="H602" s="81">
        <v>0.0</v>
      </c>
      <c r="I602" s="81">
        <v>0.0</v>
      </c>
      <c r="J602" s="81">
        <v>20.0</v>
      </c>
      <c r="K602" s="81">
        <v>35.0</v>
      </c>
      <c r="L602" s="81">
        <v>0.0</v>
      </c>
    </row>
    <row r="603" ht="15.75" customHeight="1">
      <c r="A603" s="228" t="s">
        <v>486</v>
      </c>
      <c r="B603" s="230" t="s">
        <v>170</v>
      </c>
      <c r="C603" s="61">
        <v>30.0</v>
      </c>
      <c r="D603" s="231" t="s">
        <v>86</v>
      </c>
      <c r="E603" s="81">
        <v>2.85</v>
      </c>
      <c r="F603" s="81">
        <v>0.0</v>
      </c>
      <c r="G603" s="81">
        <v>0.0</v>
      </c>
      <c r="H603" s="81">
        <v>0.0</v>
      </c>
      <c r="I603" s="81">
        <v>28.5</v>
      </c>
      <c r="J603" s="81">
        <v>0.0</v>
      </c>
      <c r="K603" s="81">
        <v>6.0</v>
      </c>
      <c r="L603" s="81">
        <v>0.0</v>
      </c>
    </row>
    <row r="604" ht="15.75" customHeight="1">
      <c r="A604" s="228" t="s">
        <v>486</v>
      </c>
      <c r="B604" s="230" t="s">
        <v>139</v>
      </c>
      <c r="C604" s="61">
        <v>5.0</v>
      </c>
      <c r="D604" s="231" t="s">
        <v>86</v>
      </c>
      <c r="E604" s="81">
        <v>1.0</v>
      </c>
      <c r="F604" s="81">
        <v>0.0</v>
      </c>
      <c r="G604" s="81">
        <v>0.0</v>
      </c>
      <c r="H604" s="81">
        <v>0.0</v>
      </c>
      <c r="I604" s="81">
        <v>5.0</v>
      </c>
      <c r="J604" s="81">
        <v>0.0</v>
      </c>
      <c r="K604" s="81">
        <v>0.0</v>
      </c>
      <c r="L604" s="81">
        <v>0.0</v>
      </c>
    </row>
    <row r="605" ht="15.75" customHeight="1">
      <c r="A605" s="228" t="s">
        <v>488</v>
      </c>
      <c r="B605" s="230" t="s">
        <v>162</v>
      </c>
      <c r="C605" s="61">
        <v>250.0</v>
      </c>
      <c r="D605" s="231" t="s">
        <v>86</v>
      </c>
      <c r="E605" s="81">
        <v>3.25</v>
      </c>
      <c r="F605" s="81">
        <v>5.0</v>
      </c>
      <c r="G605" s="81">
        <v>0.0</v>
      </c>
      <c r="H605" s="81">
        <v>0.0</v>
      </c>
      <c r="I605" s="81">
        <v>15.0</v>
      </c>
      <c r="J605" s="81">
        <v>7.5</v>
      </c>
      <c r="K605" s="81">
        <v>8.0</v>
      </c>
      <c r="L605" s="81">
        <v>0.0</v>
      </c>
    </row>
    <row r="606" ht="15.75" customHeight="1">
      <c r="A606" s="228" t="s">
        <v>488</v>
      </c>
      <c r="B606" s="230" t="s">
        <v>14</v>
      </c>
      <c r="C606" s="61">
        <v>470.0</v>
      </c>
      <c r="D606" s="231" t="s">
        <v>86</v>
      </c>
      <c r="E606" s="81">
        <v>0.0</v>
      </c>
      <c r="F606" s="81">
        <v>0.0</v>
      </c>
      <c r="G606" s="81">
        <v>0.0</v>
      </c>
      <c r="H606" s="81">
        <v>0.0</v>
      </c>
      <c r="I606" s="81">
        <v>0.0</v>
      </c>
      <c r="J606" s="81">
        <v>0.0</v>
      </c>
      <c r="K606" s="81">
        <v>0.0</v>
      </c>
      <c r="L606" s="81">
        <v>0.0</v>
      </c>
    </row>
    <row r="607" ht="15.75" customHeight="1">
      <c r="A607" s="228" t="s">
        <v>488</v>
      </c>
      <c r="B607" s="230" t="s">
        <v>94</v>
      </c>
      <c r="C607" s="61">
        <v>120.0</v>
      </c>
      <c r="D607" s="231" t="s">
        <v>86</v>
      </c>
      <c r="E607" s="81">
        <v>0.48</v>
      </c>
      <c r="F607" s="81">
        <v>120.0</v>
      </c>
      <c r="G607" s="81">
        <v>0.0</v>
      </c>
      <c r="H607" s="81">
        <v>0.0</v>
      </c>
      <c r="I607" s="81">
        <v>0.0</v>
      </c>
      <c r="J607" s="81">
        <v>120.0</v>
      </c>
      <c r="K607" s="81">
        <v>120.0</v>
      </c>
      <c r="L607" s="81">
        <v>0.0</v>
      </c>
    </row>
    <row r="608" ht="15.75" customHeight="1">
      <c r="A608" s="228" t="s">
        <v>488</v>
      </c>
      <c r="B608" s="230" t="s">
        <v>63</v>
      </c>
      <c r="C608" s="61">
        <v>55.0</v>
      </c>
      <c r="D608" s="231" t="s">
        <v>86</v>
      </c>
      <c r="E608" s="81">
        <v>1.76</v>
      </c>
      <c r="F608" s="81">
        <v>50.6</v>
      </c>
      <c r="G608" s="81">
        <v>0.0</v>
      </c>
      <c r="H608" s="81">
        <v>0.0</v>
      </c>
      <c r="I608" s="81">
        <v>0.0</v>
      </c>
      <c r="J608" s="81">
        <v>40.7</v>
      </c>
      <c r="K608" s="81">
        <v>99.0</v>
      </c>
      <c r="L608" s="81">
        <v>0.0</v>
      </c>
    </row>
    <row r="609" ht="15.75" customHeight="1">
      <c r="A609" s="228" t="s">
        <v>488</v>
      </c>
      <c r="B609" s="230" t="s">
        <v>74</v>
      </c>
      <c r="C609" s="61">
        <v>60.0</v>
      </c>
      <c r="D609" s="231" t="s">
        <v>86</v>
      </c>
      <c r="E609" s="81">
        <v>2.28</v>
      </c>
      <c r="F609" s="81">
        <v>57.0</v>
      </c>
      <c r="G609" s="81">
        <v>0.0</v>
      </c>
      <c r="H609" s="81">
        <v>0.0</v>
      </c>
      <c r="I609" s="81">
        <v>0.0</v>
      </c>
      <c r="J609" s="81">
        <v>24.0</v>
      </c>
      <c r="K609" s="81">
        <v>42.0</v>
      </c>
      <c r="L609" s="81">
        <v>0.0</v>
      </c>
    </row>
    <row r="610" ht="15.75" customHeight="1">
      <c r="A610" s="228" t="s">
        <v>488</v>
      </c>
      <c r="B610" s="230" t="s">
        <v>170</v>
      </c>
      <c r="C610" s="61">
        <v>40.0</v>
      </c>
      <c r="D610" s="231" t="s">
        <v>86</v>
      </c>
      <c r="E610" s="81">
        <v>3.8</v>
      </c>
      <c r="F610" s="81">
        <v>0.0</v>
      </c>
      <c r="G610" s="81">
        <v>0.0</v>
      </c>
      <c r="H610" s="81">
        <v>0.0</v>
      </c>
      <c r="I610" s="81">
        <v>38.0</v>
      </c>
      <c r="J610" s="81">
        <v>0.0</v>
      </c>
      <c r="K610" s="81">
        <v>8.0</v>
      </c>
      <c r="L610" s="81">
        <v>0.0</v>
      </c>
    </row>
    <row r="611" ht="15.75" customHeight="1">
      <c r="A611" s="228" t="s">
        <v>488</v>
      </c>
      <c r="B611" s="230" t="s">
        <v>139</v>
      </c>
      <c r="C611" s="61">
        <v>5.0</v>
      </c>
      <c r="D611" s="231" t="s">
        <v>86</v>
      </c>
      <c r="E611" s="81">
        <v>1.0</v>
      </c>
      <c r="F611" s="81">
        <v>0.0</v>
      </c>
      <c r="G611" s="81">
        <v>0.0</v>
      </c>
      <c r="H611" s="81">
        <v>0.0</v>
      </c>
      <c r="I611" s="81">
        <v>5.0</v>
      </c>
      <c r="J611" s="81">
        <v>0.0</v>
      </c>
      <c r="K611" s="81">
        <v>0.0</v>
      </c>
      <c r="L611" s="81">
        <v>0.0</v>
      </c>
    </row>
    <row r="612" ht="15.75" customHeight="1">
      <c r="A612" s="228" t="s">
        <v>489</v>
      </c>
      <c r="B612" s="230" t="s">
        <v>298</v>
      </c>
      <c r="C612" s="61">
        <v>535.0</v>
      </c>
      <c r="D612" s="231" t="s">
        <v>86</v>
      </c>
      <c r="E612" s="81">
        <v>0.0</v>
      </c>
      <c r="F612" s="81">
        <v>37.45</v>
      </c>
      <c r="G612" s="81">
        <v>5.3500000000000005</v>
      </c>
      <c r="H612" s="81">
        <v>0.0</v>
      </c>
      <c r="I612" s="81">
        <v>42.800000000000004</v>
      </c>
      <c r="J612" s="81">
        <v>45.475</v>
      </c>
      <c r="K612" s="81">
        <v>56.175</v>
      </c>
      <c r="L612" s="81">
        <v>5.3500000000000005</v>
      </c>
    </row>
    <row r="613" ht="15.75" customHeight="1">
      <c r="A613" s="228" t="s">
        <v>489</v>
      </c>
      <c r="B613" s="230" t="s">
        <v>14</v>
      </c>
      <c r="C613" s="61">
        <v>225.0</v>
      </c>
      <c r="D613" s="231" t="s">
        <v>86</v>
      </c>
      <c r="E613" s="81">
        <v>0.0</v>
      </c>
      <c r="F613" s="81">
        <v>0.0</v>
      </c>
      <c r="G613" s="81">
        <v>0.0</v>
      </c>
      <c r="H613" s="81">
        <v>0.0</v>
      </c>
      <c r="I613" s="81">
        <v>0.0</v>
      </c>
      <c r="J613" s="81">
        <v>0.0</v>
      </c>
      <c r="K613" s="81">
        <v>0.0</v>
      </c>
      <c r="L613" s="81">
        <v>0.0</v>
      </c>
    </row>
    <row r="614" ht="15.75" customHeight="1">
      <c r="A614" s="228" t="s">
        <v>489</v>
      </c>
      <c r="B614" s="230" t="s">
        <v>94</v>
      </c>
      <c r="C614" s="61">
        <v>120.0</v>
      </c>
      <c r="D614" s="231" t="s">
        <v>86</v>
      </c>
      <c r="E614" s="81">
        <v>0.48</v>
      </c>
      <c r="F614" s="81">
        <v>120.0</v>
      </c>
      <c r="G614" s="81">
        <v>0.0</v>
      </c>
      <c r="H614" s="81">
        <v>0.0</v>
      </c>
      <c r="I614" s="81">
        <v>0.0</v>
      </c>
      <c r="J614" s="81">
        <v>120.0</v>
      </c>
      <c r="K614" s="81">
        <v>120.0</v>
      </c>
      <c r="L614" s="81">
        <v>0.0</v>
      </c>
    </row>
    <row r="615" ht="15.75" customHeight="1">
      <c r="A615" s="228" t="s">
        <v>489</v>
      </c>
      <c r="B615" s="230" t="s">
        <v>63</v>
      </c>
      <c r="C615" s="61">
        <v>45.0</v>
      </c>
      <c r="D615" s="231" t="s">
        <v>86</v>
      </c>
      <c r="E615" s="81">
        <v>1.44</v>
      </c>
      <c r="F615" s="81">
        <v>41.4</v>
      </c>
      <c r="G615" s="81">
        <v>0.0</v>
      </c>
      <c r="H615" s="81">
        <v>0.0</v>
      </c>
      <c r="I615" s="81">
        <v>0.0</v>
      </c>
      <c r="J615" s="81">
        <v>33.3</v>
      </c>
      <c r="K615" s="81">
        <v>81.0</v>
      </c>
      <c r="L615" s="81">
        <v>0.0</v>
      </c>
    </row>
    <row r="616" ht="15.75" customHeight="1">
      <c r="A616" s="228" t="s">
        <v>489</v>
      </c>
      <c r="B616" s="230" t="s">
        <v>74</v>
      </c>
      <c r="C616" s="61">
        <v>35.0</v>
      </c>
      <c r="D616" s="231" t="s">
        <v>86</v>
      </c>
      <c r="E616" s="81">
        <v>1.33</v>
      </c>
      <c r="F616" s="81">
        <v>33.25</v>
      </c>
      <c r="G616" s="81">
        <v>0.0</v>
      </c>
      <c r="H616" s="81">
        <v>0.0</v>
      </c>
      <c r="I616" s="81">
        <v>0.0</v>
      </c>
      <c r="J616" s="81">
        <v>14.0</v>
      </c>
      <c r="K616" s="81">
        <v>24.5</v>
      </c>
      <c r="L616" s="81">
        <v>0.0</v>
      </c>
    </row>
    <row r="617" ht="15.75" customHeight="1">
      <c r="A617" s="228" t="s">
        <v>489</v>
      </c>
      <c r="B617" s="230" t="s">
        <v>162</v>
      </c>
      <c r="C617" s="61">
        <v>20.0</v>
      </c>
      <c r="D617" s="231" t="s">
        <v>86</v>
      </c>
      <c r="E617" s="81">
        <v>0.26</v>
      </c>
      <c r="F617" s="81">
        <v>0.4</v>
      </c>
      <c r="G617" s="81">
        <v>0.0</v>
      </c>
      <c r="H617" s="81">
        <v>0.0</v>
      </c>
      <c r="I617" s="81">
        <v>1.2</v>
      </c>
      <c r="J617" s="81">
        <v>0.6</v>
      </c>
      <c r="K617" s="81">
        <v>0.64</v>
      </c>
      <c r="L617" s="81">
        <v>0.0</v>
      </c>
    </row>
    <row r="618" ht="15.75" customHeight="1">
      <c r="A618" s="228" t="s">
        <v>489</v>
      </c>
      <c r="B618" s="230" t="s">
        <v>170</v>
      </c>
      <c r="C618" s="61">
        <v>15.0</v>
      </c>
      <c r="D618" s="231" t="s">
        <v>86</v>
      </c>
      <c r="E618" s="81">
        <v>1.425</v>
      </c>
      <c r="F618" s="81">
        <v>0.0</v>
      </c>
      <c r="G618" s="81">
        <v>0.0</v>
      </c>
      <c r="H618" s="81">
        <v>0.0</v>
      </c>
      <c r="I618" s="81">
        <v>14.25</v>
      </c>
      <c r="J618" s="81">
        <v>0.0</v>
      </c>
      <c r="K618" s="81">
        <v>3.0</v>
      </c>
      <c r="L618" s="81">
        <v>0.0</v>
      </c>
    </row>
    <row r="619" ht="15.75" customHeight="1">
      <c r="A619" s="228" t="s">
        <v>489</v>
      </c>
      <c r="B619" s="230" t="s">
        <v>139</v>
      </c>
      <c r="C619" s="61">
        <v>5.0</v>
      </c>
      <c r="D619" s="231" t="s">
        <v>86</v>
      </c>
      <c r="E619" s="81">
        <v>1.0</v>
      </c>
      <c r="F619" s="81">
        <v>0.0</v>
      </c>
      <c r="G619" s="81">
        <v>0.0</v>
      </c>
      <c r="H619" s="81">
        <v>0.0</v>
      </c>
      <c r="I619" s="81">
        <v>5.0</v>
      </c>
      <c r="J619" s="81">
        <v>0.0</v>
      </c>
      <c r="K619" s="81">
        <v>0.0</v>
      </c>
      <c r="L619" s="81">
        <v>0.0</v>
      </c>
    </row>
    <row r="620" ht="15.75" customHeight="1">
      <c r="A620" s="228" t="s">
        <v>491</v>
      </c>
      <c r="B620" s="230" t="s">
        <v>105</v>
      </c>
      <c r="C620" s="61">
        <v>490.0</v>
      </c>
      <c r="D620" s="231" t="s">
        <v>86</v>
      </c>
      <c r="E620" s="81">
        <v>0.0</v>
      </c>
      <c r="F620" s="81">
        <v>78.4</v>
      </c>
      <c r="G620" s="81">
        <v>0.0</v>
      </c>
      <c r="H620" s="81">
        <v>0.0</v>
      </c>
      <c r="I620" s="81">
        <v>34.300000000000004</v>
      </c>
      <c r="J620" s="81">
        <v>93.1</v>
      </c>
      <c r="K620" s="81">
        <v>112.7</v>
      </c>
      <c r="L620" s="81">
        <v>4.9</v>
      </c>
    </row>
    <row r="621" ht="15.75" customHeight="1">
      <c r="A621" s="228" t="s">
        <v>491</v>
      </c>
      <c r="B621" s="230" t="s">
        <v>14</v>
      </c>
      <c r="C621" s="61">
        <v>300.0</v>
      </c>
      <c r="D621" s="231" t="s">
        <v>86</v>
      </c>
      <c r="E621" s="81">
        <v>0.0</v>
      </c>
      <c r="F621" s="81">
        <v>0.0</v>
      </c>
      <c r="G621" s="81">
        <v>0.0</v>
      </c>
      <c r="H621" s="81">
        <v>0.0</v>
      </c>
      <c r="I621" s="81">
        <v>0.0</v>
      </c>
      <c r="J621" s="81">
        <v>0.0</v>
      </c>
      <c r="K621" s="81">
        <v>0.0</v>
      </c>
      <c r="L621" s="81">
        <v>0.0</v>
      </c>
    </row>
    <row r="622" ht="15.75" customHeight="1">
      <c r="A622" s="228" t="s">
        <v>491</v>
      </c>
      <c r="B622" s="230" t="s">
        <v>94</v>
      </c>
      <c r="C622" s="61">
        <v>100.0</v>
      </c>
      <c r="D622" s="231" t="s">
        <v>86</v>
      </c>
      <c r="E622" s="81">
        <v>0.4</v>
      </c>
      <c r="F622" s="81">
        <v>100.0</v>
      </c>
      <c r="G622" s="81">
        <v>0.0</v>
      </c>
      <c r="H622" s="81">
        <v>0.0</v>
      </c>
      <c r="I622" s="81">
        <v>0.0</v>
      </c>
      <c r="J622" s="81">
        <v>100.0</v>
      </c>
      <c r="K622" s="81">
        <v>100.0</v>
      </c>
      <c r="L622" s="81">
        <v>0.0</v>
      </c>
    </row>
    <row r="623" ht="15.75" customHeight="1">
      <c r="A623" s="228" t="s">
        <v>491</v>
      </c>
      <c r="B623" s="230" t="s">
        <v>63</v>
      </c>
      <c r="C623" s="61">
        <v>45.0</v>
      </c>
      <c r="D623" s="231" t="s">
        <v>86</v>
      </c>
      <c r="E623" s="81">
        <v>1.44</v>
      </c>
      <c r="F623" s="81">
        <v>41.4</v>
      </c>
      <c r="G623" s="81">
        <v>0.0</v>
      </c>
      <c r="H623" s="81">
        <v>0.0</v>
      </c>
      <c r="I623" s="81">
        <v>0.0</v>
      </c>
      <c r="J623" s="81">
        <v>33.3</v>
      </c>
      <c r="K623" s="81">
        <v>81.0</v>
      </c>
      <c r="L623" s="81">
        <v>0.0</v>
      </c>
    </row>
    <row r="624" ht="15.75" customHeight="1">
      <c r="A624" s="228" t="s">
        <v>491</v>
      </c>
      <c r="B624" s="230" t="s">
        <v>74</v>
      </c>
      <c r="C624" s="61">
        <v>35.0</v>
      </c>
      <c r="D624" s="231" t="s">
        <v>86</v>
      </c>
      <c r="E624" s="81">
        <v>1.33</v>
      </c>
      <c r="F624" s="81">
        <v>33.25</v>
      </c>
      <c r="G624" s="81">
        <v>0.0</v>
      </c>
      <c r="H624" s="81">
        <v>0.0</v>
      </c>
      <c r="I624" s="81">
        <v>0.0</v>
      </c>
      <c r="J624" s="81">
        <v>14.0</v>
      </c>
      <c r="K624" s="81">
        <v>24.5</v>
      </c>
      <c r="L624" s="81">
        <v>0.0</v>
      </c>
    </row>
    <row r="625" ht="15.75" customHeight="1">
      <c r="A625" s="228" t="s">
        <v>491</v>
      </c>
      <c r="B625" s="230" t="s">
        <v>162</v>
      </c>
      <c r="C625" s="61">
        <v>20.0</v>
      </c>
      <c r="D625" s="231" t="s">
        <v>86</v>
      </c>
      <c r="E625" s="81">
        <v>0.26</v>
      </c>
      <c r="F625" s="81">
        <v>0.4</v>
      </c>
      <c r="G625" s="81">
        <v>0.0</v>
      </c>
      <c r="H625" s="81">
        <v>0.0</v>
      </c>
      <c r="I625" s="81">
        <v>1.2</v>
      </c>
      <c r="J625" s="81">
        <v>0.6</v>
      </c>
      <c r="K625" s="81">
        <v>0.64</v>
      </c>
      <c r="L625" s="81">
        <v>0.0</v>
      </c>
    </row>
    <row r="626" ht="15.75" customHeight="1">
      <c r="A626" s="228" t="s">
        <v>491</v>
      </c>
      <c r="B626" s="230" t="s">
        <v>170</v>
      </c>
      <c r="C626" s="61">
        <v>5.0</v>
      </c>
      <c r="D626" s="231" t="s">
        <v>86</v>
      </c>
      <c r="E626" s="81">
        <v>0.475</v>
      </c>
      <c r="F626" s="81">
        <v>0.0</v>
      </c>
      <c r="G626" s="81">
        <v>0.0</v>
      </c>
      <c r="H626" s="81">
        <v>0.0</v>
      </c>
      <c r="I626" s="81">
        <v>4.75</v>
      </c>
      <c r="J626" s="81">
        <v>0.0</v>
      </c>
      <c r="K626" s="81">
        <v>1.0</v>
      </c>
      <c r="L626" s="81">
        <v>0.0</v>
      </c>
    </row>
    <row r="627" ht="15.75" customHeight="1">
      <c r="A627" s="228" t="s">
        <v>491</v>
      </c>
      <c r="B627" s="230" t="s">
        <v>139</v>
      </c>
      <c r="C627" s="61">
        <v>5.0</v>
      </c>
      <c r="D627" s="231" t="s">
        <v>86</v>
      </c>
      <c r="E627" s="81">
        <v>1.0</v>
      </c>
      <c r="F627" s="81">
        <v>0.0</v>
      </c>
      <c r="G627" s="81">
        <v>0.0</v>
      </c>
      <c r="H627" s="81">
        <v>0.0</v>
      </c>
      <c r="I627" s="81">
        <v>5.0</v>
      </c>
      <c r="J627" s="81">
        <v>0.0</v>
      </c>
      <c r="K627" s="81">
        <v>0.0</v>
      </c>
      <c r="L627" s="81">
        <v>0.0</v>
      </c>
    </row>
    <row r="628" ht="15.75" customHeight="1">
      <c r="A628" s="228" t="s">
        <v>493</v>
      </c>
      <c r="B628" s="230" t="s">
        <v>354</v>
      </c>
      <c r="C628" s="61">
        <v>650.0</v>
      </c>
      <c r="D628" s="231" t="s">
        <v>86</v>
      </c>
      <c r="E628" s="81">
        <v>0.0</v>
      </c>
      <c r="F628" s="81">
        <v>29.25</v>
      </c>
      <c r="G628" s="81">
        <v>0.0</v>
      </c>
      <c r="H628" s="81">
        <v>0.0</v>
      </c>
      <c r="I628" s="81">
        <v>16.25</v>
      </c>
      <c r="J628" s="81">
        <v>35.1</v>
      </c>
      <c r="K628" s="81">
        <v>42.25</v>
      </c>
      <c r="L628" s="81">
        <v>0.0</v>
      </c>
    </row>
    <row r="629" ht="15.75" customHeight="1">
      <c r="A629" s="228" t="s">
        <v>493</v>
      </c>
      <c r="B629" s="230" t="s">
        <v>14</v>
      </c>
      <c r="C629" s="61">
        <v>80.0</v>
      </c>
      <c r="D629" s="231" t="s">
        <v>86</v>
      </c>
      <c r="E629" s="81">
        <v>0.0</v>
      </c>
      <c r="F629" s="81">
        <v>0.0</v>
      </c>
      <c r="G629" s="81">
        <v>0.0</v>
      </c>
      <c r="H629" s="81">
        <v>0.0</v>
      </c>
      <c r="I629" s="81">
        <v>0.0</v>
      </c>
      <c r="J629" s="81">
        <v>0.0</v>
      </c>
      <c r="K629" s="81">
        <v>0.0</v>
      </c>
      <c r="L629" s="81">
        <v>0.0</v>
      </c>
    </row>
    <row r="630" ht="15.75" customHeight="1">
      <c r="A630" s="228" t="s">
        <v>493</v>
      </c>
      <c r="B630" s="230" t="s">
        <v>94</v>
      </c>
      <c r="C630" s="61">
        <v>120.0</v>
      </c>
      <c r="D630" s="231" t="s">
        <v>86</v>
      </c>
      <c r="E630" s="81">
        <v>0.48</v>
      </c>
      <c r="F630" s="81">
        <v>120.0</v>
      </c>
      <c r="G630" s="81">
        <v>0.0</v>
      </c>
      <c r="H630" s="81">
        <v>0.0</v>
      </c>
      <c r="I630" s="81">
        <v>0.0</v>
      </c>
      <c r="J630" s="81">
        <v>120.0</v>
      </c>
      <c r="K630" s="81">
        <v>120.0</v>
      </c>
      <c r="L630" s="81">
        <v>0.0</v>
      </c>
    </row>
    <row r="631" ht="15.75" customHeight="1">
      <c r="A631" s="228" t="s">
        <v>493</v>
      </c>
      <c r="B631" s="230" t="s">
        <v>63</v>
      </c>
      <c r="C631" s="61">
        <v>45.0</v>
      </c>
      <c r="D631" s="231" t="s">
        <v>86</v>
      </c>
      <c r="E631" s="81">
        <v>1.44</v>
      </c>
      <c r="F631" s="81">
        <v>41.4</v>
      </c>
      <c r="G631" s="81">
        <v>0.0</v>
      </c>
      <c r="H631" s="81">
        <v>0.0</v>
      </c>
      <c r="I631" s="81">
        <v>0.0</v>
      </c>
      <c r="J631" s="81">
        <v>33.3</v>
      </c>
      <c r="K631" s="81">
        <v>81.0</v>
      </c>
      <c r="L631" s="81">
        <v>0.0</v>
      </c>
    </row>
    <row r="632" ht="15.75" customHeight="1">
      <c r="A632" s="228" t="s">
        <v>493</v>
      </c>
      <c r="B632" s="230" t="s">
        <v>74</v>
      </c>
      <c r="C632" s="61">
        <v>35.0</v>
      </c>
      <c r="D632" s="231" t="s">
        <v>86</v>
      </c>
      <c r="E632" s="81">
        <v>1.33</v>
      </c>
      <c r="F632" s="81">
        <v>33.25</v>
      </c>
      <c r="G632" s="81">
        <v>0.0</v>
      </c>
      <c r="H632" s="81">
        <v>0.0</v>
      </c>
      <c r="I632" s="81">
        <v>0.0</v>
      </c>
      <c r="J632" s="81">
        <v>14.0</v>
      </c>
      <c r="K632" s="81">
        <v>24.5</v>
      </c>
      <c r="L632" s="81">
        <v>0.0</v>
      </c>
    </row>
    <row r="633" ht="15.75" customHeight="1">
      <c r="A633" s="228" t="s">
        <v>493</v>
      </c>
      <c r="B633" s="230" t="s">
        <v>162</v>
      </c>
      <c r="C633" s="61">
        <v>20.0</v>
      </c>
      <c r="D633" s="231" t="s">
        <v>86</v>
      </c>
      <c r="E633" s="81">
        <v>0.26</v>
      </c>
      <c r="F633" s="81">
        <v>0.4</v>
      </c>
      <c r="G633" s="81">
        <v>0.0</v>
      </c>
      <c r="H633" s="81">
        <v>0.0</v>
      </c>
      <c r="I633" s="81">
        <v>1.2</v>
      </c>
      <c r="J633" s="81">
        <v>0.6</v>
      </c>
      <c r="K633" s="81">
        <v>0.64</v>
      </c>
      <c r="L633" s="81">
        <v>0.0</v>
      </c>
    </row>
    <row r="634" ht="15.75" customHeight="1">
      <c r="A634" s="228" t="s">
        <v>493</v>
      </c>
      <c r="B634" s="230" t="s">
        <v>170</v>
      </c>
      <c r="C634" s="61">
        <v>50.0</v>
      </c>
      <c r="D634" s="231" t="s">
        <v>86</v>
      </c>
      <c r="E634" s="81">
        <v>4.75</v>
      </c>
      <c r="F634" s="81">
        <v>0.0</v>
      </c>
      <c r="G634" s="81">
        <v>0.0</v>
      </c>
      <c r="H634" s="81">
        <v>0.0</v>
      </c>
      <c r="I634" s="81">
        <v>47.5</v>
      </c>
      <c r="J634" s="81">
        <v>0.0</v>
      </c>
      <c r="K634" s="81">
        <v>10.0</v>
      </c>
      <c r="L634" s="81">
        <v>0.0</v>
      </c>
    </row>
    <row r="635" ht="15.75" customHeight="1">
      <c r="A635" s="228" t="s">
        <v>493</v>
      </c>
      <c r="B635" s="230" t="s">
        <v>139</v>
      </c>
      <c r="C635" s="61">
        <v>5.0</v>
      </c>
      <c r="D635" s="231" t="s">
        <v>86</v>
      </c>
      <c r="E635" s="81">
        <v>1.0</v>
      </c>
      <c r="F635" s="81">
        <v>0.0</v>
      </c>
      <c r="G635" s="81">
        <v>0.0</v>
      </c>
      <c r="H635" s="81">
        <v>0.0</v>
      </c>
      <c r="I635" s="81">
        <v>5.0</v>
      </c>
      <c r="J635" s="81">
        <v>0.0</v>
      </c>
      <c r="K635" s="81">
        <v>0.0</v>
      </c>
      <c r="L635" s="81">
        <v>0.0</v>
      </c>
    </row>
    <row r="636" ht="15.75" customHeight="1">
      <c r="A636" s="228" t="s">
        <v>494</v>
      </c>
      <c r="B636" s="230" t="s">
        <v>351</v>
      </c>
      <c r="C636" s="61">
        <v>250.0</v>
      </c>
      <c r="D636" s="231" t="s">
        <v>86</v>
      </c>
      <c r="E636" s="81">
        <v>0.0</v>
      </c>
      <c r="F636" s="81">
        <v>17.5</v>
      </c>
      <c r="G636" s="81">
        <v>0.0</v>
      </c>
      <c r="H636" s="81">
        <v>0.0</v>
      </c>
      <c r="I636" s="81">
        <v>10.0</v>
      </c>
      <c r="J636" s="81">
        <v>17.5</v>
      </c>
      <c r="K636" s="81">
        <v>40.0</v>
      </c>
      <c r="L636" s="81">
        <v>0.75</v>
      </c>
    </row>
    <row r="637" ht="15.75" customHeight="1">
      <c r="A637" s="228" t="s">
        <v>494</v>
      </c>
      <c r="B637" s="230" t="s">
        <v>377</v>
      </c>
      <c r="C637" s="61">
        <v>315.0</v>
      </c>
      <c r="D637" s="231" t="s">
        <v>86</v>
      </c>
      <c r="E637" s="81">
        <v>0.0</v>
      </c>
      <c r="F637" s="81">
        <v>18.9</v>
      </c>
      <c r="G637" s="81">
        <v>0.0</v>
      </c>
      <c r="H637" s="81">
        <v>0.0</v>
      </c>
      <c r="I637" s="81">
        <v>9.45</v>
      </c>
      <c r="J637" s="81">
        <v>40.95</v>
      </c>
      <c r="K637" s="81">
        <v>50.4</v>
      </c>
      <c r="L637" s="81">
        <v>3.15</v>
      </c>
    </row>
    <row r="638" ht="15.75" customHeight="1">
      <c r="A638" s="228" t="s">
        <v>494</v>
      </c>
      <c r="B638" s="230" t="s">
        <v>14</v>
      </c>
      <c r="C638" s="61">
        <v>200.0</v>
      </c>
      <c r="D638" s="231" t="s">
        <v>86</v>
      </c>
      <c r="E638" s="81">
        <v>0.0</v>
      </c>
      <c r="F638" s="81">
        <v>0.0</v>
      </c>
      <c r="G638" s="81">
        <v>0.0</v>
      </c>
      <c r="H638" s="81">
        <v>0.0</v>
      </c>
      <c r="I638" s="81">
        <v>0.0</v>
      </c>
      <c r="J638" s="81">
        <v>0.0</v>
      </c>
      <c r="K638" s="81">
        <v>0.0</v>
      </c>
      <c r="L638" s="81">
        <v>0.0</v>
      </c>
    </row>
    <row r="639" ht="15.75" customHeight="1">
      <c r="A639" s="228" t="s">
        <v>494</v>
      </c>
      <c r="B639" s="230" t="s">
        <v>94</v>
      </c>
      <c r="C639" s="61">
        <v>120.0</v>
      </c>
      <c r="D639" s="231" t="s">
        <v>86</v>
      </c>
      <c r="E639" s="81">
        <v>0.48</v>
      </c>
      <c r="F639" s="81">
        <v>120.0</v>
      </c>
      <c r="G639" s="81">
        <v>0.0</v>
      </c>
      <c r="H639" s="81">
        <v>0.0</v>
      </c>
      <c r="I639" s="81">
        <v>0.0</v>
      </c>
      <c r="J639" s="81">
        <v>120.0</v>
      </c>
      <c r="K639" s="81">
        <v>120.0</v>
      </c>
      <c r="L639" s="81">
        <v>0.0</v>
      </c>
    </row>
    <row r="640" ht="15.75" customHeight="1">
      <c r="A640" s="228" t="s">
        <v>494</v>
      </c>
      <c r="B640" s="230" t="s">
        <v>63</v>
      </c>
      <c r="C640" s="61">
        <v>45.0</v>
      </c>
      <c r="D640" s="231" t="s">
        <v>86</v>
      </c>
      <c r="E640" s="81">
        <v>1.44</v>
      </c>
      <c r="F640" s="81">
        <v>41.4</v>
      </c>
      <c r="G640" s="81">
        <v>0.0</v>
      </c>
      <c r="H640" s="81">
        <v>0.0</v>
      </c>
      <c r="I640" s="81">
        <v>0.0</v>
      </c>
      <c r="J640" s="81">
        <v>33.3</v>
      </c>
      <c r="K640" s="81">
        <v>81.0</v>
      </c>
      <c r="L640" s="81">
        <v>0.0</v>
      </c>
    </row>
    <row r="641" ht="15.75" customHeight="1">
      <c r="A641" s="228" t="s">
        <v>494</v>
      </c>
      <c r="B641" s="230" t="s">
        <v>74</v>
      </c>
      <c r="C641" s="61">
        <v>40.0</v>
      </c>
      <c r="D641" s="231" t="s">
        <v>86</v>
      </c>
      <c r="E641" s="81">
        <v>1.52</v>
      </c>
      <c r="F641" s="81">
        <v>38.0</v>
      </c>
      <c r="G641" s="81">
        <v>0.0</v>
      </c>
      <c r="H641" s="81">
        <v>0.0</v>
      </c>
      <c r="I641" s="81">
        <v>0.0</v>
      </c>
      <c r="J641" s="81">
        <v>16.0</v>
      </c>
      <c r="K641" s="81">
        <v>28.0</v>
      </c>
      <c r="L641" s="81">
        <v>0.0</v>
      </c>
    </row>
    <row r="642" ht="15.75" customHeight="1">
      <c r="A642" s="228" t="s">
        <v>494</v>
      </c>
      <c r="B642" s="230" t="s">
        <v>170</v>
      </c>
      <c r="C642" s="61">
        <v>25.0</v>
      </c>
      <c r="D642" s="231" t="s">
        <v>86</v>
      </c>
      <c r="E642" s="81">
        <v>2.375</v>
      </c>
      <c r="F642" s="81">
        <v>0.0</v>
      </c>
      <c r="G642" s="81">
        <v>0.0</v>
      </c>
      <c r="H642" s="81">
        <v>0.0</v>
      </c>
      <c r="I642" s="81">
        <v>23.75</v>
      </c>
      <c r="J642" s="81">
        <v>0.0</v>
      </c>
      <c r="K642" s="81">
        <v>5.0</v>
      </c>
      <c r="L642" s="81">
        <v>0.0</v>
      </c>
    </row>
    <row r="643" ht="15.75" customHeight="1">
      <c r="A643" s="228" t="s">
        <v>494</v>
      </c>
      <c r="B643" s="230" t="s">
        <v>139</v>
      </c>
      <c r="C643" s="61">
        <v>5.0</v>
      </c>
      <c r="D643" s="231" t="s">
        <v>86</v>
      </c>
      <c r="E643" s="81">
        <v>1.0</v>
      </c>
      <c r="F643" s="81">
        <v>0.0</v>
      </c>
      <c r="G643" s="81">
        <v>0.0</v>
      </c>
      <c r="H643" s="81">
        <v>0.0</v>
      </c>
      <c r="I643" s="81">
        <v>5.0</v>
      </c>
      <c r="J643" s="81">
        <v>0.0</v>
      </c>
      <c r="K643" s="81">
        <v>0.0</v>
      </c>
      <c r="L643" s="81">
        <v>0.0</v>
      </c>
    </row>
    <row r="644" ht="15.75" customHeight="1">
      <c r="A644" s="228" t="s">
        <v>496</v>
      </c>
      <c r="B644" s="230" t="s">
        <v>356</v>
      </c>
      <c r="C644" s="61">
        <v>600.0</v>
      </c>
      <c r="D644" s="231" t="s">
        <v>86</v>
      </c>
      <c r="E644" s="81">
        <v>0.0</v>
      </c>
      <c r="F644" s="81">
        <v>54.0</v>
      </c>
      <c r="G644" s="81">
        <v>0.0</v>
      </c>
      <c r="H644" s="81">
        <v>0.0</v>
      </c>
      <c r="I644" s="81">
        <v>24.0</v>
      </c>
      <c r="J644" s="81">
        <v>66.0</v>
      </c>
      <c r="K644" s="81">
        <v>78.0</v>
      </c>
      <c r="L644" s="81">
        <v>6.0</v>
      </c>
    </row>
    <row r="645" ht="15.75" customHeight="1">
      <c r="A645" s="228" t="s">
        <v>496</v>
      </c>
      <c r="B645" s="230" t="s">
        <v>14</v>
      </c>
      <c r="C645" s="61">
        <v>150.0</v>
      </c>
      <c r="D645" s="231" t="s">
        <v>86</v>
      </c>
      <c r="E645" s="81">
        <v>0.0</v>
      </c>
      <c r="F645" s="81">
        <v>0.0</v>
      </c>
      <c r="G645" s="81">
        <v>0.0</v>
      </c>
      <c r="H645" s="81">
        <v>0.0</v>
      </c>
      <c r="I645" s="81">
        <v>0.0</v>
      </c>
      <c r="J645" s="81">
        <v>0.0</v>
      </c>
      <c r="K645" s="81">
        <v>0.0</v>
      </c>
      <c r="L645" s="81">
        <v>0.0</v>
      </c>
    </row>
    <row r="646" ht="15.75" customHeight="1">
      <c r="A646" s="228" t="s">
        <v>496</v>
      </c>
      <c r="B646" s="230" t="s">
        <v>94</v>
      </c>
      <c r="C646" s="61">
        <v>120.0</v>
      </c>
      <c r="D646" s="231" t="s">
        <v>86</v>
      </c>
      <c r="E646" s="81">
        <v>0.48</v>
      </c>
      <c r="F646" s="81">
        <v>120.0</v>
      </c>
      <c r="G646" s="81">
        <v>0.0</v>
      </c>
      <c r="H646" s="81">
        <v>0.0</v>
      </c>
      <c r="I646" s="81">
        <v>0.0</v>
      </c>
      <c r="J646" s="81">
        <v>120.0</v>
      </c>
      <c r="K646" s="81">
        <v>120.0</v>
      </c>
      <c r="L646" s="81">
        <v>0.0</v>
      </c>
    </row>
    <row r="647" ht="15.75" customHeight="1">
      <c r="A647" s="228" t="s">
        <v>496</v>
      </c>
      <c r="B647" s="230" t="s">
        <v>63</v>
      </c>
      <c r="C647" s="61">
        <v>45.0</v>
      </c>
      <c r="D647" s="231" t="s">
        <v>86</v>
      </c>
      <c r="E647" s="81">
        <v>1.44</v>
      </c>
      <c r="F647" s="81">
        <v>41.4</v>
      </c>
      <c r="G647" s="81">
        <v>0.0</v>
      </c>
      <c r="H647" s="81">
        <v>0.0</v>
      </c>
      <c r="I647" s="81">
        <v>0.0</v>
      </c>
      <c r="J647" s="81">
        <v>33.3</v>
      </c>
      <c r="K647" s="81">
        <v>81.0</v>
      </c>
      <c r="L647" s="81">
        <v>0.0</v>
      </c>
    </row>
    <row r="648" ht="15.75" customHeight="1">
      <c r="A648" s="228" t="s">
        <v>496</v>
      </c>
      <c r="B648" s="230" t="s">
        <v>74</v>
      </c>
      <c r="C648" s="61">
        <v>40.0</v>
      </c>
      <c r="D648" s="231" t="s">
        <v>86</v>
      </c>
      <c r="E648" s="81">
        <v>1.52</v>
      </c>
      <c r="F648" s="81">
        <v>38.0</v>
      </c>
      <c r="G648" s="81">
        <v>0.0</v>
      </c>
      <c r="H648" s="81">
        <v>0.0</v>
      </c>
      <c r="I648" s="81">
        <v>0.0</v>
      </c>
      <c r="J648" s="81">
        <v>16.0</v>
      </c>
      <c r="K648" s="81">
        <v>28.0</v>
      </c>
      <c r="L648" s="81">
        <v>0.0</v>
      </c>
    </row>
    <row r="649" ht="15.75" customHeight="1">
      <c r="A649" s="228" t="s">
        <v>496</v>
      </c>
      <c r="B649" s="230" t="s">
        <v>170</v>
      </c>
      <c r="C649" s="61">
        <v>25.0</v>
      </c>
      <c r="D649" s="231" t="s">
        <v>86</v>
      </c>
      <c r="E649" s="81">
        <v>2.375</v>
      </c>
      <c r="F649" s="81">
        <v>0.0</v>
      </c>
      <c r="G649" s="81">
        <v>0.0</v>
      </c>
      <c r="H649" s="81">
        <v>0.0</v>
      </c>
      <c r="I649" s="81">
        <v>23.75</v>
      </c>
      <c r="J649" s="81">
        <v>0.0</v>
      </c>
      <c r="K649" s="81">
        <v>5.0</v>
      </c>
      <c r="L649" s="81">
        <v>0.0</v>
      </c>
    </row>
    <row r="650" ht="15.75" customHeight="1">
      <c r="A650" s="228" t="s">
        <v>496</v>
      </c>
      <c r="B650" s="230" t="s">
        <v>162</v>
      </c>
      <c r="C650" s="61">
        <v>15.0</v>
      </c>
      <c r="D650" s="231" t="s">
        <v>86</v>
      </c>
      <c r="E650" s="81">
        <v>0.195</v>
      </c>
      <c r="F650" s="81">
        <v>0.3</v>
      </c>
      <c r="G650" s="81">
        <v>0.0</v>
      </c>
      <c r="H650" s="81">
        <v>0.0</v>
      </c>
      <c r="I650" s="81">
        <v>0.8999999999999999</v>
      </c>
      <c r="J650" s="81">
        <v>0.44999999999999996</v>
      </c>
      <c r="K650" s="81">
        <v>0.48</v>
      </c>
      <c r="L650" s="81">
        <v>0.0</v>
      </c>
    </row>
    <row r="651" ht="15.75" customHeight="1">
      <c r="A651" s="228" t="s">
        <v>496</v>
      </c>
      <c r="B651" s="230" t="s">
        <v>139</v>
      </c>
      <c r="C651" s="61">
        <v>5.0</v>
      </c>
      <c r="D651" s="231" t="s">
        <v>86</v>
      </c>
      <c r="E651" s="81">
        <v>1.0</v>
      </c>
      <c r="F651" s="81">
        <v>0.0</v>
      </c>
      <c r="G651" s="81">
        <v>0.0</v>
      </c>
      <c r="H651" s="81">
        <v>0.0</v>
      </c>
      <c r="I651" s="81">
        <v>5.0</v>
      </c>
      <c r="J651" s="81">
        <v>0.0</v>
      </c>
      <c r="K651" s="81">
        <v>0.0</v>
      </c>
      <c r="L651" s="81">
        <v>0.0</v>
      </c>
    </row>
    <row r="652" ht="15.75" customHeight="1">
      <c r="A652" s="228" t="s">
        <v>497</v>
      </c>
      <c r="B652" s="230" t="s">
        <v>380</v>
      </c>
      <c r="C652" s="61">
        <v>540.0</v>
      </c>
      <c r="D652" s="231" t="s">
        <v>86</v>
      </c>
      <c r="E652" s="81">
        <v>21.6</v>
      </c>
      <c r="F652" s="81">
        <v>21.6</v>
      </c>
      <c r="G652" s="81">
        <v>37.800000000000004</v>
      </c>
      <c r="H652" s="81">
        <v>0.0</v>
      </c>
      <c r="I652" s="81">
        <v>21.6</v>
      </c>
      <c r="J652" s="81">
        <v>25.92</v>
      </c>
      <c r="K652" s="81">
        <v>41.04</v>
      </c>
      <c r="L652" s="81">
        <v>4.859999999999999</v>
      </c>
    </row>
    <row r="653" ht="15.75" customHeight="1">
      <c r="A653" s="228" t="s">
        <v>497</v>
      </c>
      <c r="B653" s="230" t="s">
        <v>14</v>
      </c>
      <c r="C653" s="61">
        <v>200.0</v>
      </c>
      <c r="D653" s="231" t="s">
        <v>86</v>
      </c>
      <c r="E653" s="81">
        <v>0.0</v>
      </c>
      <c r="F653" s="81">
        <v>0.0</v>
      </c>
      <c r="G653" s="81">
        <v>0.0</v>
      </c>
      <c r="H653" s="81">
        <v>0.0</v>
      </c>
      <c r="I653" s="81">
        <v>0.0</v>
      </c>
      <c r="J653" s="81">
        <v>0.0</v>
      </c>
      <c r="K653" s="81">
        <v>0.0</v>
      </c>
      <c r="L653" s="81">
        <v>0.0</v>
      </c>
    </row>
    <row r="654" ht="15.75" customHeight="1">
      <c r="A654" s="228" t="s">
        <v>497</v>
      </c>
      <c r="B654" s="230" t="s">
        <v>94</v>
      </c>
      <c r="C654" s="61">
        <v>135.0</v>
      </c>
      <c r="D654" s="231" t="s">
        <v>86</v>
      </c>
      <c r="E654" s="81">
        <v>0.54</v>
      </c>
      <c r="F654" s="81">
        <v>135.0</v>
      </c>
      <c r="G654" s="81">
        <v>0.0</v>
      </c>
      <c r="H654" s="81">
        <v>0.0</v>
      </c>
      <c r="I654" s="81">
        <v>0.0</v>
      </c>
      <c r="J654" s="81">
        <v>135.0</v>
      </c>
      <c r="K654" s="81">
        <v>135.0</v>
      </c>
      <c r="L654" s="81">
        <v>0.0</v>
      </c>
    </row>
    <row r="655" ht="15.75" customHeight="1">
      <c r="A655" s="228" t="s">
        <v>497</v>
      </c>
      <c r="B655" s="230" t="s">
        <v>63</v>
      </c>
      <c r="C655" s="61">
        <v>45.0</v>
      </c>
      <c r="D655" s="231" t="s">
        <v>86</v>
      </c>
      <c r="E655" s="81">
        <v>1.44</v>
      </c>
      <c r="F655" s="81">
        <v>41.4</v>
      </c>
      <c r="G655" s="81">
        <v>0.0</v>
      </c>
      <c r="H655" s="81">
        <v>0.0</v>
      </c>
      <c r="I655" s="81">
        <v>0.0</v>
      </c>
      <c r="J655" s="81">
        <v>33.3</v>
      </c>
      <c r="K655" s="81">
        <v>81.0</v>
      </c>
      <c r="L655" s="81">
        <v>0.0</v>
      </c>
    </row>
    <row r="656" ht="15.75" customHeight="1">
      <c r="A656" s="228" t="s">
        <v>497</v>
      </c>
      <c r="B656" s="230" t="s">
        <v>74</v>
      </c>
      <c r="C656" s="61">
        <v>40.0</v>
      </c>
      <c r="D656" s="231" t="s">
        <v>86</v>
      </c>
      <c r="E656" s="81">
        <v>1.52</v>
      </c>
      <c r="F656" s="81">
        <v>38.0</v>
      </c>
      <c r="G656" s="81">
        <v>0.0</v>
      </c>
      <c r="H656" s="81">
        <v>0.0</v>
      </c>
      <c r="I656" s="81">
        <v>0.0</v>
      </c>
      <c r="J656" s="81">
        <v>16.0</v>
      </c>
      <c r="K656" s="81">
        <v>28.0</v>
      </c>
      <c r="L656" s="81">
        <v>0.0</v>
      </c>
    </row>
    <row r="657" ht="15.75" customHeight="1">
      <c r="A657" s="228" t="s">
        <v>497</v>
      </c>
      <c r="B657" s="230" t="s">
        <v>170</v>
      </c>
      <c r="C657" s="61">
        <v>20.0</v>
      </c>
      <c r="D657" s="231" t="s">
        <v>86</v>
      </c>
      <c r="E657" s="81">
        <v>1.9</v>
      </c>
      <c r="F657" s="81">
        <v>0.0</v>
      </c>
      <c r="G657" s="81">
        <v>0.0</v>
      </c>
      <c r="H657" s="81">
        <v>0.0</v>
      </c>
      <c r="I657" s="81">
        <v>19.0</v>
      </c>
      <c r="J657" s="81">
        <v>0.0</v>
      </c>
      <c r="K657" s="81">
        <v>4.0</v>
      </c>
      <c r="L657" s="81">
        <v>0.0</v>
      </c>
    </row>
    <row r="658" ht="15.75" customHeight="1">
      <c r="A658" s="228" t="s">
        <v>497</v>
      </c>
      <c r="B658" s="230" t="s">
        <v>162</v>
      </c>
      <c r="C658" s="61">
        <v>15.0</v>
      </c>
      <c r="D658" s="231" t="s">
        <v>86</v>
      </c>
      <c r="E658" s="81">
        <v>0.195</v>
      </c>
      <c r="F658" s="81">
        <v>0.3</v>
      </c>
      <c r="G658" s="81">
        <v>0.0</v>
      </c>
      <c r="H658" s="81">
        <v>0.0</v>
      </c>
      <c r="I658" s="81">
        <v>0.8999999999999999</v>
      </c>
      <c r="J658" s="81">
        <v>0.44999999999999996</v>
      </c>
      <c r="K658" s="81">
        <v>0.48</v>
      </c>
      <c r="L658" s="81">
        <v>0.0</v>
      </c>
    </row>
    <row r="659" ht="15.75" customHeight="1">
      <c r="A659" s="228" t="s">
        <v>497</v>
      </c>
      <c r="B659" s="230" t="s">
        <v>139</v>
      </c>
      <c r="C659" s="61">
        <v>5.0</v>
      </c>
      <c r="D659" s="231" t="s">
        <v>86</v>
      </c>
      <c r="E659" s="81">
        <v>1.0</v>
      </c>
      <c r="F659" s="81">
        <v>0.0</v>
      </c>
      <c r="G659" s="81">
        <v>0.0</v>
      </c>
      <c r="H659" s="81">
        <v>0.0</v>
      </c>
      <c r="I659" s="81">
        <v>5.0</v>
      </c>
      <c r="J659" s="81">
        <v>0.0</v>
      </c>
      <c r="K659" s="81">
        <v>0.0</v>
      </c>
      <c r="L659" s="81">
        <v>0.0</v>
      </c>
    </row>
    <row r="660" ht="15.75" customHeight="1">
      <c r="A660" s="228" t="s">
        <v>499</v>
      </c>
      <c r="B660" s="230" t="s">
        <v>380</v>
      </c>
      <c r="C660" s="61">
        <v>600.0</v>
      </c>
      <c r="D660" s="231" t="s">
        <v>86</v>
      </c>
      <c r="E660" s="81">
        <v>24.0</v>
      </c>
      <c r="F660" s="81">
        <v>24.0</v>
      </c>
      <c r="G660" s="81">
        <v>42.00000000000001</v>
      </c>
      <c r="H660" s="81">
        <v>0.0</v>
      </c>
      <c r="I660" s="81">
        <v>24.0</v>
      </c>
      <c r="J660" s="81">
        <v>28.8</v>
      </c>
      <c r="K660" s="81">
        <v>45.6</v>
      </c>
      <c r="L660" s="81">
        <v>5.3999999999999995</v>
      </c>
    </row>
    <row r="661" ht="15.75" customHeight="1">
      <c r="A661" s="228" t="s">
        <v>499</v>
      </c>
      <c r="B661" s="230" t="s">
        <v>105</v>
      </c>
      <c r="C661" s="61">
        <v>150.0</v>
      </c>
      <c r="D661" s="231" t="s">
        <v>86</v>
      </c>
      <c r="E661" s="81">
        <v>0.0</v>
      </c>
      <c r="F661" s="81">
        <v>24.0</v>
      </c>
      <c r="G661" s="81">
        <v>0.0</v>
      </c>
      <c r="H661" s="81">
        <v>0.0</v>
      </c>
      <c r="I661" s="81">
        <v>10.500000000000002</v>
      </c>
      <c r="J661" s="81">
        <v>28.5</v>
      </c>
      <c r="K661" s="81">
        <v>34.5</v>
      </c>
      <c r="L661" s="81">
        <v>1.5</v>
      </c>
    </row>
    <row r="662" ht="15.75" customHeight="1">
      <c r="A662" s="228" t="s">
        <v>499</v>
      </c>
      <c r="B662" s="230" t="s">
        <v>14</v>
      </c>
      <c r="C662" s="61">
        <v>155.0</v>
      </c>
      <c r="D662" s="231" t="s">
        <v>86</v>
      </c>
      <c r="E662" s="81">
        <v>0.0</v>
      </c>
      <c r="F662" s="81">
        <v>0.0</v>
      </c>
      <c r="G662" s="81">
        <v>0.0</v>
      </c>
      <c r="H662" s="81">
        <v>0.0</v>
      </c>
      <c r="I662" s="81">
        <v>0.0</v>
      </c>
      <c r="J662" s="81">
        <v>0.0</v>
      </c>
      <c r="K662" s="81">
        <v>0.0</v>
      </c>
      <c r="L662" s="81">
        <v>0.0</v>
      </c>
    </row>
    <row r="663" ht="15.75" customHeight="1">
      <c r="A663" s="228" t="s">
        <v>499</v>
      </c>
      <c r="B663" s="230" t="s">
        <v>94</v>
      </c>
      <c r="C663" s="61">
        <v>120.0</v>
      </c>
      <c r="D663" s="231" t="s">
        <v>86</v>
      </c>
      <c r="E663" s="81">
        <v>0.48</v>
      </c>
      <c r="F663" s="81">
        <v>120.0</v>
      </c>
      <c r="G663" s="81">
        <v>0.0</v>
      </c>
      <c r="H663" s="81">
        <v>0.0</v>
      </c>
      <c r="I663" s="81">
        <v>0.0</v>
      </c>
      <c r="J663" s="81">
        <v>120.0</v>
      </c>
      <c r="K663" s="81">
        <v>120.0</v>
      </c>
      <c r="L663" s="81">
        <v>0.0</v>
      </c>
    </row>
    <row r="664" ht="15.75" customHeight="1">
      <c r="A664" s="228" t="s">
        <v>499</v>
      </c>
      <c r="B664" s="230" t="s">
        <v>63</v>
      </c>
      <c r="C664" s="61">
        <v>45.0</v>
      </c>
      <c r="D664" s="231" t="s">
        <v>86</v>
      </c>
      <c r="E664" s="81">
        <v>1.44</v>
      </c>
      <c r="F664" s="81">
        <v>41.4</v>
      </c>
      <c r="G664" s="81">
        <v>0.0</v>
      </c>
      <c r="H664" s="81">
        <v>0.0</v>
      </c>
      <c r="I664" s="81">
        <v>0.0</v>
      </c>
      <c r="J664" s="81">
        <v>33.3</v>
      </c>
      <c r="K664" s="81">
        <v>81.0</v>
      </c>
      <c r="L664" s="81">
        <v>0.0</v>
      </c>
    </row>
    <row r="665" ht="15.75" customHeight="1">
      <c r="A665" s="228" t="s">
        <v>499</v>
      </c>
      <c r="B665" s="230" t="s">
        <v>74</v>
      </c>
      <c r="C665" s="61">
        <v>40.0</v>
      </c>
      <c r="D665" s="231" t="s">
        <v>86</v>
      </c>
      <c r="E665" s="81">
        <v>1.52</v>
      </c>
      <c r="F665" s="81">
        <v>38.0</v>
      </c>
      <c r="G665" s="81">
        <v>0.0</v>
      </c>
      <c r="H665" s="81">
        <v>0.0</v>
      </c>
      <c r="I665" s="81">
        <v>0.0</v>
      </c>
      <c r="J665" s="81">
        <v>16.0</v>
      </c>
      <c r="K665" s="81">
        <v>28.0</v>
      </c>
      <c r="L665" s="81">
        <v>0.0</v>
      </c>
    </row>
    <row r="666" ht="15.75" customHeight="1">
      <c r="A666" s="228" t="s">
        <v>499</v>
      </c>
      <c r="B666" s="230" t="s">
        <v>170</v>
      </c>
      <c r="C666" s="61">
        <v>20.0</v>
      </c>
      <c r="D666" s="231" t="s">
        <v>86</v>
      </c>
      <c r="E666" s="81">
        <v>1.9</v>
      </c>
      <c r="F666" s="81">
        <v>0.0</v>
      </c>
      <c r="G666" s="81">
        <v>0.0</v>
      </c>
      <c r="H666" s="81">
        <v>0.0</v>
      </c>
      <c r="I666" s="81">
        <v>19.0</v>
      </c>
      <c r="J666" s="81">
        <v>0.0</v>
      </c>
      <c r="K666" s="81">
        <v>4.0</v>
      </c>
      <c r="L666" s="81">
        <v>0.0</v>
      </c>
    </row>
    <row r="667" ht="15.75" customHeight="1">
      <c r="A667" s="228" t="s">
        <v>499</v>
      </c>
      <c r="B667" s="230" t="s">
        <v>162</v>
      </c>
      <c r="C667" s="61">
        <v>15.0</v>
      </c>
      <c r="D667" s="231" t="s">
        <v>86</v>
      </c>
      <c r="E667" s="81">
        <v>0.195</v>
      </c>
      <c r="F667" s="81">
        <v>0.3</v>
      </c>
      <c r="G667" s="81">
        <v>0.0</v>
      </c>
      <c r="H667" s="81">
        <v>0.0</v>
      </c>
      <c r="I667" s="81">
        <v>0.8999999999999999</v>
      </c>
      <c r="J667" s="81">
        <v>0.44999999999999996</v>
      </c>
      <c r="K667" s="81">
        <v>0.48</v>
      </c>
      <c r="L667" s="81">
        <v>0.0</v>
      </c>
    </row>
    <row r="668" ht="15.75" customHeight="1">
      <c r="A668" s="228" t="s">
        <v>499</v>
      </c>
      <c r="B668" s="230" t="s">
        <v>139</v>
      </c>
      <c r="C668" s="61">
        <v>5.0</v>
      </c>
      <c r="D668" s="231" t="s">
        <v>86</v>
      </c>
      <c r="E668" s="81">
        <v>1.0</v>
      </c>
      <c r="F668" s="81">
        <v>0.0</v>
      </c>
      <c r="G668" s="81">
        <v>0.0</v>
      </c>
      <c r="H668" s="81">
        <v>0.0</v>
      </c>
      <c r="I668" s="81">
        <v>5.0</v>
      </c>
      <c r="J668" s="81">
        <v>0.0</v>
      </c>
      <c r="K668" s="81">
        <v>0.0</v>
      </c>
      <c r="L668" s="81">
        <v>0.0</v>
      </c>
    </row>
    <row r="669" ht="15.75" customHeight="1">
      <c r="A669" s="228" t="s">
        <v>500</v>
      </c>
      <c r="B669" s="230" t="s">
        <v>358</v>
      </c>
      <c r="C669" s="61">
        <v>200.0</v>
      </c>
      <c r="D669" s="231" t="s">
        <v>86</v>
      </c>
      <c r="E669" s="81">
        <v>5.0</v>
      </c>
      <c r="F669" s="81">
        <v>10.0</v>
      </c>
      <c r="G669" s="81">
        <v>0.0</v>
      </c>
      <c r="H669" s="81">
        <v>0.0</v>
      </c>
      <c r="I669" s="81">
        <v>8.0</v>
      </c>
      <c r="J669" s="81">
        <v>19.2</v>
      </c>
      <c r="K669" s="81">
        <v>23.200000000000003</v>
      </c>
      <c r="L669" s="81">
        <v>2.0</v>
      </c>
    </row>
    <row r="670" ht="15.75" customHeight="1">
      <c r="A670" s="228" t="s">
        <v>500</v>
      </c>
      <c r="B670" s="230" t="s">
        <v>102</v>
      </c>
      <c r="C670" s="61">
        <v>150.0</v>
      </c>
      <c r="D670" s="231" t="s">
        <v>86</v>
      </c>
      <c r="E670" s="81">
        <v>5.25</v>
      </c>
      <c r="F670" s="81">
        <v>12.0</v>
      </c>
      <c r="G670" s="81">
        <v>0.0</v>
      </c>
      <c r="H670" s="81">
        <v>0.0</v>
      </c>
      <c r="I670" s="81">
        <v>10.500000000000002</v>
      </c>
      <c r="J670" s="81">
        <v>14.25</v>
      </c>
      <c r="K670" s="81">
        <v>17.25</v>
      </c>
      <c r="L670" s="81">
        <v>1.5</v>
      </c>
    </row>
    <row r="671" ht="15.75" customHeight="1">
      <c r="A671" s="228" t="s">
        <v>500</v>
      </c>
      <c r="B671" s="230" t="s">
        <v>298</v>
      </c>
      <c r="C671" s="61">
        <v>150.0</v>
      </c>
      <c r="D671" s="231" t="s">
        <v>86</v>
      </c>
      <c r="E671" s="81">
        <v>0.0</v>
      </c>
      <c r="F671" s="81">
        <v>10.500000000000002</v>
      </c>
      <c r="G671" s="81">
        <v>1.5</v>
      </c>
      <c r="H671" s="81">
        <v>0.0</v>
      </c>
      <c r="I671" s="81">
        <v>12.0</v>
      </c>
      <c r="J671" s="81">
        <v>12.750000000000002</v>
      </c>
      <c r="K671" s="81">
        <v>15.75</v>
      </c>
      <c r="L671" s="81">
        <v>1.5</v>
      </c>
    </row>
    <row r="672" ht="15.75" customHeight="1">
      <c r="A672" s="228" t="s">
        <v>500</v>
      </c>
      <c r="B672" s="230" t="s">
        <v>14</v>
      </c>
      <c r="C672" s="61">
        <v>248.0</v>
      </c>
      <c r="D672" s="231" t="s">
        <v>86</v>
      </c>
      <c r="E672" s="81">
        <v>0.0</v>
      </c>
      <c r="F672" s="81">
        <v>0.0</v>
      </c>
      <c r="G672" s="81">
        <v>0.0</v>
      </c>
      <c r="H672" s="81">
        <v>0.0</v>
      </c>
      <c r="I672" s="81">
        <v>0.0</v>
      </c>
      <c r="J672" s="81">
        <v>0.0</v>
      </c>
      <c r="K672" s="81">
        <v>0.0</v>
      </c>
      <c r="L672" s="81">
        <v>0.0</v>
      </c>
    </row>
    <row r="673" ht="15.75" customHeight="1">
      <c r="A673" s="228" t="s">
        <v>500</v>
      </c>
      <c r="B673" s="230" t="s">
        <v>94</v>
      </c>
      <c r="C673" s="61">
        <v>145.0</v>
      </c>
      <c r="D673" s="231" t="s">
        <v>86</v>
      </c>
      <c r="E673" s="81">
        <v>0.58</v>
      </c>
      <c r="F673" s="81">
        <v>145.0</v>
      </c>
      <c r="G673" s="81">
        <v>0.0</v>
      </c>
      <c r="H673" s="81">
        <v>0.0</v>
      </c>
      <c r="I673" s="81">
        <v>0.0</v>
      </c>
      <c r="J673" s="81">
        <v>145.0</v>
      </c>
      <c r="K673" s="81">
        <v>145.0</v>
      </c>
      <c r="L673" s="81">
        <v>0.0</v>
      </c>
    </row>
    <row r="674" ht="15.75" customHeight="1">
      <c r="A674" s="228" t="s">
        <v>500</v>
      </c>
      <c r="B674" s="230" t="s">
        <v>74</v>
      </c>
      <c r="C674" s="61">
        <v>70.0</v>
      </c>
      <c r="D674" s="231" t="s">
        <v>86</v>
      </c>
      <c r="E674" s="81">
        <v>2.66</v>
      </c>
      <c r="F674" s="81">
        <v>66.5</v>
      </c>
      <c r="G674" s="81">
        <v>0.0</v>
      </c>
      <c r="H674" s="81">
        <v>0.0</v>
      </c>
      <c r="I674" s="81">
        <v>0.0</v>
      </c>
      <c r="J674" s="81">
        <v>28.0</v>
      </c>
      <c r="K674" s="81">
        <v>49.0</v>
      </c>
      <c r="L674" s="81">
        <v>0.0</v>
      </c>
    </row>
    <row r="675" ht="15.75" customHeight="1">
      <c r="A675" s="228" t="s">
        <v>500</v>
      </c>
      <c r="B675" s="230" t="s">
        <v>63</v>
      </c>
      <c r="C675" s="61">
        <v>32.0</v>
      </c>
      <c r="D675" s="231" t="s">
        <v>86</v>
      </c>
      <c r="E675" s="81">
        <v>1.024</v>
      </c>
      <c r="F675" s="81">
        <v>29.44</v>
      </c>
      <c r="G675" s="81">
        <v>0.0</v>
      </c>
      <c r="H675" s="81">
        <v>0.0</v>
      </c>
      <c r="I675" s="81">
        <v>0.0</v>
      </c>
      <c r="J675" s="81">
        <v>23.68</v>
      </c>
      <c r="K675" s="81">
        <v>57.6</v>
      </c>
      <c r="L675" s="81">
        <v>0.0</v>
      </c>
    </row>
    <row r="676" ht="15.75" customHeight="1">
      <c r="A676" s="228" t="s">
        <v>500</v>
      </c>
      <c r="B676" s="230" t="s">
        <v>139</v>
      </c>
      <c r="C676" s="61">
        <v>5.0</v>
      </c>
      <c r="D676" s="231" t="s">
        <v>86</v>
      </c>
      <c r="E676" s="81">
        <v>1.0</v>
      </c>
      <c r="F676" s="81">
        <v>0.0</v>
      </c>
      <c r="G676" s="81">
        <v>0.0</v>
      </c>
      <c r="H676" s="81">
        <v>0.0</v>
      </c>
      <c r="I676" s="81">
        <v>5.0</v>
      </c>
      <c r="J676" s="81">
        <v>0.0</v>
      </c>
      <c r="K676" s="81">
        <v>0.0</v>
      </c>
      <c r="L676" s="81">
        <v>0.0</v>
      </c>
    </row>
    <row r="677" ht="15.75" customHeight="1">
      <c r="A677" s="228" t="s">
        <v>502</v>
      </c>
      <c r="B677" s="230" t="s">
        <v>14</v>
      </c>
      <c r="C677" s="61">
        <v>450.0</v>
      </c>
      <c r="D677" s="231" t="s">
        <v>86</v>
      </c>
      <c r="E677" s="81">
        <v>0.0</v>
      </c>
      <c r="F677" s="81">
        <v>0.0</v>
      </c>
      <c r="G677" s="81">
        <v>0.0</v>
      </c>
      <c r="H677" s="81">
        <v>0.0</v>
      </c>
      <c r="I677" s="81">
        <v>0.0</v>
      </c>
      <c r="J677" s="81">
        <v>0.0</v>
      </c>
      <c r="K677" s="81">
        <v>0.0</v>
      </c>
      <c r="L677" s="81">
        <v>0.0</v>
      </c>
    </row>
    <row r="678" ht="15.75" customHeight="1">
      <c r="A678" s="228" t="s">
        <v>502</v>
      </c>
      <c r="B678" s="230" t="s">
        <v>94</v>
      </c>
      <c r="C678" s="61">
        <v>175.0</v>
      </c>
      <c r="D678" s="231" t="s">
        <v>86</v>
      </c>
      <c r="E678" s="81">
        <v>0.7</v>
      </c>
      <c r="F678" s="81">
        <v>175.0</v>
      </c>
      <c r="G678" s="81">
        <v>0.0</v>
      </c>
      <c r="H678" s="81">
        <v>0.0</v>
      </c>
      <c r="I678" s="81">
        <v>0.0</v>
      </c>
      <c r="J678" s="81">
        <v>175.0</v>
      </c>
      <c r="K678" s="81">
        <v>175.0</v>
      </c>
      <c r="L678" s="81">
        <v>0.0</v>
      </c>
    </row>
    <row r="679" ht="15.75" customHeight="1">
      <c r="A679" s="228" t="s">
        <v>502</v>
      </c>
      <c r="B679" s="230" t="s">
        <v>74</v>
      </c>
      <c r="C679" s="61">
        <v>50.0</v>
      </c>
      <c r="D679" s="231" t="s">
        <v>86</v>
      </c>
      <c r="E679" s="81">
        <v>1.9</v>
      </c>
      <c r="F679" s="81">
        <v>47.5</v>
      </c>
      <c r="G679" s="81">
        <v>0.0</v>
      </c>
      <c r="H679" s="81">
        <v>0.0</v>
      </c>
      <c r="I679" s="81">
        <v>0.0</v>
      </c>
      <c r="J679" s="81">
        <v>20.0</v>
      </c>
      <c r="K679" s="81">
        <v>35.0</v>
      </c>
      <c r="L679" s="81">
        <v>0.0</v>
      </c>
    </row>
    <row r="680" ht="15.75" customHeight="1">
      <c r="A680" s="228" t="s">
        <v>502</v>
      </c>
      <c r="B680" s="230" t="s">
        <v>63</v>
      </c>
      <c r="C680" s="61">
        <v>28.0</v>
      </c>
      <c r="D680" s="231" t="s">
        <v>86</v>
      </c>
      <c r="E680" s="81">
        <v>0.896</v>
      </c>
      <c r="F680" s="81">
        <v>25.76</v>
      </c>
      <c r="G680" s="81">
        <v>0.0</v>
      </c>
      <c r="H680" s="81">
        <v>0.0</v>
      </c>
      <c r="I680" s="81">
        <v>0.0</v>
      </c>
      <c r="J680" s="81">
        <v>20.72</v>
      </c>
      <c r="K680" s="81">
        <v>50.4</v>
      </c>
      <c r="L680" s="81">
        <v>0.0</v>
      </c>
    </row>
    <row r="681" ht="15.75" customHeight="1">
      <c r="A681" s="228" t="s">
        <v>502</v>
      </c>
      <c r="B681" s="230" t="s">
        <v>170</v>
      </c>
      <c r="C681" s="61">
        <v>25.0</v>
      </c>
      <c r="D681" s="231" t="s">
        <v>86</v>
      </c>
      <c r="E681" s="81">
        <v>2.375</v>
      </c>
      <c r="F681" s="81">
        <v>0.0</v>
      </c>
      <c r="G681" s="81">
        <v>0.0</v>
      </c>
      <c r="H681" s="81">
        <v>0.0</v>
      </c>
      <c r="I681" s="81">
        <v>23.75</v>
      </c>
      <c r="J681" s="81">
        <v>0.0</v>
      </c>
      <c r="K681" s="81">
        <v>5.0</v>
      </c>
      <c r="L681" s="81">
        <v>0.0</v>
      </c>
    </row>
    <row r="682" ht="15.75" customHeight="1">
      <c r="A682" s="228" t="s">
        <v>502</v>
      </c>
      <c r="B682" s="230" t="s">
        <v>82</v>
      </c>
      <c r="C682" s="61">
        <v>18.0</v>
      </c>
      <c r="D682" s="231" t="s">
        <v>86</v>
      </c>
      <c r="E682" s="81">
        <v>0.504</v>
      </c>
      <c r="F682" s="81">
        <v>17.099999999999998</v>
      </c>
      <c r="G682" s="81">
        <v>0.0</v>
      </c>
      <c r="H682" s="81">
        <v>0.0</v>
      </c>
      <c r="I682" s="81">
        <v>0.0</v>
      </c>
      <c r="J682" s="81">
        <v>0.36</v>
      </c>
      <c r="K682" s="81">
        <v>4.5</v>
      </c>
      <c r="L682" s="81">
        <v>0.0</v>
      </c>
    </row>
    <row r="683" ht="15.75" customHeight="1">
      <c r="A683" s="228" t="s">
        <v>502</v>
      </c>
      <c r="B683" s="230" t="s">
        <v>139</v>
      </c>
      <c r="C683" s="61">
        <v>4.0</v>
      </c>
      <c r="D683" s="231" t="s">
        <v>86</v>
      </c>
      <c r="E683" s="81">
        <v>0.8</v>
      </c>
      <c r="F683" s="81">
        <v>0.0</v>
      </c>
      <c r="G683" s="81">
        <v>0.0</v>
      </c>
      <c r="H683" s="81">
        <v>0.0</v>
      </c>
      <c r="I683" s="81">
        <v>4.0</v>
      </c>
      <c r="J683" s="81">
        <v>0.0</v>
      </c>
      <c r="K683" s="81">
        <v>0.0</v>
      </c>
      <c r="L683" s="81">
        <v>0.0</v>
      </c>
    </row>
    <row r="684" ht="15.75" customHeight="1">
      <c r="A684" s="228" t="s">
        <v>502</v>
      </c>
      <c r="B684" s="230" t="s">
        <v>162</v>
      </c>
      <c r="C684" s="61">
        <v>210.0</v>
      </c>
      <c r="D684" s="231" t="s">
        <v>86</v>
      </c>
      <c r="E684" s="81">
        <v>2.73</v>
      </c>
      <c r="F684" s="81">
        <v>4.2</v>
      </c>
      <c r="G684" s="81">
        <v>0.0</v>
      </c>
      <c r="H684" s="81">
        <v>0.0</v>
      </c>
      <c r="I684" s="81">
        <v>12.6</v>
      </c>
      <c r="J684" s="81">
        <v>6.3</v>
      </c>
      <c r="K684" s="81">
        <v>6.72</v>
      </c>
      <c r="L684" s="81">
        <v>0.0</v>
      </c>
    </row>
    <row r="685" ht="15.75" customHeight="1">
      <c r="A685" s="228" t="s">
        <v>502</v>
      </c>
      <c r="B685" s="230" t="s">
        <v>298</v>
      </c>
      <c r="C685" s="61">
        <v>20.0</v>
      </c>
      <c r="D685" s="231" t="s">
        <v>86</v>
      </c>
      <c r="E685" s="81">
        <v>0.0</v>
      </c>
      <c r="F685" s="81">
        <v>1.4000000000000001</v>
      </c>
      <c r="G685" s="81">
        <v>0.2</v>
      </c>
      <c r="H685" s="81">
        <v>0.0</v>
      </c>
      <c r="I685" s="81">
        <v>1.6</v>
      </c>
      <c r="J685" s="81">
        <v>1.7000000000000002</v>
      </c>
      <c r="K685" s="81">
        <v>2.1</v>
      </c>
      <c r="L685" s="81">
        <v>0.2</v>
      </c>
    </row>
    <row r="686" ht="15.75" customHeight="1">
      <c r="A686" s="228" t="s">
        <v>503</v>
      </c>
      <c r="B686" s="230" t="s">
        <v>14</v>
      </c>
      <c r="C686" s="61">
        <v>295.0</v>
      </c>
      <c r="D686" s="231" t="s">
        <v>86</v>
      </c>
      <c r="E686" s="81">
        <v>0.0</v>
      </c>
      <c r="F686" s="81">
        <v>0.0</v>
      </c>
      <c r="G686" s="81">
        <v>0.0</v>
      </c>
      <c r="H686" s="81">
        <v>0.0</v>
      </c>
      <c r="I686" s="81">
        <v>0.0</v>
      </c>
      <c r="J686" s="81">
        <v>0.0</v>
      </c>
      <c r="K686" s="81">
        <v>0.0</v>
      </c>
      <c r="L686" s="81">
        <v>0.0</v>
      </c>
    </row>
    <row r="687" ht="15.75" customHeight="1">
      <c r="A687" s="228" t="s">
        <v>503</v>
      </c>
      <c r="B687" s="230" t="s">
        <v>94</v>
      </c>
      <c r="C687" s="61">
        <v>150.0</v>
      </c>
      <c r="D687" s="231" t="s">
        <v>86</v>
      </c>
      <c r="E687" s="81">
        <v>0.6</v>
      </c>
      <c r="F687" s="81">
        <v>150.0</v>
      </c>
      <c r="G687" s="81">
        <v>0.0</v>
      </c>
      <c r="H687" s="81">
        <v>0.0</v>
      </c>
      <c r="I687" s="81">
        <v>0.0</v>
      </c>
      <c r="J687" s="81">
        <v>150.0</v>
      </c>
      <c r="K687" s="81">
        <v>150.0</v>
      </c>
      <c r="L687" s="81">
        <v>0.0</v>
      </c>
    </row>
    <row r="688" ht="15.75" customHeight="1">
      <c r="A688" s="228" t="s">
        <v>503</v>
      </c>
      <c r="B688" s="230" t="s">
        <v>74</v>
      </c>
      <c r="C688" s="61">
        <v>50.0</v>
      </c>
      <c r="D688" s="231" t="s">
        <v>86</v>
      </c>
      <c r="E688" s="81">
        <v>1.9</v>
      </c>
      <c r="F688" s="81">
        <v>47.5</v>
      </c>
      <c r="G688" s="81">
        <v>0.0</v>
      </c>
      <c r="H688" s="81">
        <v>0.0</v>
      </c>
      <c r="I688" s="81">
        <v>0.0</v>
      </c>
      <c r="J688" s="81">
        <v>20.0</v>
      </c>
      <c r="K688" s="81">
        <v>35.0</v>
      </c>
      <c r="L688" s="81">
        <v>0.0</v>
      </c>
    </row>
    <row r="689" ht="15.75" customHeight="1">
      <c r="A689" s="228" t="s">
        <v>503</v>
      </c>
      <c r="B689" s="230" t="s">
        <v>63</v>
      </c>
      <c r="C689" s="61">
        <v>20.0</v>
      </c>
      <c r="D689" s="231" t="s">
        <v>86</v>
      </c>
      <c r="E689" s="81">
        <v>0.64</v>
      </c>
      <c r="F689" s="81">
        <v>18.400000000000002</v>
      </c>
      <c r="G689" s="81">
        <v>0.0</v>
      </c>
      <c r="H689" s="81">
        <v>0.0</v>
      </c>
      <c r="I689" s="81">
        <v>0.0</v>
      </c>
      <c r="J689" s="81">
        <v>14.8</v>
      </c>
      <c r="K689" s="81">
        <v>36.0</v>
      </c>
      <c r="L689" s="81">
        <v>0.0</v>
      </c>
    </row>
    <row r="690" ht="15.75" customHeight="1">
      <c r="A690" s="228" t="s">
        <v>503</v>
      </c>
      <c r="B690" s="230" t="s">
        <v>139</v>
      </c>
      <c r="C690" s="61">
        <v>5.0</v>
      </c>
      <c r="D690" s="231" t="s">
        <v>86</v>
      </c>
      <c r="E690" s="81">
        <v>1.0</v>
      </c>
      <c r="F690" s="81">
        <v>0.0</v>
      </c>
      <c r="G690" s="81">
        <v>0.0</v>
      </c>
      <c r="H690" s="81">
        <v>0.0</v>
      </c>
      <c r="I690" s="81">
        <v>5.0</v>
      </c>
      <c r="J690" s="81">
        <v>0.0</v>
      </c>
      <c r="K690" s="81">
        <v>0.0</v>
      </c>
      <c r="L690" s="81">
        <v>0.0</v>
      </c>
    </row>
    <row r="691" ht="15.75" customHeight="1">
      <c r="A691" s="228" t="s">
        <v>503</v>
      </c>
      <c r="B691" s="230" t="s">
        <v>37</v>
      </c>
      <c r="C691" s="61">
        <v>500.0</v>
      </c>
      <c r="D691" s="231" t="s">
        <v>86</v>
      </c>
      <c r="E691" s="81">
        <v>0.0</v>
      </c>
      <c r="F691" s="81">
        <v>50.0</v>
      </c>
      <c r="G691" s="81">
        <v>0.0</v>
      </c>
      <c r="H691" s="81">
        <v>0.0</v>
      </c>
      <c r="I691" s="81">
        <v>20.0</v>
      </c>
      <c r="J691" s="81">
        <v>80.0</v>
      </c>
      <c r="K691" s="81">
        <v>100.0</v>
      </c>
      <c r="L691" s="81">
        <v>5.0</v>
      </c>
    </row>
    <row r="692" ht="15.75" customHeight="1">
      <c r="A692" s="228" t="s">
        <v>503</v>
      </c>
      <c r="B692" s="230" t="s">
        <v>311</v>
      </c>
      <c r="C692" s="61">
        <v>7.0</v>
      </c>
      <c r="D692" s="231" t="s">
        <v>86</v>
      </c>
      <c r="E692" s="81">
        <v>0.0</v>
      </c>
      <c r="F692" s="81">
        <v>0.014</v>
      </c>
      <c r="G692" s="81">
        <v>0.0</v>
      </c>
      <c r="H692" s="81">
        <v>0.0</v>
      </c>
      <c r="I692" s="81">
        <v>0.735</v>
      </c>
      <c r="J692" s="81">
        <v>0.0</v>
      </c>
      <c r="K692" s="81">
        <v>0.0</v>
      </c>
      <c r="L692" s="81">
        <v>0.231</v>
      </c>
    </row>
    <row r="693" ht="15.75" customHeight="1">
      <c r="A693" s="228" t="s">
        <v>505</v>
      </c>
      <c r="B693" s="230" t="s">
        <v>14</v>
      </c>
      <c r="C693" s="61">
        <v>295.0</v>
      </c>
      <c r="D693" s="231" t="s">
        <v>86</v>
      </c>
      <c r="E693" s="81">
        <v>0.0</v>
      </c>
      <c r="F693" s="81">
        <v>0.0</v>
      </c>
      <c r="G693" s="81">
        <v>0.0</v>
      </c>
      <c r="H693" s="81">
        <v>0.0</v>
      </c>
      <c r="I693" s="81">
        <v>0.0</v>
      </c>
      <c r="J693" s="81">
        <v>0.0</v>
      </c>
      <c r="K693" s="81">
        <v>0.0</v>
      </c>
      <c r="L693" s="81">
        <v>0.0</v>
      </c>
    </row>
    <row r="694" ht="15.75" customHeight="1">
      <c r="A694" s="228" t="s">
        <v>505</v>
      </c>
      <c r="B694" s="230" t="s">
        <v>94</v>
      </c>
      <c r="C694" s="61">
        <v>100.0</v>
      </c>
      <c r="D694" s="231" t="s">
        <v>86</v>
      </c>
      <c r="E694" s="81">
        <v>0.4</v>
      </c>
      <c r="F694" s="81">
        <v>100.0</v>
      </c>
      <c r="G694" s="81">
        <v>0.0</v>
      </c>
      <c r="H694" s="81">
        <v>0.0</v>
      </c>
      <c r="I694" s="81">
        <v>0.0</v>
      </c>
      <c r="J694" s="81">
        <v>100.0</v>
      </c>
      <c r="K694" s="81">
        <v>100.0</v>
      </c>
      <c r="L694" s="81">
        <v>0.0</v>
      </c>
    </row>
    <row r="695" ht="15.75" customHeight="1">
      <c r="A695" s="228" t="s">
        <v>505</v>
      </c>
      <c r="B695" s="230" t="s">
        <v>74</v>
      </c>
      <c r="C695" s="61">
        <v>50.0</v>
      </c>
      <c r="D695" s="231" t="s">
        <v>86</v>
      </c>
      <c r="E695" s="81">
        <v>1.9</v>
      </c>
      <c r="F695" s="81">
        <v>47.5</v>
      </c>
      <c r="G695" s="81">
        <v>0.0</v>
      </c>
      <c r="H695" s="81">
        <v>0.0</v>
      </c>
      <c r="I695" s="81">
        <v>0.0</v>
      </c>
      <c r="J695" s="81">
        <v>20.0</v>
      </c>
      <c r="K695" s="81">
        <v>35.0</v>
      </c>
      <c r="L695" s="81">
        <v>0.0</v>
      </c>
    </row>
    <row r="696" ht="15.75" customHeight="1">
      <c r="A696" s="228" t="s">
        <v>505</v>
      </c>
      <c r="B696" s="230" t="s">
        <v>63</v>
      </c>
      <c r="C696" s="61">
        <v>20.0</v>
      </c>
      <c r="D696" s="231" t="s">
        <v>86</v>
      </c>
      <c r="E696" s="81">
        <v>0.64</v>
      </c>
      <c r="F696" s="81">
        <v>18.400000000000002</v>
      </c>
      <c r="G696" s="81">
        <v>0.0</v>
      </c>
      <c r="H696" s="81">
        <v>0.0</v>
      </c>
      <c r="I696" s="81">
        <v>0.0</v>
      </c>
      <c r="J696" s="81">
        <v>14.8</v>
      </c>
      <c r="K696" s="81">
        <v>36.0</v>
      </c>
      <c r="L696" s="81">
        <v>0.0</v>
      </c>
    </row>
    <row r="697" ht="15.75" customHeight="1">
      <c r="A697" s="228" t="s">
        <v>505</v>
      </c>
      <c r="B697" s="230" t="s">
        <v>139</v>
      </c>
      <c r="C697" s="61">
        <v>5.0</v>
      </c>
      <c r="D697" s="231" t="s">
        <v>86</v>
      </c>
      <c r="E697" s="81">
        <v>1.0</v>
      </c>
      <c r="F697" s="81">
        <v>0.0</v>
      </c>
      <c r="G697" s="81">
        <v>0.0</v>
      </c>
      <c r="H697" s="81">
        <v>0.0</v>
      </c>
      <c r="I697" s="81">
        <v>5.0</v>
      </c>
      <c r="J697" s="81">
        <v>0.0</v>
      </c>
      <c r="K697" s="81">
        <v>0.0</v>
      </c>
      <c r="L697" s="81">
        <v>0.0</v>
      </c>
    </row>
    <row r="698" ht="15.75" customHeight="1">
      <c r="A698" s="228" t="s">
        <v>505</v>
      </c>
      <c r="B698" s="230" t="s">
        <v>104</v>
      </c>
      <c r="C698" s="61">
        <v>500.0</v>
      </c>
      <c r="D698" s="231" t="s">
        <v>86</v>
      </c>
      <c r="E698" s="81">
        <v>0.0</v>
      </c>
      <c r="F698" s="81">
        <v>105.0</v>
      </c>
      <c r="G698" s="81">
        <v>1.5</v>
      </c>
      <c r="H698" s="81">
        <v>0.0</v>
      </c>
      <c r="I698" s="81">
        <v>17.5</v>
      </c>
      <c r="J698" s="81">
        <v>110.0</v>
      </c>
      <c r="K698" s="81">
        <v>120.0</v>
      </c>
      <c r="L698" s="81">
        <v>9.5</v>
      </c>
    </row>
    <row r="699" ht="15.75" customHeight="1">
      <c r="A699" s="228" t="s">
        <v>505</v>
      </c>
      <c r="B699" s="230" t="s">
        <v>162</v>
      </c>
      <c r="C699" s="61">
        <v>10.0</v>
      </c>
      <c r="D699" s="231" t="s">
        <v>86</v>
      </c>
      <c r="E699" s="81">
        <v>0.13</v>
      </c>
      <c r="F699" s="81">
        <v>0.2</v>
      </c>
      <c r="G699" s="81">
        <v>0.0</v>
      </c>
      <c r="H699" s="81">
        <v>0.0</v>
      </c>
      <c r="I699" s="81">
        <v>0.6</v>
      </c>
      <c r="J699" s="81">
        <v>0.3</v>
      </c>
      <c r="K699" s="81">
        <v>0.32</v>
      </c>
      <c r="L699" s="81">
        <v>0.0</v>
      </c>
    </row>
    <row r="700" ht="15.75" customHeight="1">
      <c r="A700" s="228" t="s">
        <v>506</v>
      </c>
      <c r="B700" s="230" t="s">
        <v>14</v>
      </c>
      <c r="C700" s="61">
        <v>295.0</v>
      </c>
      <c r="D700" s="231" t="s">
        <v>86</v>
      </c>
      <c r="E700" s="81">
        <v>0.0</v>
      </c>
      <c r="F700" s="81">
        <v>0.0</v>
      </c>
      <c r="G700" s="81">
        <v>0.0</v>
      </c>
      <c r="H700" s="81">
        <v>0.0</v>
      </c>
      <c r="I700" s="81">
        <v>0.0</v>
      </c>
      <c r="J700" s="81">
        <v>0.0</v>
      </c>
      <c r="K700" s="81">
        <v>0.0</v>
      </c>
      <c r="L700" s="81">
        <v>0.0</v>
      </c>
    </row>
    <row r="701" ht="15.75" customHeight="1">
      <c r="A701" s="228" t="s">
        <v>506</v>
      </c>
      <c r="B701" s="230" t="s">
        <v>94</v>
      </c>
      <c r="C701" s="61">
        <v>150.0</v>
      </c>
      <c r="D701" s="231" t="s">
        <v>86</v>
      </c>
      <c r="E701" s="81">
        <v>0.6</v>
      </c>
      <c r="F701" s="81">
        <v>150.0</v>
      </c>
      <c r="G701" s="81">
        <v>0.0</v>
      </c>
      <c r="H701" s="81">
        <v>0.0</v>
      </c>
      <c r="I701" s="81">
        <v>0.0</v>
      </c>
      <c r="J701" s="81">
        <v>150.0</v>
      </c>
      <c r="K701" s="81">
        <v>150.0</v>
      </c>
      <c r="L701" s="81">
        <v>0.0</v>
      </c>
    </row>
    <row r="702" ht="15.75" customHeight="1">
      <c r="A702" s="228" t="s">
        <v>506</v>
      </c>
      <c r="B702" s="230" t="s">
        <v>74</v>
      </c>
      <c r="C702" s="61">
        <v>50.0</v>
      </c>
      <c r="D702" s="231" t="s">
        <v>86</v>
      </c>
      <c r="E702" s="81">
        <v>1.9</v>
      </c>
      <c r="F702" s="81">
        <v>47.5</v>
      </c>
      <c r="G702" s="81">
        <v>0.0</v>
      </c>
      <c r="H702" s="81">
        <v>0.0</v>
      </c>
      <c r="I702" s="81">
        <v>0.0</v>
      </c>
      <c r="J702" s="81">
        <v>20.0</v>
      </c>
      <c r="K702" s="81">
        <v>35.0</v>
      </c>
      <c r="L702" s="81">
        <v>0.0</v>
      </c>
    </row>
    <row r="703" ht="15.75" customHeight="1">
      <c r="A703" s="228" t="s">
        <v>506</v>
      </c>
      <c r="B703" s="230" t="s">
        <v>63</v>
      </c>
      <c r="C703" s="61">
        <v>20.0</v>
      </c>
      <c r="D703" s="231" t="s">
        <v>86</v>
      </c>
      <c r="E703" s="81">
        <v>0.64</v>
      </c>
      <c r="F703" s="81">
        <v>18.400000000000002</v>
      </c>
      <c r="G703" s="81">
        <v>0.0</v>
      </c>
      <c r="H703" s="81">
        <v>0.0</v>
      </c>
      <c r="I703" s="81">
        <v>0.0</v>
      </c>
      <c r="J703" s="81">
        <v>14.8</v>
      </c>
      <c r="K703" s="81">
        <v>36.0</v>
      </c>
      <c r="L703" s="81">
        <v>0.0</v>
      </c>
    </row>
    <row r="704" ht="15.75" customHeight="1">
      <c r="A704" s="228" t="s">
        <v>506</v>
      </c>
      <c r="B704" s="230" t="s">
        <v>139</v>
      </c>
      <c r="C704" s="61">
        <v>5.0</v>
      </c>
      <c r="D704" s="231" t="s">
        <v>86</v>
      </c>
      <c r="E704" s="81">
        <v>1.0</v>
      </c>
      <c r="F704" s="81">
        <v>0.0</v>
      </c>
      <c r="G704" s="81">
        <v>0.0</v>
      </c>
      <c r="H704" s="81">
        <v>0.0</v>
      </c>
      <c r="I704" s="81">
        <v>5.0</v>
      </c>
      <c r="J704" s="81">
        <v>0.0</v>
      </c>
      <c r="K704" s="81">
        <v>0.0</v>
      </c>
      <c r="L704" s="81">
        <v>0.0</v>
      </c>
    </row>
    <row r="705" ht="15.75" customHeight="1">
      <c r="A705" s="228" t="s">
        <v>506</v>
      </c>
      <c r="B705" s="230" t="s">
        <v>213</v>
      </c>
      <c r="C705" s="61">
        <v>500.0</v>
      </c>
      <c r="D705" s="231" t="s">
        <v>86</v>
      </c>
      <c r="E705" s="81">
        <v>0.0</v>
      </c>
      <c r="F705" s="81">
        <v>80.0</v>
      </c>
      <c r="G705" s="81">
        <v>0.0</v>
      </c>
      <c r="H705" s="81">
        <v>0.0</v>
      </c>
      <c r="I705" s="81">
        <v>10.0</v>
      </c>
      <c r="J705" s="81">
        <v>95.0</v>
      </c>
      <c r="K705" s="81">
        <v>115.0</v>
      </c>
      <c r="L705" s="81">
        <v>5.0</v>
      </c>
    </row>
    <row r="706" ht="15.75" customHeight="1">
      <c r="A706" s="228" t="s">
        <v>508</v>
      </c>
      <c r="B706" s="230" t="s">
        <v>14</v>
      </c>
      <c r="C706" s="61">
        <v>270.0</v>
      </c>
      <c r="D706" s="231" t="s">
        <v>86</v>
      </c>
      <c r="E706" s="81">
        <v>0.0</v>
      </c>
      <c r="F706" s="81">
        <v>0.0</v>
      </c>
      <c r="G706" s="81">
        <v>0.0</v>
      </c>
      <c r="H706" s="81">
        <v>0.0</v>
      </c>
      <c r="I706" s="81">
        <v>0.0</v>
      </c>
      <c r="J706" s="81">
        <v>0.0</v>
      </c>
      <c r="K706" s="81">
        <v>0.0</v>
      </c>
      <c r="L706" s="81">
        <v>0.0</v>
      </c>
    </row>
    <row r="707" ht="15.75" customHeight="1">
      <c r="A707" s="228" t="s">
        <v>508</v>
      </c>
      <c r="B707" s="230" t="s">
        <v>94</v>
      </c>
      <c r="C707" s="61">
        <v>125.0</v>
      </c>
      <c r="D707" s="231" t="s">
        <v>86</v>
      </c>
      <c r="E707" s="81">
        <v>0.5</v>
      </c>
      <c r="F707" s="81">
        <v>125.0</v>
      </c>
      <c r="G707" s="81">
        <v>0.0</v>
      </c>
      <c r="H707" s="81">
        <v>0.0</v>
      </c>
      <c r="I707" s="81">
        <v>0.0</v>
      </c>
      <c r="J707" s="81">
        <v>125.0</v>
      </c>
      <c r="K707" s="81">
        <v>125.0</v>
      </c>
      <c r="L707" s="81">
        <v>0.0</v>
      </c>
    </row>
    <row r="708" ht="15.75" customHeight="1">
      <c r="A708" s="228" t="s">
        <v>508</v>
      </c>
      <c r="B708" s="230" t="s">
        <v>74</v>
      </c>
      <c r="C708" s="61">
        <v>50.0</v>
      </c>
      <c r="D708" s="231" t="s">
        <v>86</v>
      </c>
      <c r="E708" s="81">
        <v>1.9</v>
      </c>
      <c r="F708" s="81">
        <v>47.5</v>
      </c>
      <c r="G708" s="81">
        <v>0.0</v>
      </c>
      <c r="H708" s="81">
        <v>0.0</v>
      </c>
      <c r="I708" s="81">
        <v>0.0</v>
      </c>
      <c r="J708" s="81">
        <v>20.0</v>
      </c>
      <c r="K708" s="81">
        <v>35.0</v>
      </c>
      <c r="L708" s="81">
        <v>0.0</v>
      </c>
    </row>
    <row r="709" ht="15.75" customHeight="1">
      <c r="A709" s="228" t="s">
        <v>508</v>
      </c>
      <c r="B709" s="230" t="s">
        <v>63</v>
      </c>
      <c r="C709" s="61">
        <v>20.0</v>
      </c>
      <c r="D709" s="231" t="s">
        <v>86</v>
      </c>
      <c r="E709" s="81">
        <v>0.64</v>
      </c>
      <c r="F709" s="81">
        <v>18.400000000000002</v>
      </c>
      <c r="G709" s="81">
        <v>0.0</v>
      </c>
      <c r="H709" s="81">
        <v>0.0</v>
      </c>
      <c r="I709" s="81">
        <v>0.0</v>
      </c>
      <c r="J709" s="81">
        <v>14.8</v>
      </c>
      <c r="K709" s="81">
        <v>36.0</v>
      </c>
      <c r="L709" s="81">
        <v>0.0</v>
      </c>
    </row>
    <row r="710" ht="15.75" customHeight="1">
      <c r="A710" s="228" t="s">
        <v>508</v>
      </c>
      <c r="B710" s="230" t="s">
        <v>139</v>
      </c>
      <c r="C710" s="61">
        <v>5.0</v>
      </c>
      <c r="D710" s="231" t="s">
        <v>86</v>
      </c>
      <c r="E710" s="81">
        <v>1.0</v>
      </c>
      <c r="F710" s="81">
        <v>0.0</v>
      </c>
      <c r="G710" s="81">
        <v>0.0</v>
      </c>
      <c r="H710" s="81">
        <v>0.0</v>
      </c>
      <c r="I710" s="81">
        <v>5.0</v>
      </c>
      <c r="J710" s="81">
        <v>0.0</v>
      </c>
      <c r="K710" s="81">
        <v>0.0</v>
      </c>
      <c r="L710" s="81">
        <v>0.0</v>
      </c>
    </row>
    <row r="711" ht="15.75" customHeight="1">
      <c r="A711" s="228" t="s">
        <v>508</v>
      </c>
      <c r="B711" s="230" t="s">
        <v>297</v>
      </c>
      <c r="C711" s="61">
        <v>500.0</v>
      </c>
      <c r="D711" s="231" t="s">
        <v>86</v>
      </c>
      <c r="E711" s="81">
        <v>0.0</v>
      </c>
      <c r="F711" s="81">
        <v>55.0</v>
      </c>
      <c r="G711" s="81">
        <v>0.0</v>
      </c>
      <c r="H711" s="81">
        <v>0.0</v>
      </c>
      <c r="I711" s="81">
        <v>35.0</v>
      </c>
      <c r="J711" s="81">
        <v>90.0</v>
      </c>
      <c r="K711" s="81">
        <v>110.0</v>
      </c>
      <c r="L711" s="81">
        <v>5.0</v>
      </c>
    </row>
    <row r="712" ht="15.75" customHeight="1">
      <c r="A712" s="228" t="s">
        <v>509</v>
      </c>
      <c r="B712" s="230" t="s">
        <v>14</v>
      </c>
      <c r="C712" s="61">
        <v>247.0</v>
      </c>
      <c r="D712" s="231" t="s">
        <v>86</v>
      </c>
      <c r="E712" s="81">
        <v>0.0</v>
      </c>
      <c r="F712" s="81">
        <v>0.0</v>
      </c>
      <c r="G712" s="81">
        <v>0.0</v>
      </c>
      <c r="H712" s="81">
        <v>0.0</v>
      </c>
      <c r="I712" s="81">
        <v>0.0</v>
      </c>
      <c r="J712" s="81">
        <v>0.0</v>
      </c>
      <c r="K712" s="81">
        <v>0.0</v>
      </c>
      <c r="L712" s="81">
        <v>0.0</v>
      </c>
    </row>
    <row r="713" ht="15.75" customHeight="1">
      <c r="A713" s="228" t="s">
        <v>509</v>
      </c>
      <c r="B713" s="230" t="s">
        <v>94</v>
      </c>
      <c r="C713" s="61">
        <v>175.0</v>
      </c>
      <c r="D713" s="231" t="s">
        <v>86</v>
      </c>
      <c r="E713" s="81">
        <v>0.7</v>
      </c>
      <c r="F713" s="81">
        <v>175.0</v>
      </c>
      <c r="G713" s="81">
        <v>0.0</v>
      </c>
      <c r="H713" s="81">
        <v>0.0</v>
      </c>
      <c r="I713" s="81">
        <v>0.0</v>
      </c>
      <c r="J713" s="81">
        <v>175.0</v>
      </c>
      <c r="K713" s="81">
        <v>175.0</v>
      </c>
      <c r="L713" s="81">
        <v>0.0</v>
      </c>
    </row>
    <row r="714" ht="15.75" customHeight="1">
      <c r="A714" s="228" t="s">
        <v>509</v>
      </c>
      <c r="B714" s="230" t="s">
        <v>74</v>
      </c>
      <c r="C714" s="61">
        <v>40.0</v>
      </c>
      <c r="D714" s="231" t="s">
        <v>86</v>
      </c>
      <c r="E714" s="81">
        <v>1.52</v>
      </c>
      <c r="F714" s="81">
        <v>38.0</v>
      </c>
      <c r="G714" s="81">
        <v>0.0</v>
      </c>
      <c r="H714" s="81">
        <v>0.0</v>
      </c>
      <c r="I714" s="81">
        <v>0.0</v>
      </c>
      <c r="J714" s="81">
        <v>16.0</v>
      </c>
      <c r="K714" s="81">
        <v>28.0</v>
      </c>
      <c r="L714" s="81">
        <v>0.0</v>
      </c>
    </row>
    <row r="715" ht="15.75" customHeight="1">
      <c r="A715" s="228" t="s">
        <v>509</v>
      </c>
      <c r="B715" s="230" t="s">
        <v>63</v>
      </c>
      <c r="C715" s="61">
        <v>20.0</v>
      </c>
      <c r="D715" s="231" t="s">
        <v>86</v>
      </c>
      <c r="E715" s="81">
        <v>0.64</v>
      </c>
      <c r="F715" s="81">
        <v>18.400000000000002</v>
      </c>
      <c r="G715" s="81">
        <v>0.0</v>
      </c>
      <c r="H715" s="81">
        <v>0.0</v>
      </c>
      <c r="I715" s="81">
        <v>0.0</v>
      </c>
      <c r="J715" s="81">
        <v>14.8</v>
      </c>
      <c r="K715" s="81">
        <v>36.0</v>
      </c>
      <c r="L715" s="81">
        <v>0.0</v>
      </c>
    </row>
    <row r="716" ht="15.75" customHeight="1">
      <c r="A716" s="228" t="s">
        <v>509</v>
      </c>
      <c r="B716" s="230" t="s">
        <v>139</v>
      </c>
      <c r="C716" s="61">
        <v>5.0</v>
      </c>
      <c r="D716" s="231" t="s">
        <v>86</v>
      </c>
      <c r="E716" s="81">
        <v>1.0</v>
      </c>
      <c r="F716" s="81">
        <v>0.0</v>
      </c>
      <c r="G716" s="81">
        <v>0.0</v>
      </c>
      <c r="H716" s="81">
        <v>0.0</v>
      </c>
      <c r="I716" s="81">
        <v>5.0</v>
      </c>
      <c r="J716" s="81">
        <v>0.0</v>
      </c>
      <c r="K716" s="81">
        <v>0.0</v>
      </c>
      <c r="L716" s="81">
        <v>0.0</v>
      </c>
    </row>
    <row r="717" ht="15.75" customHeight="1">
      <c r="A717" s="228" t="s">
        <v>509</v>
      </c>
      <c r="B717" s="230" t="s">
        <v>305</v>
      </c>
      <c r="C717" s="61">
        <v>500.0</v>
      </c>
      <c r="D717" s="231" t="s">
        <v>86</v>
      </c>
      <c r="E717" s="81">
        <v>0.0</v>
      </c>
      <c r="F717" s="81">
        <v>35.0</v>
      </c>
      <c r="G717" s="81">
        <v>0.0</v>
      </c>
      <c r="H717" s="81">
        <v>0.0</v>
      </c>
      <c r="I717" s="81">
        <v>20.0</v>
      </c>
      <c r="J717" s="81">
        <v>40.0</v>
      </c>
      <c r="K717" s="81">
        <v>50.0</v>
      </c>
      <c r="L717" s="81">
        <v>5.0</v>
      </c>
    </row>
    <row r="718" ht="15.75" customHeight="1">
      <c r="A718" s="228" t="s">
        <v>509</v>
      </c>
      <c r="B718" s="230" t="s">
        <v>162</v>
      </c>
      <c r="C718" s="61">
        <v>20.0</v>
      </c>
      <c r="D718" s="231" t="s">
        <v>86</v>
      </c>
      <c r="E718" s="81">
        <v>0.26</v>
      </c>
      <c r="F718" s="81">
        <v>0.4</v>
      </c>
      <c r="G718" s="81">
        <v>0.0</v>
      </c>
      <c r="H718" s="81">
        <v>0.0</v>
      </c>
      <c r="I718" s="81">
        <v>1.2</v>
      </c>
      <c r="J718" s="81">
        <v>0.6</v>
      </c>
      <c r="K718" s="81">
        <v>0.64</v>
      </c>
      <c r="L718" s="81">
        <v>0.0</v>
      </c>
    </row>
    <row r="719" ht="15.75" customHeight="1">
      <c r="A719" s="228" t="s">
        <v>510</v>
      </c>
      <c r="B719" s="230" t="s">
        <v>14</v>
      </c>
      <c r="C719" s="61">
        <v>270.0</v>
      </c>
      <c r="D719" s="231" t="s">
        <v>86</v>
      </c>
      <c r="E719" s="81">
        <v>0.0</v>
      </c>
      <c r="F719" s="81">
        <v>0.0</v>
      </c>
      <c r="G719" s="81">
        <v>0.0</v>
      </c>
      <c r="H719" s="81">
        <v>0.0</v>
      </c>
      <c r="I719" s="81">
        <v>0.0</v>
      </c>
      <c r="J719" s="81">
        <v>0.0</v>
      </c>
      <c r="K719" s="81">
        <v>0.0</v>
      </c>
      <c r="L719" s="81">
        <v>0.0</v>
      </c>
    </row>
    <row r="720" ht="15.75" customHeight="1">
      <c r="A720" s="228" t="s">
        <v>510</v>
      </c>
      <c r="B720" s="230" t="s">
        <v>94</v>
      </c>
      <c r="C720" s="61">
        <v>175.0</v>
      </c>
      <c r="D720" s="231" t="s">
        <v>86</v>
      </c>
      <c r="E720" s="81">
        <v>0.7</v>
      </c>
      <c r="F720" s="81">
        <v>175.0</v>
      </c>
      <c r="G720" s="81">
        <v>0.0</v>
      </c>
      <c r="H720" s="81">
        <v>0.0</v>
      </c>
      <c r="I720" s="81">
        <v>0.0</v>
      </c>
      <c r="J720" s="81">
        <v>175.0</v>
      </c>
      <c r="K720" s="81">
        <v>175.0</v>
      </c>
      <c r="L720" s="81">
        <v>0.0</v>
      </c>
    </row>
    <row r="721" ht="15.75" customHeight="1">
      <c r="A721" s="228" t="s">
        <v>510</v>
      </c>
      <c r="B721" s="230" t="s">
        <v>74</v>
      </c>
      <c r="C721" s="61">
        <v>40.0</v>
      </c>
      <c r="D721" s="231" t="s">
        <v>86</v>
      </c>
      <c r="E721" s="81">
        <v>1.52</v>
      </c>
      <c r="F721" s="81">
        <v>38.0</v>
      </c>
      <c r="G721" s="81">
        <v>0.0</v>
      </c>
      <c r="H721" s="81">
        <v>0.0</v>
      </c>
      <c r="I721" s="81">
        <v>0.0</v>
      </c>
      <c r="J721" s="81">
        <v>16.0</v>
      </c>
      <c r="K721" s="81">
        <v>28.0</v>
      </c>
      <c r="L721" s="81">
        <v>0.0</v>
      </c>
    </row>
    <row r="722" ht="15.75" customHeight="1">
      <c r="A722" s="228" t="s">
        <v>510</v>
      </c>
      <c r="B722" s="230" t="s">
        <v>63</v>
      </c>
      <c r="C722" s="61">
        <v>10.0</v>
      </c>
      <c r="D722" s="231" t="s">
        <v>86</v>
      </c>
      <c r="E722" s="81">
        <v>0.32</v>
      </c>
      <c r="F722" s="81">
        <v>9.200000000000001</v>
      </c>
      <c r="G722" s="81">
        <v>0.0</v>
      </c>
      <c r="H722" s="81">
        <v>0.0</v>
      </c>
      <c r="I722" s="81">
        <v>0.0</v>
      </c>
      <c r="J722" s="81">
        <v>7.4</v>
      </c>
      <c r="K722" s="81">
        <v>18.0</v>
      </c>
      <c r="L722" s="81">
        <v>0.0</v>
      </c>
    </row>
    <row r="723" ht="15.75" customHeight="1">
      <c r="A723" s="228" t="s">
        <v>510</v>
      </c>
      <c r="B723" s="230" t="s">
        <v>139</v>
      </c>
      <c r="C723" s="61">
        <v>5.0</v>
      </c>
      <c r="D723" s="231" t="s">
        <v>86</v>
      </c>
      <c r="E723" s="81">
        <v>1.0</v>
      </c>
      <c r="F723" s="81">
        <v>0.0</v>
      </c>
      <c r="G723" s="81">
        <v>0.0</v>
      </c>
      <c r="H723" s="81">
        <v>0.0</v>
      </c>
      <c r="I723" s="81">
        <v>5.0</v>
      </c>
      <c r="J723" s="81">
        <v>0.0</v>
      </c>
      <c r="K723" s="81">
        <v>0.0</v>
      </c>
      <c r="L723" s="81">
        <v>0.0</v>
      </c>
    </row>
    <row r="724" ht="15.75" customHeight="1">
      <c r="A724" s="228" t="s">
        <v>510</v>
      </c>
      <c r="B724" s="230" t="s">
        <v>424</v>
      </c>
      <c r="C724" s="61">
        <v>500.0</v>
      </c>
      <c r="D724" s="231" t="s">
        <v>86</v>
      </c>
      <c r="E724" s="81">
        <v>0.0</v>
      </c>
      <c r="F724" s="81">
        <v>65.0</v>
      </c>
      <c r="G724" s="81">
        <v>0.0</v>
      </c>
      <c r="H724" s="81">
        <v>0.0</v>
      </c>
      <c r="I724" s="81">
        <v>15.0</v>
      </c>
      <c r="J724" s="81">
        <v>75.0</v>
      </c>
      <c r="K724" s="81">
        <v>90.0</v>
      </c>
      <c r="L724" s="81">
        <v>5.0</v>
      </c>
    </row>
    <row r="725" ht="15.75" customHeight="1">
      <c r="A725" s="228" t="s">
        <v>511</v>
      </c>
      <c r="B725" s="230" t="s">
        <v>14</v>
      </c>
      <c r="C725" s="61">
        <v>100.0</v>
      </c>
      <c r="D725" s="231" t="s">
        <v>86</v>
      </c>
      <c r="E725" s="81">
        <v>0.0</v>
      </c>
      <c r="F725" s="81">
        <v>0.0</v>
      </c>
      <c r="G725" s="81">
        <v>0.0</v>
      </c>
      <c r="H725" s="81">
        <v>0.0</v>
      </c>
      <c r="I725" s="81">
        <v>0.0</v>
      </c>
      <c r="J725" s="81">
        <v>0.0</v>
      </c>
      <c r="K725" s="81">
        <v>0.0</v>
      </c>
      <c r="L725" s="81">
        <v>0.0</v>
      </c>
    </row>
    <row r="726" ht="15.75" customHeight="1">
      <c r="A726" s="228" t="s">
        <v>511</v>
      </c>
      <c r="B726" s="230" t="s">
        <v>94</v>
      </c>
      <c r="C726" s="61">
        <v>125.0</v>
      </c>
      <c r="D726" s="231" t="s">
        <v>86</v>
      </c>
      <c r="E726" s="81">
        <v>0.5</v>
      </c>
      <c r="F726" s="81">
        <v>125.0</v>
      </c>
      <c r="G726" s="81">
        <v>0.0</v>
      </c>
      <c r="H726" s="81">
        <v>0.0</v>
      </c>
      <c r="I726" s="81">
        <v>0.0</v>
      </c>
      <c r="J726" s="81">
        <v>125.0</v>
      </c>
      <c r="K726" s="81">
        <v>125.0</v>
      </c>
      <c r="L726" s="81">
        <v>0.0</v>
      </c>
    </row>
    <row r="727" ht="15.75" customHeight="1">
      <c r="A727" s="228" t="s">
        <v>511</v>
      </c>
      <c r="B727" s="230" t="s">
        <v>74</v>
      </c>
      <c r="C727" s="61">
        <v>60.0</v>
      </c>
      <c r="D727" s="231" t="s">
        <v>86</v>
      </c>
      <c r="E727" s="81">
        <v>2.28</v>
      </c>
      <c r="F727" s="81">
        <v>57.0</v>
      </c>
      <c r="G727" s="81">
        <v>0.0</v>
      </c>
      <c r="H727" s="81">
        <v>0.0</v>
      </c>
      <c r="I727" s="81">
        <v>0.0</v>
      </c>
      <c r="J727" s="81">
        <v>24.0</v>
      </c>
      <c r="K727" s="81">
        <v>42.0</v>
      </c>
      <c r="L727" s="81">
        <v>0.0</v>
      </c>
    </row>
    <row r="728" ht="15.75" customHeight="1">
      <c r="A728" s="228" t="s">
        <v>511</v>
      </c>
      <c r="B728" s="230" t="s">
        <v>63</v>
      </c>
      <c r="C728" s="61">
        <v>40.0</v>
      </c>
      <c r="D728" s="231" t="s">
        <v>86</v>
      </c>
      <c r="E728" s="81">
        <v>1.28</v>
      </c>
      <c r="F728" s="81">
        <v>36.800000000000004</v>
      </c>
      <c r="G728" s="81">
        <v>0.0</v>
      </c>
      <c r="H728" s="81">
        <v>0.0</v>
      </c>
      <c r="I728" s="81">
        <v>0.0</v>
      </c>
      <c r="J728" s="81">
        <v>29.6</v>
      </c>
      <c r="K728" s="81">
        <v>72.0</v>
      </c>
      <c r="L728" s="81">
        <v>0.0</v>
      </c>
    </row>
    <row r="729" ht="15.75" customHeight="1">
      <c r="A729" s="228" t="s">
        <v>511</v>
      </c>
      <c r="B729" s="230" t="s">
        <v>170</v>
      </c>
      <c r="C729" s="61">
        <v>20.0</v>
      </c>
      <c r="D729" s="231" t="s">
        <v>86</v>
      </c>
      <c r="E729" s="81">
        <v>1.9</v>
      </c>
      <c r="F729" s="81">
        <v>0.0</v>
      </c>
      <c r="G729" s="81">
        <v>0.0</v>
      </c>
      <c r="H729" s="81">
        <v>0.0</v>
      </c>
      <c r="I729" s="81">
        <v>19.0</v>
      </c>
      <c r="J729" s="81">
        <v>0.0</v>
      </c>
      <c r="K729" s="81">
        <v>4.0</v>
      </c>
      <c r="L729" s="81">
        <v>0.0</v>
      </c>
    </row>
    <row r="730" ht="15.75" customHeight="1">
      <c r="A730" s="228" t="s">
        <v>511</v>
      </c>
      <c r="B730" s="230" t="s">
        <v>139</v>
      </c>
      <c r="C730" s="61">
        <v>5.0</v>
      </c>
      <c r="D730" s="231" t="s">
        <v>86</v>
      </c>
      <c r="E730" s="81">
        <v>1.0</v>
      </c>
      <c r="F730" s="81">
        <v>0.0</v>
      </c>
      <c r="G730" s="81">
        <v>0.0</v>
      </c>
      <c r="H730" s="81">
        <v>0.0</v>
      </c>
      <c r="I730" s="81">
        <v>5.0</v>
      </c>
      <c r="J730" s="81">
        <v>0.0</v>
      </c>
      <c r="K730" s="81">
        <v>0.0</v>
      </c>
      <c r="L730" s="81">
        <v>0.0</v>
      </c>
    </row>
    <row r="731" ht="15.75" customHeight="1">
      <c r="A731" s="228" t="s">
        <v>511</v>
      </c>
      <c r="B731" s="230" t="s">
        <v>318</v>
      </c>
      <c r="C731" s="61">
        <v>700.0</v>
      </c>
      <c r="D731" s="231" t="s">
        <v>86</v>
      </c>
      <c r="E731" s="81">
        <v>0.0</v>
      </c>
      <c r="F731" s="81">
        <v>56.0</v>
      </c>
      <c r="G731" s="81">
        <v>0.0</v>
      </c>
      <c r="H731" s="81">
        <v>0.0</v>
      </c>
      <c r="I731" s="81">
        <v>21.0</v>
      </c>
      <c r="J731" s="81">
        <v>84.0</v>
      </c>
      <c r="K731" s="81">
        <v>98.00000000000001</v>
      </c>
      <c r="L731" s="81">
        <v>7.0</v>
      </c>
    </row>
    <row r="732" ht="15.75" customHeight="1">
      <c r="A732" s="228" t="s">
        <v>513</v>
      </c>
      <c r="B732" s="230" t="s">
        <v>14</v>
      </c>
      <c r="C732" s="61">
        <v>220.0</v>
      </c>
      <c r="D732" s="231" t="s">
        <v>86</v>
      </c>
      <c r="E732" s="81">
        <v>0.0</v>
      </c>
      <c r="F732" s="81">
        <v>0.0</v>
      </c>
      <c r="G732" s="81">
        <v>0.0</v>
      </c>
      <c r="H732" s="81">
        <v>0.0</v>
      </c>
      <c r="I732" s="81">
        <v>0.0</v>
      </c>
      <c r="J732" s="81">
        <v>0.0</v>
      </c>
      <c r="K732" s="81">
        <v>0.0</v>
      </c>
      <c r="L732" s="81">
        <v>0.0</v>
      </c>
    </row>
    <row r="733" ht="15.75" customHeight="1">
      <c r="A733" s="228" t="s">
        <v>513</v>
      </c>
      <c r="B733" s="230" t="s">
        <v>94</v>
      </c>
      <c r="C733" s="61">
        <v>132.0</v>
      </c>
      <c r="D733" s="231" t="s">
        <v>86</v>
      </c>
      <c r="E733" s="81">
        <v>0.528</v>
      </c>
      <c r="F733" s="81">
        <v>132.0</v>
      </c>
      <c r="G733" s="81">
        <v>0.0</v>
      </c>
      <c r="H733" s="81">
        <v>0.0</v>
      </c>
      <c r="I733" s="81">
        <v>0.0</v>
      </c>
      <c r="J733" s="81">
        <v>132.0</v>
      </c>
      <c r="K733" s="81">
        <v>132.0</v>
      </c>
      <c r="L733" s="81">
        <v>0.0</v>
      </c>
    </row>
    <row r="734" ht="15.75" customHeight="1">
      <c r="A734" s="228" t="s">
        <v>513</v>
      </c>
      <c r="B734" s="230" t="s">
        <v>74</v>
      </c>
      <c r="C734" s="61">
        <v>40.0</v>
      </c>
      <c r="D734" s="231" t="s">
        <v>86</v>
      </c>
      <c r="E734" s="81">
        <v>1.52</v>
      </c>
      <c r="F734" s="81">
        <v>38.0</v>
      </c>
      <c r="G734" s="81">
        <v>0.0</v>
      </c>
      <c r="H734" s="81">
        <v>0.0</v>
      </c>
      <c r="I734" s="81">
        <v>0.0</v>
      </c>
      <c r="J734" s="81">
        <v>16.0</v>
      </c>
      <c r="K734" s="81">
        <v>28.0</v>
      </c>
      <c r="L734" s="81">
        <v>0.0</v>
      </c>
    </row>
    <row r="735" ht="15.75" customHeight="1">
      <c r="A735" s="228" t="s">
        <v>513</v>
      </c>
      <c r="B735" s="230" t="s">
        <v>63</v>
      </c>
      <c r="C735" s="61">
        <v>20.0</v>
      </c>
      <c r="D735" s="231" t="s">
        <v>86</v>
      </c>
      <c r="E735" s="81">
        <v>0.64</v>
      </c>
      <c r="F735" s="81">
        <v>18.400000000000002</v>
      </c>
      <c r="G735" s="81">
        <v>0.0</v>
      </c>
      <c r="H735" s="81">
        <v>0.0</v>
      </c>
      <c r="I735" s="81">
        <v>0.0</v>
      </c>
      <c r="J735" s="81">
        <v>14.8</v>
      </c>
      <c r="K735" s="81">
        <v>36.0</v>
      </c>
      <c r="L735" s="81">
        <v>0.0</v>
      </c>
    </row>
    <row r="736" ht="15.75" customHeight="1">
      <c r="A736" s="228" t="s">
        <v>513</v>
      </c>
      <c r="B736" s="230" t="s">
        <v>139</v>
      </c>
      <c r="C736" s="61">
        <v>5.0</v>
      </c>
      <c r="D736" s="231" t="s">
        <v>86</v>
      </c>
      <c r="E736" s="81">
        <v>1.0</v>
      </c>
      <c r="F736" s="81">
        <v>0.0</v>
      </c>
      <c r="G736" s="81">
        <v>0.0</v>
      </c>
      <c r="H736" s="81">
        <v>0.0</v>
      </c>
      <c r="I736" s="81">
        <v>5.0</v>
      </c>
      <c r="J736" s="81">
        <v>0.0</v>
      </c>
      <c r="K736" s="81">
        <v>0.0</v>
      </c>
      <c r="L736" s="81">
        <v>0.0</v>
      </c>
    </row>
    <row r="737" ht="15.75" customHeight="1">
      <c r="A737" s="228" t="s">
        <v>513</v>
      </c>
      <c r="B737" s="230" t="s">
        <v>347</v>
      </c>
      <c r="C737" s="61">
        <v>500.0</v>
      </c>
      <c r="D737" s="231" t="s">
        <v>86</v>
      </c>
      <c r="E737" s="81">
        <v>0.0</v>
      </c>
      <c r="F737" s="81">
        <v>35.0</v>
      </c>
      <c r="G737" s="81">
        <v>0.0</v>
      </c>
      <c r="H737" s="81">
        <v>0.0</v>
      </c>
      <c r="I737" s="81">
        <v>15.0</v>
      </c>
      <c r="J737" s="81">
        <v>47.5</v>
      </c>
      <c r="K737" s="81">
        <v>57.5</v>
      </c>
      <c r="L737" s="81">
        <v>0.0</v>
      </c>
    </row>
    <row r="738" ht="15.75" customHeight="1">
      <c r="A738" s="228" t="s">
        <v>514</v>
      </c>
      <c r="B738" s="230" t="s">
        <v>14</v>
      </c>
      <c r="C738" s="61">
        <v>150.0</v>
      </c>
      <c r="D738" s="231" t="s">
        <v>86</v>
      </c>
      <c r="E738" s="81">
        <v>0.0</v>
      </c>
      <c r="F738" s="81">
        <v>0.0</v>
      </c>
      <c r="G738" s="81">
        <v>0.0</v>
      </c>
      <c r="H738" s="81">
        <v>0.0</v>
      </c>
      <c r="I738" s="81">
        <v>0.0</v>
      </c>
      <c r="J738" s="81">
        <v>0.0</v>
      </c>
      <c r="K738" s="81">
        <v>0.0</v>
      </c>
      <c r="L738" s="81">
        <v>0.0</v>
      </c>
    </row>
    <row r="739" ht="15.75" customHeight="1">
      <c r="A739" s="228" t="s">
        <v>514</v>
      </c>
      <c r="B739" s="230" t="s">
        <v>94</v>
      </c>
      <c r="C739" s="61">
        <v>152.0</v>
      </c>
      <c r="D739" s="231" t="s">
        <v>86</v>
      </c>
      <c r="E739" s="81">
        <v>0.608</v>
      </c>
      <c r="F739" s="81">
        <v>152.0</v>
      </c>
      <c r="G739" s="81">
        <v>0.0</v>
      </c>
      <c r="H739" s="81">
        <v>0.0</v>
      </c>
      <c r="I739" s="81">
        <v>0.0</v>
      </c>
      <c r="J739" s="81">
        <v>152.0</v>
      </c>
      <c r="K739" s="81">
        <v>152.0</v>
      </c>
      <c r="L739" s="81">
        <v>0.0</v>
      </c>
    </row>
    <row r="740" ht="15.75" customHeight="1">
      <c r="A740" s="228" t="s">
        <v>514</v>
      </c>
      <c r="B740" s="230" t="s">
        <v>63</v>
      </c>
      <c r="C740" s="61">
        <v>30.0</v>
      </c>
      <c r="D740" s="231" t="s">
        <v>86</v>
      </c>
      <c r="E740" s="81">
        <v>0.96</v>
      </c>
      <c r="F740" s="81">
        <v>27.6</v>
      </c>
      <c r="G740" s="81">
        <v>0.0</v>
      </c>
      <c r="H740" s="81">
        <v>0.0</v>
      </c>
      <c r="I740" s="81">
        <v>0.0</v>
      </c>
      <c r="J740" s="81">
        <v>22.2</v>
      </c>
      <c r="K740" s="81">
        <v>54.0</v>
      </c>
      <c r="L740" s="81">
        <v>0.0</v>
      </c>
    </row>
    <row r="741" ht="15.75" customHeight="1">
      <c r="A741" s="228" t="s">
        <v>514</v>
      </c>
      <c r="B741" s="230" t="s">
        <v>74</v>
      </c>
      <c r="C741" s="61">
        <v>20.0</v>
      </c>
      <c r="D741" s="231" t="s">
        <v>86</v>
      </c>
      <c r="E741" s="81">
        <v>0.76</v>
      </c>
      <c r="F741" s="81">
        <v>19.0</v>
      </c>
      <c r="G741" s="81">
        <v>0.0</v>
      </c>
      <c r="H741" s="81">
        <v>0.0</v>
      </c>
      <c r="I741" s="81">
        <v>0.0</v>
      </c>
      <c r="J741" s="81">
        <v>8.0</v>
      </c>
      <c r="K741" s="81">
        <v>14.0</v>
      </c>
      <c r="L741" s="81">
        <v>0.0</v>
      </c>
    </row>
    <row r="742" ht="15.75" customHeight="1">
      <c r="A742" s="228" t="s">
        <v>514</v>
      </c>
      <c r="B742" s="230" t="s">
        <v>139</v>
      </c>
      <c r="C742" s="61">
        <v>5.0</v>
      </c>
      <c r="D742" s="231" t="s">
        <v>86</v>
      </c>
      <c r="E742" s="81">
        <v>1.0</v>
      </c>
      <c r="F742" s="81">
        <v>0.0</v>
      </c>
      <c r="G742" s="81">
        <v>0.0</v>
      </c>
      <c r="H742" s="81">
        <v>0.0</v>
      </c>
      <c r="I742" s="81">
        <v>5.0</v>
      </c>
      <c r="J742" s="81">
        <v>0.0</v>
      </c>
      <c r="K742" s="81">
        <v>0.0</v>
      </c>
      <c r="L742" s="81">
        <v>0.0</v>
      </c>
    </row>
    <row r="743" ht="15.75" customHeight="1">
      <c r="A743" s="228" t="s">
        <v>514</v>
      </c>
      <c r="B743" s="230" t="s">
        <v>318</v>
      </c>
      <c r="C743" s="61">
        <v>400.0</v>
      </c>
      <c r="D743" s="231" t="s">
        <v>86</v>
      </c>
      <c r="E743" s="81">
        <v>0.0</v>
      </c>
      <c r="F743" s="81">
        <v>32.0</v>
      </c>
      <c r="G743" s="81">
        <v>0.0</v>
      </c>
      <c r="H743" s="81">
        <v>0.0</v>
      </c>
      <c r="I743" s="81">
        <v>12.0</v>
      </c>
      <c r="J743" s="81">
        <v>48.0</v>
      </c>
      <c r="K743" s="81">
        <v>56.00000000000001</v>
      </c>
      <c r="L743" s="81">
        <v>4.0</v>
      </c>
    </row>
    <row r="744" ht="15.75" customHeight="1">
      <c r="A744" s="228" t="s">
        <v>514</v>
      </c>
      <c r="B744" s="230" t="s">
        <v>347</v>
      </c>
      <c r="C744" s="61">
        <v>200.0</v>
      </c>
      <c r="D744" s="231" t="s">
        <v>86</v>
      </c>
      <c r="E744" s="81">
        <v>0.0</v>
      </c>
      <c r="F744" s="81">
        <v>14.000000000000002</v>
      </c>
      <c r="G744" s="81">
        <v>0.0</v>
      </c>
      <c r="H744" s="81">
        <v>0.0</v>
      </c>
      <c r="I744" s="81">
        <v>6.0</v>
      </c>
      <c r="J744" s="81">
        <v>19.0</v>
      </c>
      <c r="K744" s="81">
        <v>23.0</v>
      </c>
      <c r="L744" s="81">
        <v>0.0</v>
      </c>
    </row>
    <row r="745" ht="15.75" customHeight="1">
      <c r="A745" s="228" t="s">
        <v>516</v>
      </c>
      <c r="B745" s="230" t="s">
        <v>14</v>
      </c>
      <c r="C745" s="61">
        <v>250.0</v>
      </c>
      <c r="D745" s="231" t="s">
        <v>86</v>
      </c>
      <c r="E745" s="81">
        <v>0.0</v>
      </c>
      <c r="F745" s="81">
        <v>0.0</v>
      </c>
      <c r="G745" s="81">
        <v>0.0</v>
      </c>
      <c r="H745" s="81">
        <v>0.0</v>
      </c>
      <c r="I745" s="81">
        <v>0.0</v>
      </c>
      <c r="J745" s="81">
        <v>0.0</v>
      </c>
      <c r="K745" s="81">
        <v>0.0</v>
      </c>
      <c r="L745" s="81">
        <v>0.0</v>
      </c>
    </row>
    <row r="746" ht="15.75" customHeight="1">
      <c r="A746" s="228" t="s">
        <v>516</v>
      </c>
      <c r="B746" s="230" t="s">
        <v>94</v>
      </c>
      <c r="C746" s="61">
        <v>100.0</v>
      </c>
      <c r="D746" s="231" t="s">
        <v>86</v>
      </c>
      <c r="E746" s="81">
        <v>0.4</v>
      </c>
      <c r="F746" s="81">
        <v>100.0</v>
      </c>
      <c r="G746" s="81">
        <v>0.0</v>
      </c>
      <c r="H746" s="81">
        <v>0.0</v>
      </c>
      <c r="I746" s="81">
        <v>0.0</v>
      </c>
      <c r="J746" s="81">
        <v>100.0</v>
      </c>
      <c r="K746" s="81">
        <v>100.0</v>
      </c>
      <c r="L746" s="81">
        <v>0.0</v>
      </c>
    </row>
    <row r="747" ht="15.75" customHeight="1">
      <c r="A747" s="228" t="s">
        <v>516</v>
      </c>
      <c r="B747" s="230" t="s">
        <v>74</v>
      </c>
      <c r="C747" s="61">
        <v>40.0</v>
      </c>
      <c r="D747" s="231" t="s">
        <v>86</v>
      </c>
      <c r="E747" s="81">
        <v>1.52</v>
      </c>
      <c r="F747" s="81">
        <v>38.0</v>
      </c>
      <c r="G747" s="81">
        <v>0.0</v>
      </c>
      <c r="H747" s="81">
        <v>0.0</v>
      </c>
      <c r="I747" s="81">
        <v>0.0</v>
      </c>
      <c r="J747" s="81">
        <v>16.0</v>
      </c>
      <c r="K747" s="81">
        <v>28.0</v>
      </c>
      <c r="L747" s="81">
        <v>0.0</v>
      </c>
    </row>
    <row r="748" ht="15.75" customHeight="1">
      <c r="A748" s="228" t="s">
        <v>516</v>
      </c>
      <c r="B748" s="230" t="s">
        <v>63</v>
      </c>
      <c r="C748" s="61">
        <v>40.0</v>
      </c>
      <c r="D748" s="231" t="s">
        <v>86</v>
      </c>
      <c r="E748" s="81">
        <v>1.28</v>
      </c>
      <c r="F748" s="81">
        <v>36.800000000000004</v>
      </c>
      <c r="G748" s="81">
        <v>0.0</v>
      </c>
      <c r="H748" s="81">
        <v>0.0</v>
      </c>
      <c r="I748" s="81">
        <v>0.0</v>
      </c>
      <c r="J748" s="81">
        <v>29.6</v>
      </c>
      <c r="K748" s="81">
        <v>72.0</v>
      </c>
      <c r="L748" s="81">
        <v>0.0</v>
      </c>
    </row>
    <row r="749" ht="15.75" customHeight="1">
      <c r="A749" s="228" t="s">
        <v>516</v>
      </c>
      <c r="B749" s="230" t="s">
        <v>139</v>
      </c>
      <c r="C749" s="61">
        <v>5.0</v>
      </c>
      <c r="D749" s="231" t="s">
        <v>86</v>
      </c>
      <c r="E749" s="81">
        <v>1.0</v>
      </c>
      <c r="F749" s="81">
        <v>0.0</v>
      </c>
      <c r="G749" s="81">
        <v>0.0</v>
      </c>
      <c r="H749" s="81">
        <v>0.0</v>
      </c>
      <c r="I749" s="81">
        <v>5.0</v>
      </c>
      <c r="J749" s="81">
        <v>0.0</v>
      </c>
      <c r="K749" s="81">
        <v>0.0</v>
      </c>
      <c r="L749" s="81">
        <v>0.0</v>
      </c>
    </row>
    <row r="750" ht="15.75" customHeight="1">
      <c r="A750" s="228" t="s">
        <v>516</v>
      </c>
      <c r="B750" s="230" t="s">
        <v>348</v>
      </c>
      <c r="C750" s="61">
        <v>500.0</v>
      </c>
      <c r="D750" s="231" t="s">
        <v>86</v>
      </c>
      <c r="E750" s="81">
        <v>0.0</v>
      </c>
      <c r="F750" s="81">
        <v>65.0</v>
      </c>
      <c r="G750" s="81">
        <v>0.0</v>
      </c>
      <c r="H750" s="81">
        <v>0.0</v>
      </c>
      <c r="I750" s="81">
        <v>20.0</v>
      </c>
      <c r="J750" s="81">
        <v>75.0</v>
      </c>
      <c r="K750" s="81">
        <v>90.0</v>
      </c>
      <c r="L750" s="81">
        <v>5.0</v>
      </c>
    </row>
    <row r="751" ht="15.75" customHeight="1">
      <c r="A751" s="228" t="s">
        <v>516</v>
      </c>
      <c r="B751" s="230" t="s">
        <v>162</v>
      </c>
      <c r="C751" s="61">
        <v>20.0</v>
      </c>
      <c r="D751" s="231" t="s">
        <v>86</v>
      </c>
      <c r="E751" s="81">
        <v>0.26</v>
      </c>
      <c r="F751" s="81">
        <v>0.4</v>
      </c>
      <c r="G751" s="81">
        <v>0.0</v>
      </c>
      <c r="H751" s="81">
        <v>0.0</v>
      </c>
      <c r="I751" s="81">
        <v>1.2</v>
      </c>
      <c r="J751" s="81">
        <v>0.6</v>
      </c>
      <c r="K751" s="81">
        <v>0.64</v>
      </c>
      <c r="L751" s="81">
        <v>0.0</v>
      </c>
    </row>
    <row r="752" ht="15.75" customHeight="1">
      <c r="A752" s="228" t="s">
        <v>517</v>
      </c>
      <c r="B752" s="230" t="s">
        <v>14</v>
      </c>
      <c r="C752" s="61">
        <v>330.0</v>
      </c>
      <c r="D752" s="231" t="s">
        <v>86</v>
      </c>
      <c r="E752" s="81">
        <v>0.0</v>
      </c>
      <c r="F752" s="81">
        <v>0.0</v>
      </c>
      <c r="G752" s="81">
        <v>0.0</v>
      </c>
      <c r="H752" s="81">
        <v>0.0</v>
      </c>
      <c r="I752" s="81">
        <v>0.0</v>
      </c>
      <c r="J752" s="81">
        <v>0.0</v>
      </c>
      <c r="K752" s="81">
        <v>0.0</v>
      </c>
      <c r="L752" s="81">
        <v>0.0</v>
      </c>
    </row>
    <row r="753" ht="15.75" customHeight="1">
      <c r="A753" s="228" t="s">
        <v>517</v>
      </c>
      <c r="B753" s="230" t="s">
        <v>94</v>
      </c>
      <c r="C753" s="61">
        <v>200.0</v>
      </c>
      <c r="D753" s="231" t="s">
        <v>86</v>
      </c>
      <c r="E753" s="81">
        <v>0.8</v>
      </c>
      <c r="F753" s="81">
        <v>200.0</v>
      </c>
      <c r="G753" s="81">
        <v>0.0</v>
      </c>
      <c r="H753" s="81">
        <v>0.0</v>
      </c>
      <c r="I753" s="81">
        <v>0.0</v>
      </c>
      <c r="J753" s="81">
        <v>200.0</v>
      </c>
      <c r="K753" s="81">
        <v>200.0</v>
      </c>
      <c r="L753" s="81">
        <v>0.0</v>
      </c>
    </row>
    <row r="754" ht="15.75" customHeight="1">
      <c r="A754" s="228" t="s">
        <v>517</v>
      </c>
      <c r="B754" s="230" t="s">
        <v>74</v>
      </c>
      <c r="C754" s="61">
        <v>40.0</v>
      </c>
      <c r="D754" s="231" t="s">
        <v>86</v>
      </c>
      <c r="E754" s="81">
        <v>1.52</v>
      </c>
      <c r="F754" s="81">
        <v>38.0</v>
      </c>
      <c r="G754" s="81">
        <v>0.0</v>
      </c>
      <c r="H754" s="81">
        <v>0.0</v>
      </c>
      <c r="I754" s="81">
        <v>0.0</v>
      </c>
      <c r="J754" s="81">
        <v>16.0</v>
      </c>
      <c r="K754" s="81">
        <v>28.0</v>
      </c>
      <c r="L754" s="81">
        <v>0.0</v>
      </c>
    </row>
    <row r="755" ht="15.75" customHeight="1">
      <c r="A755" s="228" t="s">
        <v>517</v>
      </c>
      <c r="B755" s="230" t="s">
        <v>63</v>
      </c>
      <c r="C755" s="61">
        <v>20.0</v>
      </c>
      <c r="D755" s="231" t="s">
        <v>86</v>
      </c>
      <c r="E755" s="81">
        <v>0.64</v>
      </c>
      <c r="F755" s="81">
        <v>18.400000000000002</v>
      </c>
      <c r="G755" s="81">
        <v>0.0</v>
      </c>
      <c r="H755" s="81">
        <v>0.0</v>
      </c>
      <c r="I755" s="81">
        <v>0.0</v>
      </c>
      <c r="J755" s="81">
        <v>14.8</v>
      </c>
      <c r="K755" s="81">
        <v>36.0</v>
      </c>
      <c r="L755" s="81">
        <v>0.0</v>
      </c>
    </row>
    <row r="756" ht="15.75" customHeight="1">
      <c r="A756" s="228" t="s">
        <v>517</v>
      </c>
      <c r="B756" s="230" t="s">
        <v>139</v>
      </c>
      <c r="C756" s="61">
        <v>5.0</v>
      </c>
      <c r="D756" s="231" t="s">
        <v>86</v>
      </c>
      <c r="E756" s="81">
        <v>1.0</v>
      </c>
      <c r="F756" s="81">
        <v>0.0</v>
      </c>
      <c r="G756" s="81">
        <v>0.0</v>
      </c>
      <c r="H756" s="81">
        <v>0.0</v>
      </c>
      <c r="I756" s="81">
        <v>5.0</v>
      </c>
      <c r="J756" s="81">
        <v>0.0</v>
      </c>
      <c r="K756" s="81">
        <v>0.0</v>
      </c>
      <c r="L756" s="81">
        <v>0.0</v>
      </c>
    </row>
    <row r="757" ht="15.75" customHeight="1">
      <c r="A757" s="228" t="s">
        <v>517</v>
      </c>
      <c r="B757" s="230" t="s">
        <v>351</v>
      </c>
      <c r="C757" s="61">
        <v>400.0</v>
      </c>
      <c r="D757" s="231" t="s">
        <v>86</v>
      </c>
      <c r="E757" s="81">
        <v>0.0</v>
      </c>
      <c r="F757" s="81">
        <v>28.000000000000004</v>
      </c>
      <c r="G757" s="81">
        <v>0.0</v>
      </c>
      <c r="H757" s="81">
        <v>0.0</v>
      </c>
      <c r="I757" s="81">
        <v>16.0</v>
      </c>
      <c r="J757" s="81">
        <v>28.000000000000004</v>
      </c>
      <c r="K757" s="81">
        <v>64.0</v>
      </c>
      <c r="L757" s="81">
        <v>1.2</v>
      </c>
    </row>
    <row r="758" ht="15.75" customHeight="1">
      <c r="A758" s="228" t="s">
        <v>518</v>
      </c>
      <c r="B758" s="230" t="s">
        <v>14</v>
      </c>
      <c r="C758" s="61">
        <v>100.0</v>
      </c>
      <c r="D758" s="231" t="s">
        <v>86</v>
      </c>
      <c r="E758" s="81">
        <v>0.0</v>
      </c>
      <c r="F758" s="81">
        <v>0.0</v>
      </c>
      <c r="G758" s="81">
        <v>0.0</v>
      </c>
      <c r="H758" s="81">
        <v>0.0</v>
      </c>
      <c r="I758" s="81">
        <v>0.0</v>
      </c>
      <c r="J758" s="81">
        <v>0.0</v>
      </c>
      <c r="K758" s="81">
        <v>0.0</v>
      </c>
      <c r="L758" s="81">
        <v>0.0</v>
      </c>
    </row>
    <row r="759" ht="15.75" customHeight="1">
      <c r="A759" s="228" t="s">
        <v>518</v>
      </c>
      <c r="B759" s="230" t="s">
        <v>94</v>
      </c>
      <c r="C759" s="61">
        <v>150.0</v>
      </c>
      <c r="D759" s="231" t="s">
        <v>86</v>
      </c>
      <c r="E759" s="81">
        <v>0.6</v>
      </c>
      <c r="F759" s="81">
        <v>150.0</v>
      </c>
      <c r="G759" s="81">
        <v>0.0</v>
      </c>
      <c r="H759" s="81">
        <v>0.0</v>
      </c>
      <c r="I759" s="81">
        <v>0.0</v>
      </c>
      <c r="J759" s="81">
        <v>150.0</v>
      </c>
      <c r="K759" s="81">
        <v>150.0</v>
      </c>
      <c r="L759" s="81">
        <v>0.0</v>
      </c>
    </row>
    <row r="760" ht="15.75" customHeight="1">
      <c r="A760" s="228" t="s">
        <v>518</v>
      </c>
      <c r="B760" s="230" t="s">
        <v>74</v>
      </c>
      <c r="C760" s="61">
        <v>60.0</v>
      </c>
      <c r="D760" s="231" t="s">
        <v>86</v>
      </c>
      <c r="E760" s="81">
        <v>2.28</v>
      </c>
      <c r="F760" s="81">
        <v>57.0</v>
      </c>
      <c r="G760" s="81">
        <v>0.0</v>
      </c>
      <c r="H760" s="81">
        <v>0.0</v>
      </c>
      <c r="I760" s="81">
        <v>0.0</v>
      </c>
      <c r="J760" s="81">
        <v>24.0</v>
      </c>
      <c r="K760" s="81">
        <v>42.0</v>
      </c>
      <c r="L760" s="81">
        <v>0.0</v>
      </c>
    </row>
    <row r="761" ht="15.75" customHeight="1">
      <c r="A761" s="228" t="s">
        <v>518</v>
      </c>
      <c r="B761" s="230" t="s">
        <v>63</v>
      </c>
      <c r="C761" s="61">
        <v>40.0</v>
      </c>
      <c r="D761" s="231" t="s">
        <v>86</v>
      </c>
      <c r="E761" s="81">
        <v>1.28</v>
      </c>
      <c r="F761" s="81">
        <v>36.800000000000004</v>
      </c>
      <c r="G761" s="81">
        <v>0.0</v>
      </c>
      <c r="H761" s="81">
        <v>0.0</v>
      </c>
      <c r="I761" s="81">
        <v>0.0</v>
      </c>
      <c r="J761" s="81">
        <v>29.6</v>
      </c>
      <c r="K761" s="81">
        <v>72.0</v>
      </c>
      <c r="L761" s="81">
        <v>0.0</v>
      </c>
    </row>
    <row r="762" ht="15.75" customHeight="1">
      <c r="A762" s="228" t="s">
        <v>518</v>
      </c>
      <c r="B762" s="230" t="s">
        <v>170</v>
      </c>
      <c r="C762" s="61">
        <v>20.0</v>
      </c>
      <c r="D762" s="231" t="s">
        <v>86</v>
      </c>
      <c r="E762" s="81">
        <v>1.9</v>
      </c>
      <c r="F762" s="81">
        <v>0.0</v>
      </c>
      <c r="G762" s="81">
        <v>0.0</v>
      </c>
      <c r="H762" s="81">
        <v>0.0</v>
      </c>
      <c r="I762" s="81">
        <v>19.0</v>
      </c>
      <c r="J762" s="81">
        <v>0.0</v>
      </c>
      <c r="K762" s="81">
        <v>4.0</v>
      </c>
      <c r="L762" s="81">
        <v>0.0</v>
      </c>
    </row>
    <row r="763" ht="15.75" customHeight="1">
      <c r="A763" s="228" t="s">
        <v>518</v>
      </c>
      <c r="B763" s="230" t="s">
        <v>139</v>
      </c>
      <c r="C763" s="61">
        <v>5.0</v>
      </c>
      <c r="D763" s="231" t="s">
        <v>86</v>
      </c>
      <c r="E763" s="81">
        <v>1.0</v>
      </c>
      <c r="F763" s="81">
        <v>0.0</v>
      </c>
      <c r="G763" s="81">
        <v>0.0</v>
      </c>
      <c r="H763" s="81">
        <v>0.0</v>
      </c>
      <c r="I763" s="81">
        <v>5.0</v>
      </c>
      <c r="J763" s="81">
        <v>0.0</v>
      </c>
      <c r="K763" s="81">
        <v>0.0</v>
      </c>
      <c r="L763" s="81">
        <v>0.0</v>
      </c>
    </row>
    <row r="764" ht="15.75" customHeight="1">
      <c r="A764" s="228" t="s">
        <v>518</v>
      </c>
      <c r="B764" s="230" t="s">
        <v>354</v>
      </c>
      <c r="C764" s="61">
        <v>700.0</v>
      </c>
      <c r="D764" s="231" t="s">
        <v>86</v>
      </c>
      <c r="E764" s="81">
        <v>0.0</v>
      </c>
      <c r="F764" s="81">
        <v>31.5</v>
      </c>
      <c r="G764" s="81">
        <v>0.0</v>
      </c>
      <c r="H764" s="81">
        <v>0.0</v>
      </c>
      <c r="I764" s="81">
        <v>17.5</v>
      </c>
      <c r="J764" s="81">
        <v>37.8</v>
      </c>
      <c r="K764" s="81">
        <v>45.5</v>
      </c>
      <c r="L764" s="81">
        <v>0.0</v>
      </c>
    </row>
    <row r="765" ht="15.75" customHeight="1">
      <c r="A765" s="228" t="s">
        <v>518</v>
      </c>
      <c r="B765" s="230" t="s">
        <v>311</v>
      </c>
      <c r="C765" s="61">
        <v>6.0</v>
      </c>
      <c r="D765" s="231" t="s">
        <v>86</v>
      </c>
      <c r="E765" s="81">
        <v>0.0</v>
      </c>
      <c r="F765" s="81">
        <v>0.012</v>
      </c>
      <c r="G765" s="81">
        <v>0.0</v>
      </c>
      <c r="H765" s="81">
        <v>0.0</v>
      </c>
      <c r="I765" s="81">
        <v>0.63</v>
      </c>
      <c r="J765" s="81">
        <v>0.0</v>
      </c>
      <c r="K765" s="81">
        <v>0.0</v>
      </c>
      <c r="L765" s="81">
        <v>0.198</v>
      </c>
    </row>
    <row r="766" ht="15.75" customHeight="1">
      <c r="A766" s="228" t="s">
        <v>519</v>
      </c>
      <c r="B766" s="230" t="s">
        <v>14</v>
      </c>
      <c r="C766" s="61">
        <v>100.0</v>
      </c>
      <c r="D766" s="231" t="s">
        <v>86</v>
      </c>
      <c r="E766" s="81">
        <v>0.0</v>
      </c>
      <c r="F766" s="81">
        <v>0.0</v>
      </c>
      <c r="G766" s="81">
        <v>0.0</v>
      </c>
      <c r="H766" s="81">
        <v>0.0</v>
      </c>
      <c r="I766" s="81">
        <v>0.0</v>
      </c>
      <c r="J766" s="81">
        <v>0.0</v>
      </c>
      <c r="K766" s="81">
        <v>0.0</v>
      </c>
      <c r="L766" s="81">
        <v>0.0</v>
      </c>
    </row>
    <row r="767" ht="15.75" customHeight="1">
      <c r="A767" s="228" t="s">
        <v>519</v>
      </c>
      <c r="B767" s="230" t="s">
        <v>94</v>
      </c>
      <c r="C767" s="61">
        <v>125.0</v>
      </c>
      <c r="D767" s="231" t="s">
        <v>86</v>
      </c>
      <c r="E767" s="81">
        <v>0.5</v>
      </c>
      <c r="F767" s="81">
        <v>125.0</v>
      </c>
      <c r="G767" s="81">
        <v>0.0</v>
      </c>
      <c r="H767" s="81">
        <v>0.0</v>
      </c>
      <c r="I767" s="81">
        <v>0.0</v>
      </c>
      <c r="J767" s="81">
        <v>125.0</v>
      </c>
      <c r="K767" s="81">
        <v>125.0</v>
      </c>
      <c r="L767" s="81">
        <v>0.0</v>
      </c>
    </row>
    <row r="768" ht="15.75" customHeight="1">
      <c r="A768" s="228" t="s">
        <v>519</v>
      </c>
      <c r="B768" s="230" t="s">
        <v>74</v>
      </c>
      <c r="C768" s="61">
        <v>60.0</v>
      </c>
      <c r="D768" s="231" t="s">
        <v>86</v>
      </c>
      <c r="E768" s="81">
        <v>2.28</v>
      </c>
      <c r="F768" s="81">
        <v>57.0</v>
      </c>
      <c r="G768" s="81">
        <v>0.0</v>
      </c>
      <c r="H768" s="81">
        <v>0.0</v>
      </c>
      <c r="I768" s="81">
        <v>0.0</v>
      </c>
      <c r="J768" s="81">
        <v>24.0</v>
      </c>
      <c r="K768" s="81">
        <v>42.0</v>
      </c>
      <c r="L768" s="81">
        <v>0.0</v>
      </c>
    </row>
    <row r="769" ht="15.75" customHeight="1">
      <c r="A769" s="228" t="s">
        <v>519</v>
      </c>
      <c r="B769" s="230" t="s">
        <v>63</v>
      </c>
      <c r="C769" s="61">
        <v>40.0</v>
      </c>
      <c r="D769" s="231" t="s">
        <v>86</v>
      </c>
      <c r="E769" s="81">
        <v>1.28</v>
      </c>
      <c r="F769" s="81">
        <v>36.800000000000004</v>
      </c>
      <c r="G769" s="81">
        <v>0.0</v>
      </c>
      <c r="H769" s="81">
        <v>0.0</v>
      </c>
      <c r="I769" s="81">
        <v>0.0</v>
      </c>
      <c r="J769" s="81">
        <v>29.6</v>
      </c>
      <c r="K769" s="81">
        <v>72.0</v>
      </c>
      <c r="L769" s="81">
        <v>0.0</v>
      </c>
    </row>
    <row r="770" ht="15.75" customHeight="1">
      <c r="A770" s="228" t="s">
        <v>519</v>
      </c>
      <c r="B770" s="230" t="s">
        <v>170</v>
      </c>
      <c r="C770" s="61">
        <v>20.0</v>
      </c>
      <c r="D770" s="231" t="s">
        <v>86</v>
      </c>
      <c r="E770" s="81">
        <v>1.9</v>
      </c>
      <c r="F770" s="81">
        <v>0.0</v>
      </c>
      <c r="G770" s="81">
        <v>0.0</v>
      </c>
      <c r="H770" s="81">
        <v>0.0</v>
      </c>
      <c r="I770" s="81">
        <v>19.0</v>
      </c>
      <c r="J770" s="81">
        <v>0.0</v>
      </c>
      <c r="K770" s="81">
        <v>4.0</v>
      </c>
      <c r="L770" s="81">
        <v>0.0</v>
      </c>
    </row>
    <row r="771" ht="15.75" customHeight="1">
      <c r="A771" s="228" t="s">
        <v>519</v>
      </c>
      <c r="B771" s="230" t="s">
        <v>139</v>
      </c>
      <c r="C771" s="61">
        <v>5.0</v>
      </c>
      <c r="D771" s="231" t="s">
        <v>86</v>
      </c>
      <c r="E771" s="81">
        <v>1.0</v>
      </c>
      <c r="F771" s="81">
        <v>0.0</v>
      </c>
      <c r="G771" s="81">
        <v>0.0</v>
      </c>
      <c r="H771" s="81">
        <v>0.0</v>
      </c>
      <c r="I771" s="81">
        <v>5.0</v>
      </c>
      <c r="J771" s="81">
        <v>0.0</v>
      </c>
      <c r="K771" s="81">
        <v>0.0</v>
      </c>
      <c r="L771" s="81">
        <v>0.0</v>
      </c>
    </row>
    <row r="772" ht="15.75" customHeight="1">
      <c r="A772" s="228" t="s">
        <v>519</v>
      </c>
      <c r="B772" s="230" t="s">
        <v>356</v>
      </c>
      <c r="C772" s="61">
        <v>700.0</v>
      </c>
      <c r="D772" s="231" t="s">
        <v>86</v>
      </c>
      <c r="E772" s="81">
        <v>0.0</v>
      </c>
      <c r="F772" s="81">
        <v>63.0</v>
      </c>
      <c r="G772" s="81">
        <v>0.0</v>
      </c>
      <c r="H772" s="81">
        <v>0.0</v>
      </c>
      <c r="I772" s="81">
        <v>28.0</v>
      </c>
      <c r="J772" s="81">
        <v>77.0</v>
      </c>
      <c r="K772" s="81">
        <v>91.0</v>
      </c>
      <c r="L772" s="81">
        <v>7.0</v>
      </c>
    </row>
    <row r="773" ht="15.75" customHeight="1">
      <c r="A773" s="228" t="s">
        <v>519</v>
      </c>
      <c r="B773" s="230" t="s">
        <v>162</v>
      </c>
      <c r="C773" s="61">
        <v>10.0</v>
      </c>
      <c r="D773" s="231" t="s">
        <v>86</v>
      </c>
      <c r="E773" s="81">
        <v>0.13</v>
      </c>
      <c r="F773" s="81">
        <v>0.2</v>
      </c>
      <c r="G773" s="81">
        <v>0.0</v>
      </c>
      <c r="H773" s="81">
        <v>0.0</v>
      </c>
      <c r="I773" s="81">
        <v>0.6</v>
      </c>
      <c r="J773" s="81">
        <v>0.3</v>
      </c>
      <c r="K773" s="81">
        <v>0.32</v>
      </c>
      <c r="L773" s="81">
        <v>0.0</v>
      </c>
    </row>
    <row r="774" ht="15.75" customHeight="1">
      <c r="A774" s="228" t="s">
        <v>521</v>
      </c>
      <c r="B774" s="230" t="s">
        <v>14</v>
      </c>
      <c r="C774" s="61">
        <v>250.0</v>
      </c>
      <c r="D774" s="231" t="s">
        <v>86</v>
      </c>
      <c r="E774" s="81">
        <v>0.0</v>
      </c>
      <c r="F774" s="81">
        <v>0.0</v>
      </c>
      <c r="G774" s="81">
        <v>0.0</v>
      </c>
      <c r="H774" s="81">
        <v>0.0</v>
      </c>
      <c r="I774" s="81">
        <v>0.0</v>
      </c>
      <c r="J774" s="81">
        <v>0.0</v>
      </c>
      <c r="K774" s="81">
        <v>0.0</v>
      </c>
      <c r="L774" s="81">
        <v>0.0</v>
      </c>
    </row>
    <row r="775" ht="15.75" customHeight="1">
      <c r="A775" s="228" t="s">
        <v>521</v>
      </c>
      <c r="B775" s="230" t="s">
        <v>94</v>
      </c>
      <c r="C775" s="61">
        <v>140.0</v>
      </c>
      <c r="D775" s="231" t="s">
        <v>86</v>
      </c>
      <c r="E775" s="81">
        <v>0.56</v>
      </c>
      <c r="F775" s="81">
        <v>140.0</v>
      </c>
      <c r="G775" s="81">
        <v>0.0</v>
      </c>
      <c r="H775" s="81">
        <v>0.0</v>
      </c>
      <c r="I775" s="81">
        <v>0.0</v>
      </c>
      <c r="J775" s="81">
        <v>140.0</v>
      </c>
      <c r="K775" s="81">
        <v>140.0</v>
      </c>
      <c r="L775" s="81">
        <v>0.0</v>
      </c>
    </row>
    <row r="776" ht="15.75" customHeight="1">
      <c r="A776" s="228" t="s">
        <v>521</v>
      </c>
      <c r="B776" s="230" t="s">
        <v>63</v>
      </c>
      <c r="C776" s="61">
        <v>50.0</v>
      </c>
      <c r="D776" s="231" t="s">
        <v>86</v>
      </c>
      <c r="E776" s="81">
        <v>1.6</v>
      </c>
      <c r="F776" s="81">
        <v>46.0</v>
      </c>
      <c r="G776" s="81">
        <v>0.0</v>
      </c>
      <c r="H776" s="81">
        <v>0.0</v>
      </c>
      <c r="I776" s="81">
        <v>0.0</v>
      </c>
      <c r="J776" s="81">
        <v>37.0</v>
      </c>
      <c r="K776" s="81">
        <v>90.0</v>
      </c>
      <c r="L776" s="81">
        <v>0.0</v>
      </c>
    </row>
    <row r="777" ht="15.75" customHeight="1">
      <c r="A777" s="228" t="s">
        <v>521</v>
      </c>
      <c r="B777" s="230" t="s">
        <v>74</v>
      </c>
      <c r="C777" s="61">
        <v>30.0</v>
      </c>
      <c r="D777" s="231" t="s">
        <v>86</v>
      </c>
      <c r="E777" s="81">
        <v>1.14</v>
      </c>
      <c r="F777" s="81">
        <v>28.5</v>
      </c>
      <c r="G777" s="81">
        <v>0.0</v>
      </c>
      <c r="H777" s="81">
        <v>0.0</v>
      </c>
      <c r="I777" s="81">
        <v>0.0</v>
      </c>
      <c r="J777" s="81">
        <v>12.0</v>
      </c>
      <c r="K777" s="81">
        <v>21.0</v>
      </c>
      <c r="L777" s="81">
        <v>0.0</v>
      </c>
    </row>
    <row r="778" ht="15.75" customHeight="1">
      <c r="A778" s="228" t="s">
        <v>521</v>
      </c>
      <c r="B778" s="230" t="s">
        <v>139</v>
      </c>
      <c r="C778" s="61">
        <v>5.0</v>
      </c>
      <c r="D778" s="231" t="s">
        <v>86</v>
      </c>
      <c r="E778" s="81">
        <v>1.0</v>
      </c>
      <c r="F778" s="81">
        <v>0.0</v>
      </c>
      <c r="G778" s="81">
        <v>0.0</v>
      </c>
      <c r="H778" s="81">
        <v>0.0</v>
      </c>
      <c r="I778" s="81">
        <v>5.0</v>
      </c>
      <c r="J778" s="81">
        <v>0.0</v>
      </c>
      <c r="K778" s="81">
        <v>0.0</v>
      </c>
      <c r="L778" s="81">
        <v>0.0</v>
      </c>
    </row>
    <row r="779" ht="15.75" customHeight="1">
      <c r="A779" s="228" t="s">
        <v>521</v>
      </c>
      <c r="B779" s="230" t="s">
        <v>377</v>
      </c>
      <c r="C779" s="61">
        <v>500.0</v>
      </c>
      <c r="D779" s="231" t="s">
        <v>86</v>
      </c>
      <c r="E779" s="81">
        <v>0.0</v>
      </c>
      <c r="F779" s="81">
        <v>30.0</v>
      </c>
      <c r="G779" s="81">
        <v>0.0</v>
      </c>
      <c r="H779" s="81">
        <v>0.0</v>
      </c>
      <c r="I779" s="81">
        <v>15.0</v>
      </c>
      <c r="J779" s="81">
        <v>65.0</v>
      </c>
      <c r="K779" s="81">
        <v>80.0</v>
      </c>
      <c r="L779" s="81">
        <v>5.0</v>
      </c>
    </row>
    <row r="780" ht="15.75" customHeight="1">
      <c r="A780" s="228" t="s">
        <v>521</v>
      </c>
      <c r="B780" s="230" t="s">
        <v>162</v>
      </c>
      <c r="C780" s="61">
        <v>20.0</v>
      </c>
      <c r="D780" s="231" t="s">
        <v>86</v>
      </c>
      <c r="E780" s="81">
        <v>0.26</v>
      </c>
      <c r="F780" s="81">
        <v>0.4</v>
      </c>
      <c r="G780" s="81">
        <v>0.0</v>
      </c>
      <c r="H780" s="81">
        <v>0.0</v>
      </c>
      <c r="I780" s="81">
        <v>1.2</v>
      </c>
      <c r="J780" s="81">
        <v>0.6</v>
      </c>
      <c r="K780" s="81">
        <v>0.64</v>
      </c>
      <c r="L780" s="81">
        <v>0.0</v>
      </c>
    </row>
    <row r="781" ht="15.75" customHeight="1">
      <c r="A781" s="228" t="s">
        <v>522</v>
      </c>
      <c r="B781" s="230" t="s">
        <v>14</v>
      </c>
      <c r="C781" s="61">
        <v>553.0</v>
      </c>
      <c r="D781" s="231" t="s">
        <v>89</v>
      </c>
      <c r="E781" s="81">
        <v>0.0</v>
      </c>
      <c r="F781" s="81">
        <v>0.0</v>
      </c>
      <c r="G781" s="81">
        <v>0.0</v>
      </c>
      <c r="H781" s="81">
        <v>0.0</v>
      </c>
      <c r="I781" s="81">
        <v>0.0</v>
      </c>
      <c r="J781" s="81">
        <v>0.0</v>
      </c>
      <c r="K781" s="81">
        <v>0.0</v>
      </c>
      <c r="L781" s="81">
        <v>0.0</v>
      </c>
    </row>
    <row r="782" ht="15.75" customHeight="1">
      <c r="A782" s="228" t="s">
        <v>522</v>
      </c>
      <c r="B782" s="230" t="s">
        <v>94</v>
      </c>
      <c r="C782" s="61">
        <v>180.0</v>
      </c>
      <c r="D782" s="231" t="s">
        <v>89</v>
      </c>
      <c r="E782" s="81">
        <v>0.72</v>
      </c>
      <c r="F782" s="81">
        <v>180.0</v>
      </c>
      <c r="G782" s="81">
        <v>0.0</v>
      </c>
      <c r="H782" s="81">
        <v>0.0</v>
      </c>
      <c r="I782" s="81">
        <v>0.0</v>
      </c>
      <c r="J782" s="81">
        <v>180.0</v>
      </c>
      <c r="K782" s="81">
        <v>180.0</v>
      </c>
      <c r="L782" s="81">
        <v>0.0</v>
      </c>
    </row>
    <row r="783" ht="15.75" customHeight="1">
      <c r="A783" s="228" t="s">
        <v>522</v>
      </c>
      <c r="B783" s="230" t="s">
        <v>74</v>
      </c>
      <c r="C783" s="61">
        <v>27.0</v>
      </c>
      <c r="D783" s="231" t="s">
        <v>89</v>
      </c>
      <c r="E783" s="81">
        <v>1.026</v>
      </c>
      <c r="F783" s="81">
        <v>25.65</v>
      </c>
      <c r="G783" s="81">
        <v>0.0</v>
      </c>
      <c r="H783" s="81">
        <v>0.0</v>
      </c>
      <c r="I783" s="81">
        <v>0.0</v>
      </c>
      <c r="J783" s="81">
        <v>10.8</v>
      </c>
      <c r="K783" s="81">
        <v>18.9</v>
      </c>
      <c r="L783" s="81">
        <v>0.0</v>
      </c>
    </row>
    <row r="784" ht="15.75" customHeight="1">
      <c r="A784" s="228" t="s">
        <v>522</v>
      </c>
      <c r="B784" s="230" t="s">
        <v>63</v>
      </c>
      <c r="C784" s="61">
        <v>25.0</v>
      </c>
      <c r="D784" s="231" t="s">
        <v>89</v>
      </c>
      <c r="E784" s="81">
        <v>0.8</v>
      </c>
      <c r="F784" s="81">
        <v>23.0</v>
      </c>
      <c r="G784" s="81">
        <v>0.0</v>
      </c>
      <c r="H784" s="81">
        <v>0.0</v>
      </c>
      <c r="I784" s="81">
        <v>0.0</v>
      </c>
      <c r="J784" s="81">
        <v>18.5</v>
      </c>
      <c r="K784" s="81">
        <v>45.0</v>
      </c>
      <c r="L784" s="81">
        <v>0.0</v>
      </c>
    </row>
    <row r="785" ht="15.75" customHeight="1">
      <c r="A785" s="228" t="s">
        <v>522</v>
      </c>
      <c r="B785" s="230" t="s">
        <v>139</v>
      </c>
      <c r="C785" s="61">
        <v>5.0</v>
      </c>
      <c r="D785" s="231" t="s">
        <v>89</v>
      </c>
      <c r="E785" s="81">
        <v>1.0</v>
      </c>
      <c r="F785" s="81">
        <v>0.0</v>
      </c>
      <c r="G785" s="81">
        <v>0.0</v>
      </c>
      <c r="H785" s="81">
        <v>0.0</v>
      </c>
      <c r="I785" s="81">
        <v>5.0</v>
      </c>
      <c r="J785" s="81">
        <v>0.0</v>
      </c>
      <c r="K785" s="81">
        <v>0.0</v>
      </c>
      <c r="L785" s="81">
        <v>0.0</v>
      </c>
    </row>
    <row r="786" ht="15.75" customHeight="1">
      <c r="A786" s="228" t="s">
        <v>522</v>
      </c>
      <c r="B786" s="230" t="s">
        <v>155</v>
      </c>
      <c r="C786" s="61">
        <v>200.0</v>
      </c>
      <c r="D786" s="231" t="s">
        <v>89</v>
      </c>
      <c r="E786" s="81">
        <v>35.0</v>
      </c>
      <c r="F786" s="81">
        <v>60.0</v>
      </c>
      <c r="G786" s="81">
        <v>76.0</v>
      </c>
      <c r="H786" s="81">
        <v>0.0</v>
      </c>
      <c r="I786" s="81">
        <v>64.0</v>
      </c>
      <c r="J786" s="81">
        <v>115.99999999999999</v>
      </c>
      <c r="K786" s="81">
        <v>0.0</v>
      </c>
      <c r="L786" s="81">
        <v>10.0</v>
      </c>
    </row>
    <row r="787" ht="15.75" customHeight="1">
      <c r="A787" s="228" t="s">
        <v>523</v>
      </c>
      <c r="B787" s="230" t="s">
        <v>14</v>
      </c>
      <c r="C787" s="61">
        <v>553.0</v>
      </c>
      <c r="D787" s="231" t="s">
        <v>89</v>
      </c>
      <c r="E787" s="81">
        <v>0.0</v>
      </c>
      <c r="F787" s="81">
        <v>0.0</v>
      </c>
      <c r="G787" s="81">
        <v>0.0</v>
      </c>
      <c r="H787" s="81">
        <v>0.0</v>
      </c>
      <c r="I787" s="81">
        <v>0.0</v>
      </c>
      <c r="J787" s="81">
        <v>0.0</v>
      </c>
      <c r="K787" s="81">
        <v>0.0</v>
      </c>
      <c r="L787" s="81">
        <v>0.0</v>
      </c>
    </row>
    <row r="788" ht="15.75" customHeight="1">
      <c r="A788" s="228" t="s">
        <v>523</v>
      </c>
      <c r="B788" s="230" t="s">
        <v>94</v>
      </c>
      <c r="C788" s="61">
        <v>30.0</v>
      </c>
      <c r="D788" s="231" t="s">
        <v>89</v>
      </c>
      <c r="E788" s="81">
        <v>0.12</v>
      </c>
      <c r="F788" s="81">
        <v>30.0</v>
      </c>
      <c r="G788" s="81">
        <v>0.0</v>
      </c>
      <c r="H788" s="81">
        <v>0.0</v>
      </c>
      <c r="I788" s="81">
        <v>0.0</v>
      </c>
      <c r="J788" s="81">
        <v>30.0</v>
      </c>
      <c r="K788" s="81">
        <v>30.0</v>
      </c>
      <c r="L788" s="81">
        <v>0.0</v>
      </c>
    </row>
    <row r="789" ht="15.75" customHeight="1">
      <c r="A789" s="228" t="s">
        <v>523</v>
      </c>
      <c r="B789" s="230" t="s">
        <v>74</v>
      </c>
      <c r="C789" s="61">
        <v>27.0</v>
      </c>
      <c r="D789" s="231" t="s">
        <v>89</v>
      </c>
      <c r="E789" s="81">
        <v>1.026</v>
      </c>
      <c r="F789" s="81">
        <v>25.65</v>
      </c>
      <c r="G789" s="81">
        <v>0.0</v>
      </c>
      <c r="H789" s="81">
        <v>0.0</v>
      </c>
      <c r="I789" s="81">
        <v>0.0</v>
      </c>
      <c r="J789" s="81">
        <v>10.8</v>
      </c>
      <c r="K789" s="81">
        <v>18.9</v>
      </c>
      <c r="L789" s="81">
        <v>0.0</v>
      </c>
    </row>
    <row r="790" ht="15.75" customHeight="1">
      <c r="A790" s="228" t="s">
        <v>523</v>
      </c>
      <c r="B790" s="230" t="s">
        <v>63</v>
      </c>
      <c r="C790" s="61">
        <v>25.0</v>
      </c>
      <c r="D790" s="231" t="s">
        <v>89</v>
      </c>
      <c r="E790" s="81">
        <v>0.8</v>
      </c>
      <c r="F790" s="81">
        <v>23.0</v>
      </c>
      <c r="G790" s="81">
        <v>0.0</v>
      </c>
      <c r="H790" s="81">
        <v>0.0</v>
      </c>
      <c r="I790" s="81">
        <v>0.0</v>
      </c>
      <c r="J790" s="81">
        <v>18.5</v>
      </c>
      <c r="K790" s="81">
        <v>45.0</v>
      </c>
      <c r="L790" s="81">
        <v>0.0</v>
      </c>
    </row>
    <row r="791" ht="15.75" customHeight="1">
      <c r="A791" s="228" t="s">
        <v>523</v>
      </c>
      <c r="B791" s="230" t="s">
        <v>139</v>
      </c>
      <c r="C791" s="61">
        <v>5.0</v>
      </c>
      <c r="D791" s="231" t="s">
        <v>89</v>
      </c>
      <c r="E791" s="81">
        <v>1.0</v>
      </c>
      <c r="F791" s="81">
        <v>0.0</v>
      </c>
      <c r="G791" s="81">
        <v>0.0</v>
      </c>
      <c r="H791" s="81">
        <v>0.0</v>
      </c>
      <c r="I791" s="81">
        <v>5.0</v>
      </c>
      <c r="J791" s="81">
        <v>0.0</v>
      </c>
      <c r="K791" s="81">
        <v>0.0</v>
      </c>
      <c r="L791" s="81">
        <v>0.0</v>
      </c>
    </row>
    <row r="792" ht="15.75" customHeight="1">
      <c r="A792" s="228" t="s">
        <v>523</v>
      </c>
      <c r="B792" s="230" t="s">
        <v>218</v>
      </c>
      <c r="C792" s="61">
        <v>350.0</v>
      </c>
      <c r="D792" s="231" t="s">
        <v>89</v>
      </c>
      <c r="E792" s="81">
        <v>0.0</v>
      </c>
      <c r="F792" s="81">
        <v>140.0</v>
      </c>
      <c r="G792" s="81">
        <v>122.49999999999999</v>
      </c>
      <c r="H792" s="81">
        <v>63.0</v>
      </c>
      <c r="I792" s="81">
        <v>24.500000000000004</v>
      </c>
      <c r="J792" s="81">
        <v>145.54399999999998</v>
      </c>
      <c r="K792" s="81">
        <v>174.65</v>
      </c>
      <c r="L792" s="81">
        <v>20.79</v>
      </c>
    </row>
    <row r="793" ht="15.75" customHeight="1">
      <c r="A793" s="228" t="s">
        <v>524</v>
      </c>
      <c r="B793" s="230" t="s">
        <v>14</v>
      </c>
      <c r="C793" s="61">
        <v>620.0</v>
      </c>
      <c r="D793" s="231" t="s">
        <v>89</v>
      </c>
      <c r="E793" s="81">
        <v>0.0</v>
      </c>
      <c r="F793" s="81">
        <v>0.0</v>
      </c>
      <c r="G793" s="81">
        <v>0.0</v>
      </c>
      <c r="H793" s="81">
        <v>0.0</v>
      </c>
      <c r="I793" s="81">
        <v>0.0</v>
      </c>
      <c r="J793" s="81">
        <v>0.0</v>
      </c>
      <c r="K793" s="81">
        <v>0.0</v>
      </c>
      <c r="L793" s="81">
        <v>0.0</v>
      </c>
    </row>
    <row r="794" ht="15.75" customHeight="1">
      <c r="A794" s="228" t="s">
        <v>524</v>
      </c>
      <c r="B794" s="230" t="s">
        <v>155</v>
      </c>
      <c r="C794" s="61">
        <v>75.0</v>
      </c>
      <c r="D794" s="231" t="s">
        <v>89</v>
      </c>
      <c r="E794" s="81">
        <v>13.125</v>
      </c>
      <c r="F794" s="81">
        <v>22.5</v>
      </c>
      <c r="G794" s="81">
        <v>28.5</v>
      </c>
      <c r="H794" s="81">
        <v>0.0</v>
      </c>
      <c r="I794" s="81">
        <v>24.0</v>
      </c>
      <c r="J794" s="81">
        <v>43.5</v>
      </c>
      <c r="K794" s="81">
        <v>0.0</v>
      </c>
      <c r="L794" s="81">
        <v>3.75</v>
      </c>
    </row>
    <row r="795" ht="15.75" customHeight="1">
      <c r="A795" s="228" t="s">
        <v>524</v>
      </c>
      <c r="B795" s="230" t="s">
        <v>111</v>
      </c>
      <c r="C795" s="61">
        <v>90.0</v>
      </c>
      <c r="D795" s="231" t="s">
        <v>89</v>
      </c>
      <c r="E795" s="81">
        <v>3.78</v>
      </c>
      <c r="F795" s="81">
        <v>0.0</v>
      </c>
      <c r="G795" s="81">
        <v>9.9</v>
      </c>
      <c r="H795" s="81">
        <v>0.0</v>
      </c>
      <c r="I795" s="81">
        <v>75.6</v>
      </c>
      <c r="J795" s="81">
        <v>0.0</v>
      </c>
      <c r="K795" s="81">
        <v>0.0</v>
      </c>
      <c r="L795" s="81">
        <v>16.2</v>
      </c>
    </row>
    <row r="796" ht="15.75" customHeight="1">
      <c r="A796" s="228" t="s">
        <v>524</v>
      </c>
      <c r="B796" s="230" t="s">
        <v>94</v>
      </c>
      <c r="C796" s="61">
        <v>120.0</v>
      </c>
      <c r="D796" s="231" t="s">
        <v>89</v>
      </c>
      <c r="E796" s="81">
        <v>0.48</v>
      </c>
      <c r="F796" s="81">
        <v>120.0</v>
      </c>
      <c r="G796" s="81">
        <v>0.0</v>
      </c>
      <c r="H796" s="81">
        <v>0.0</v>
      </c>
      <c r="I796" s="81">
        <v>0.0</v>
      </c>
      <c r="J796" s="81">
        <v>120.0</v>
      </c>
      <c r="K796" s="81">
        <v>120.0</v>
      </c>
      <c r="L796" s="81">
        <v>0.0</v>
      </c>
    </row>
    <row r="797" ht="15.75" customHeight="1">
      <c r="A797" s="228" t="s">
        <v>524</v>
      </c>
      <c r="B797" s="230" t="s">
        <v>63</v>
      </c>
      <c r="C797" s="61">
        <v>50.0</v>
      </c>
      <c r="D797" s="231" t="s">
        <v>89</v>
      </c>
      <c r="E797" s="81">
        <v>1.6</v>
      </c>
      <c r="F797" s="81">
        <v>46.0</v>
      </c>
      <c r="G797" s="81">
        <v>0.0</v>
      </c>
      <c r="H797" s="81">
        <v>0.0</v>
      </c>
      <c r="I797" s="81">
        <v>0.0</v>
      </c>
      <c r="J797" s="81">
        <v>37.0</v>
      </c>
      <c r="K797" s="81">
        <v>90.0</v>
      </c>
      <c r="L797" s="81">
        <v>0.0</v>
      </c>
    </row>
    <row r="798" ht="15.75" customHeight="1">
      <c r="A798" s="228" t="s">
        <v>524</v>
      </c>
      <c r="B798" s="230" t="s">
        <v>170</v>
      </c>
      <c r="C798" s="61">
        <v>10.0</v>
      </c>
      <c r="D798" s="231" t="s">
        <v>89</v>
      </c>
      <c r="E798" s="81">
        <v>0.95</v>
      </c>
      <c r="F798" s="81">
        <v>0.0</v>
      </c>
      <c r="G798" s="81">
        <v>0.0</v>
      </c>
      <c r="H798" s="81">
        <v>0.0</v>
      </c>
      <c r="I798" s="81">
        <v>9.5</v>
      </c>
      <c r="J798" s="81">
        <v>0.0</v>
      </c>
      <c r="K798" s="81">
        <v>2.0</v>
      </c>
      <c r="L798" s="81">
        <v>0.0</v>
      </c>
    </row>
    <row r="799" ht="15.75" customHeight="1">
      <c r="A799" s="228" t="s">
        <v>524</v>
      </c>
      <c r="B799" s="230" t="s">
        <v>349</v>
      </c>
      <c r="C799" s="61">
        <v>30.0</v>
      </c>
      <c r="D799" s="231" t="s">
        <v>89</v>
      </c>
      <c r="E799" s="81">
        <v>0.0</v>
      </c>
      <c r="F799" s="81">
        <v>0.0</v>
      </c>
      <c r="G799" s="81">
        <v>30.0</v>
      </c>
      <c r="H799" s="81">
        <v>0.0</v>
      </c>
      <c r="I799" s="81">
        <v>0.0</v>
      </c>
      <c r="J799" s="81">
        <v>0.0</v>
      </c>
      <c r="K799" s="81">
        <v>0.0</v>
      </c>
      <c r="L799" s="81">
        <v>0.0</v>
      </c>
    </row>
    <row r="800" ht="15.75" customHeight="1">
      <c r="A800" s="228" t="s">
        <v>524</v>
      </c>
      <c r="B800" s="230" t="s">
        <v>139</v>
      </c>
      <c r="C800" s="61">
        <v>5.0</v>
      </c>
      <c r="D800" s="231" t="s">
        <v>89</v>
      </c>
      <c r="E800" s="81">
        <v>1.0</v>
      </c>
      <c r="F800" s="81">
        <v>0.0</v>
      </c>
      <c r="G800" s="81">
        <v>0.0</v>
      </c>
      <c r="H800" s="81">
        <v>0.0</v>
      </c>
      <c r="I800" s="81">
        <v>5.0</v>
      </c>
      <c r="J800" s="81">
        <v>0.0</v>
      </c>
      <c r="K800" s="81">
        <v>0.0</v>
      </c>
      <c r="L800" s="81">
        <v>0.0</v>
      </c>
    </row>
    <row r="801" ht="15.75" customHeight="1">
      <c r="A801" s="228" t="s">
        <v>524</v>
      </c>
      <c r="B801" s="230" t="s">
        <v>141</v>
      </c>
      <c r="C801" s="61">
        <v>1.0</v>
      </c>
      <c r="D801" s="231" t="s">
        <v>89</v>
      </c>
      <c r="E801" s="81">
        <v>0.0035</v>
      </c>
      <c r="F801" s="81">
        <v>0.0</v>
      </c>
      <c r="G801" s="81">
        <v>0.0</v>
      </c>
      <c r="H801" s="81">
        <v>0.0</v>
      </c>
      <c r="I801" s="81">
        <v>1.0</v>
      </c>
      <c r="J801" s="81">
        <v>0.0</v>
      </c>
      <c r="K801" s="81">
        <v>3.0</v>
      </c>
      <c r="L801" s="81">
        <v>0.0</v>
      </c>
    </row>
    <row r="802" ht="15.75" customHeight="1">
      <c r="A802" s="228" t="s">
        <v>526</v>
      </c>
      <c r="B802" s="230" t="s">
        <v>14</v>
      </c>
      <c r="C802" s="61">
        <v>600.0</v>
      </c>
      <c r="D802" s="231" t="s">
        <v>95</v>
      </c>
      <c r="E802" s="81">
        <v>0.0</v>
      </c>
      <c r="F802" s="81">
        <v>0.0</v>
      </c>
      <c r="G802" s="81">
        <v>0.0</v>
      </c>
      <c r="H802" s="81">
        <v>0.0</v>
      </c>
      <c r="I802" s="81">
        <v>0.0</v>
      </c>
      <c r="J802" s="81">
        <v>0.0</v>
      </c>
      <c r="K802" s="81">
        <v>0.0</v>
      </c>
      <c r="L802" s="81">
        <v>0.0</v>
      </c>
    </row>
    <row r="803" ht="15.75" customHeight="1">
      <c r="A803" s="228" t="s">
        <v>526</v>
      </c>
      <c r="B803" s="230" t="s">
        <v>206</v>
      </c>
      <c r="C803" s="61">
        <v>120.0</v>
      </c>
      <c r="D803" s="231" t="s">
        <v>95</v>
      </c>
      <c r="E803" s="81">
        <v>34.8</v>
      </c>
      <c r="F803" s="81">
        <v>5.3999999999999995</v>
      </c>
      <c r="G803" s="81">
        <v>67.2</v>
      </c>
      <c r="H803" s="81">
        <v>0.0</v>
      </c>
      <c r="I803" s="81">
        <v>47.400000000000006</v>
      </c>
      <c r="J803" s="81">
        <v>0.0</v>
      </c>
      <c r="K803" s="81">
        <v>0.0</v>
      </c>
      <c r="L803" s="81">
        <v>15.600000000000001</v>
      </c>
    </row>
    <row r="804" ht="15.75" customHeight="1">
      <c r="A804" s="228" t="s">
        <v>526</v>
      </c>
      <c r="B804" s="230" t="s">
        <v>94</v>
      </c>
      <c r="C804" s="61">
        <v>120.0</v>
      </c>
      <c r="D804" s="231" t="s">
        <v>95</v>
      </c>
      <c r="E804" s="81">
        <v>0.48</v>
      </c>
      <c r="F804" s="81">
        <v>120.0</v>
      </c>
      <c r="G804" s="81">
        <v>0.0</v>
      </c>
      <c r="H804" s="81">
        <v>0.0</v>
      </c>
      <c r="I804" s="81">
        <v>0.0</v>
      </c>
      <c r="J804" s="81">
        <v>120.0</v>
      </c>
      <c r="K804" s="81">
        <v>120.0</v>
      </c>
      <c r="L804" s="81">
        <v>0.0</v>
      </c>
    </row>
    <row r="805" ht="15.75" customHeight="1">
      <c r="A805" s="228" t="s">
        <v>526</v>
      </c>
      <c r="B805" s="230" t="s">
        <v>63</v>
      </c>
      <c r="C805" s="61">
        <v>65.0</v>
      </c>
      <c r="D805" s="231" t="s">
        <v>95</v>
      </c>
      <c r="E805" s="81">
        <v>2.08</v>
      </c>
      <c r="F805" s="81">
        <v>59.800000000000004</v>
      </c>
      <c r="G805" s="81">
        <v>0.0</v>
      </c>
      <c r="H805" s="81">
        <v>0.0</v>
      </c>
      <c r="I805" s="81">
        <v>0.0</v>
      </c>
      <c r="J805" s="81">
        <v>48.1</v>
      </c>
      <c r="K805" s="81">
        <v>117.0</v>
      </c>
      <c r="L805" s="81">
        <v>0.0</v>
      </c>
    </row>
    <row r="806" ht="15.75" customHeight="1">
      <c r="A806" s="228" t="s">
        <v>526</v>
      </c>
      <c r="B806" s="230" t="s">
        <v>170</v>
      </c>
      <c r="C806" s="61">
        <v>50.0</v>
      </c>
      <c r="D806" s="231" t="s">
        <v>95</v>
      </c>
      <c r="E806" s="81">
        <v>4.75</v>
      </c>
      <c r="F806" s="81">
        <v>0.0</v>
      </c>
      <c r="G806" s="81">
        <v>0.0</v>
      </c>
      <c r="H806" s="81">
        <v>0.0</v>
      </c>
      <c r="I806" s="81">
        <v>47.5</v>
      </c>
      <c r="J806" s="81">
        <v>0.0</v>
      </c>
      <c r="K806" s="81">
        <v>10.0</v>
      </c>
      <c r="L806" s="81">
        <v>0.0</v>
      </c>
    </row>
    <row r="807" ht="15.75" customHeight="1">
      <c r="A807" s="228" t="s">
        <v>526</v>
      </c>
      <c r="B807" s="230" t="s">
        <v>167</v>
      </c>
      <c r="C807" s="61">
        <v>40.0</v>
      </c>
      <c r="D807" s="231" t="s">
        <v>95</v>
      </c>
      <c r="E807" s="81">
        <v>0.0</v>
      </c>
      <c r="F807" s="81">
        <v>0.0</v>
      </c>
      <c r="G807" s="81">
        <v>40.0</v>
      </c>
      <c r="H807" s="81">
        <v>0.0</v>
      </c>
      <c r="I807" s="81">
        <v>0.0</v>
      </c>
      <c r="J807" s="81">
        <v>0.0</v>
      </c>
      <c r="K807" s="81">
        <v>0.0</v>
      </c>
      <c r="L807" s="81">
        <v>0.0</v>
      </c>
    </row>
    <row r="808" ht="15.75" customHeight="1">
      <c r="A808" s="228" t="s">
        <v>526</v>
      </c>
      <c r="B808" s="230" t="s">
        <v>139</v>
      </c>
      <c r="C808" s="61">
        <v>5.0</v>
      </c>
      <c r="D808" s="231" t="s">
        <v>95</v>
      </c>
      <c r="E808" s="81">
        <v>1.0</v>
      </c>
      <c r="F808" s="81">
        <v>0.0</v>
      </c>
      <c r="G808" s="81">
        <v>0.0</v>
      </c>
      <c r="H808" s="81">
        <v>0.0</v>
      </c>
      <c r="I808" s="81">
        <v>5.0</v>
      </c>
      <c r="J808" s="81">
        <v>0.0</v>
      </c>
      <c r="K808" s="81">
        <v>0.0</v>
      </c>
      <c r="L808" s="81">
        <v>0.0</v>
      </c>
    </row>
    <row r="809" ht="15.75" customHeight="1">
      <c r="A809" s="228" t="s">
        <v>526</v>
      </c>
      <c r="B809" s="230" t="s">
        <v>141</v>
      </c>
      <c r="C809" s="61">
        <v>2.0</v>
      </c>
      <c r="D809" s="231" t="s">
        <v>95</v>
      </c>
      <c r="E809" s="81">
        <v>0.007</v>
      </c>
      <c r="F809" s="81">
        <v>0.0</v>
      </c>
      <c r="G809" s="81">
        <v>0.0</v>
      </c>
      <c r="H809" s="81">
        <v>0.0</v>
      </c>
      <c r="I809" s="81">
        <v>2.0</v>
      </c>
      <c r="J809" s="81">
        <v>0.0</v>
      </c>
      <c r="K809" s="81">
        <v>6.0</v>
      </c>
      <c r="L809" s="81">
        <v>0.0</v>
      </c>
    </row>
    <row r="810" ht="15.75" customHeight="1">
      <c r="A810" s="228" t="s">
        <v>528</v>
      </c>
      <c r="B810" s="230" t="s">
        <v>14</v>
      </c>
      <c r="C810" s="61">
        <v>590.0</v>
      </c>
      <c r="D810" s="231" t="s">
        <v>95</v>
      </c>
      <c r="E810" s="81">
        <v>0.0</v>
      </c>
      <c r="F810" s="81">
        <v>0.0</v>
      </c>
      <c r="G810" s="81">
        <v>0.0</v>
      </c>
      <c r="H810" s="81">
        <v>0.0</v>
      </c>
      <c r="I810" s="81">
        <v>0.0</v>
      </c>
      <c r="J810" s="81">
        <v>0.0</v>
      </c>
      <c r="K810" s="81">
        <v>0.0</v>
      </c>
      <c r="L810" s="81">
        <v>0.0</v>
      </c>
    </row>
    <row r="811" ht="15.75" customHeight="1">
      <c r="A811" s="228" t="s">
        <v>528</v>
      </c>
      <c r="B811" s="230" t="s">
        <v>331</v>
      </c>
      <c r="C811" s="61">
        <v>130.0</v>
      </c>
      <c r="D811" s="231" t="s">
        <v>95</v>
      </c>
      <c r="E811" s="81">
        <v>21.84</v>
      </c>
      <c r="F811" s="81">
        <v>5.2</v>
      </c>
      <c r="G811" s="81">
        <v>84.5</v>
      </c>
      <c r="H811" s="81">
        <v>0.0</v>
      </c>
      <c r="I811" s="81">
        <v>40.3</v>
      </c>
      <c r="J811" s="81">
        <v>0.0</v>
      </c>
      <c r="K811" s="81">
        <v>0.0</v>
      </c>
      <c r="L811" s="81">
        <v>18.200000000000003</v>
      </c>
    </row>
    <row r="812" ht="15.75" customHeight="1">
      <c r="A812" s="228" t="s">
        <v>528</v>
      </c>
      <c r="B812" s="230" t="s">
        <v>94</v>
      </c>
      <c r="C812" s="61">
        <v>130.0</v>
      </c>
      <c r="D812" s="231" t="s">
        <v>95</v>
      </c>
      <c r="E812" s="81">
        <v>0.52</v>
      </c>
      <c r="F812" s="81">
        <v>130.0</v>
      </c>
      <c r="G812" s="81">
        <v>0.0</v>
      </c>
      <c r="H812" s="81">
        <v>0.0</v>
      </c>
      <c r="I812" s="81">
        <v>0.0</v>
      </c>
      <c r="J812" s="81">
        <v>130.0</v>
      </c>
      <c r="K812" s="81">
        <v>130.0</v>
      </c>
      <c r="L812" s="81">
        <v>0.0</v>
      </c>
    </row>
    <row r="813" ht="15.75" customHeight="1">
      <c r="A813" s="228" t="s">
        <v>528</v>
      </c>
      <c r="B813" s="230" t="s">
        <v>63</v>
      </c>
      <c r="C813" s="61">
        <v>50.0</v>
      </c>
      <c r="D813" s="231" t="s">
        <v>95</v>
      </c>
      <c r="E813" s="81">
        <v>1.6</v>
      </c>
      <c r="F813" s="81">
        <v>46.0</v>
      </c>
      <c r="G813" s="81">
        <v>0.0</v>
      </c>
      <c r="H813" s="81">
        <v>0.0</v>
      </c>
      <c r="I813" s="81">
        <v>0.0</v>
      </c>
      <c r="J813" s="81">
        <v>37.0</v>
      </c>
      <c r="K813" s="81">
        <v>90.0</v>
      </c>
      <c r="L813" s="81">
        <v>0.0</v>
      </c>
    </row>
    <row r="814" ht="15.75" customHeight="1">
      <c r="A814" s="228" t="s">
        <v>528</v>
      </c>
      <c r="B814" s="230" t="s">
        <v>170</v>
      </c>
      <c r="C814" s="61">
        <v>50.0</v>
      </c>
      <c r="D814" s="231" t="s">
        <v>95</v>
      </c>
      <c r="E814" s="81">
        <v>4.75</v>
      </c>
      <c r="F814" s="81">
        <v>0.0</v>
      </c>
      <c r="G814" s="81">
        <v>0.0</v>
      </c>
      <c r="H814" s="81">
        <v>0.0</v>
      </c>
      <c r="I814" s="81">
        <v>47.5</v>
      </c>
      <c r="J814" s="81">
        <v>0.0</v>
      </c>
      <c r="K814" s="81">
        <v>10.0</v>
      </c>
      <c r="L814" s="81">
        <v>0.0</v>
      </c>
    </row>
    <row r="815" ht="15.75" customHeight="1">
      <c r="A815" s="228" t="s">
        <v>528</v>
      </c>
      <c r="B815" s="230" t="s">
        <v>167</v>
      </c>
      <c r="C815" s="61">
        <v>40.0</v>
      </c>
      <c r="D815" s="231" t="s">
        <v>95</v>
      </c>
      <c r="E815" s="81">
        <v>0.0</v>
      </c>
      <c r="F815" s="81">
        <v>0.0</v>
      </c>
      <c r="G815" s="81">
        <v>40.0</v>
      </c>
      <c r="H815" s="81">
        <v>0.0</v>
      </c>
      <c r="I815" s="81">
        <v>0.0</v>
      </c>
      <c r="J815" s="81">
        <v>0.0</v>
      </c>
      <c r="K815" s="81">
        <v>0.0</v>
      </c>
      <c r="L815" s="81">
        <v>0.0</v>
      </c>
    </row>
    <row r="816" ht="15.75" customHeight="1">
      <c r="A816" s="228" t="s">
        <v>528</v>
      </c>
      <c r="B816" s="230" t="s">
        <v>139</v>
      </c>
      <c r="C816" s="61">
        <v>5.0</v>
      </c>
      <c r="D816" s="231" t="s">
        <v>95</v>
      </c>
      <c r="E816" s="81">
        <v>1.0</v>
      </c>
      <c r="F816" s="81">
        <v>0.0</v>
      </c>
      <c r="G816" s="81">
        <v>0.0</v>
      </c>
      <c r="H816" s="81">
        <v>0.0</v>
      </c>
      <c r="I816" s="81">
        <v>5.0</v>
      </c>
      <c r="J816" s="81">
        <v>0.0</v>
      </c>
      <c r="K816" s="81">
        <v>0.0</v>
      </c>
      <c r="L816" s="81">
        <v>0.0</v>
      </c>
    </row>
    <row r="817" ht="15.75" customHeight="1">
      <c r="A817" s="228" t="s">
        <v>528</v>
      </c>
      <c r="B817" s="230" t="s">
        <v>141</v>
      </c>
      <c r="C817" s="61">
        <v>2.0</v>
      </c>
      <c r="D817" s="231" t="s">
        <v>95</v>
      </c>
      <c r="E817" s="81">
        <v>0.007</v>
      </c>
      <c r="F817" s="81">
        <v>0.0</v>
      </c>
      <c r="G817" s="81">
        <v>0.0</v>
      </c>
      <c r="H817" s="81">
        <v>0.0</v>
      </c>
      <c r="I817" s="81">
        <v>2.0</v>
      </c>
      <c r="J817" s="81">
        <v>0.0</v>
      </c>
      <c r="K817" s="81">
        <v>6.0</v>
      </c>
      <c r="L817" s="81">
        <v>0.0</v>
      </c>
    </row>
    <row r="818" ht="15.75" customHeight="1">
      <c r="A818" s="228" t="s">
        <v>529</v>
      </c>
      <c r="B818" s="230" t="s">
        <v>14</v>
      </c>
      <c r="C818" s="61">
        <v>600.0</v>
      </c>
      <c r="D818" s="231" t="s">
        <v>95</v>
      </c>
      <c r="E818" s="81">
        <v>0.0</v>
      </c>
      <c r="F818" s="81">
        <v>0.0</v>
      </c>
      <c r="G818" s="81">
        <v>0.0</v>
      </c>
      <c r="H818" s="81">
        <v>0.0</v>
      </c>
      <c r="I818" s="81">
        <v>0.0</v>
      </c>
      <c r="J818" s="81">
        <v>0.0</v>
      </c>
      <c r="K818" s="81">
        <v>0.0</v>
      </c>
      <c r="L818" s="81">
        <v>0.0</v>
      </c>
    </row>
    <row r="819" ht="15.75" customHeight="1">
      <c r="A819" s="228" t="s">
        <v>529</v>
      </c>
      <c r="B819" s="230" t="s">
        <v>331</v>
      </c>
      <c r="C819" s="61">
        <v>90.0</v>
      </c>
      <c r="D819" s="231" t="s">
        <v>95</v>
      </c>
      <c r="E819" s="81">
        <v>15.12</v>
      </c>
      <c r="F819" s="81">
        <v>3.6</v>
      </c>
      <c r="G819" s="81">
        <v>58.5</v>
      </c>
      <c r="H819" s="81">
        <v>0.0</v>
      </c>
      <c r="I819" s="81">
        <v>27.9</v>
      </c>
      <c r="J819" s="81">
        <v>0.0</v>
      </c>
      <c r="K819" s="81">
        <v>0.0</v>
      </c>
      <c r="L819" s="81">
        <v>12.600000000000001</v>
      </c>
    </row>
    <row r="820" ht="15.75" customHeight="1">
      <c r="A820" s="228" t="s">
        <v>529</v>
      </c>
      <c r="B820" s="230" t="s">
        <v>155</v>
      </c>
      <c r="C820" s="61">
        <v>60.0</v>
      </c>
      <c r="D820" s="231" t="s">
        <v>95</v>
      </c>
      <c r="E820" s="81">
        <v>10.5</v>
      </c>
      <c r="F820" s="81">
        <v>18.0</v>
      </c>
      <c r="G820" s="81">
        <v>22.8</v>
      </c>
      <c r="H820" s="81">
        <v>0.0</v>
      </c>
      <c r="I820" s="81">
        <v>19.2</v>
      </c>
      <c r="J820" s="81">
        <v>34.8</v>
      </c>
      <c r="K820" s="81">
        <v>0.0</v>
      </c>
      <c r="L820" s="81">
        <v>3.0</v>
      </c>
    </row>
    <row r="821" ht="15.75" customHeight="1">
      <c r="A821" s="228" t="s">
        <v>529</v>
      </c>
      <c r="B821" s="230" t="s">
        <v>94</v>
      </c>
      <c r="C821" s="61">
        <v>115.0</v>
      </c>
      <c r="D821" s="231" t="s">
        <v>95</v>
      </c>
      <c r="E821" s="81">
        <v>0.46</v>
      </c>
      <c r="F821" s="81">
        <v>115.0</v>
      </c>
      <c r="G821" s="81">
        <v>0.0</v>
      </c>
      <c r="H821" s="81">
        <v>0.0</v>
      </c>
      <c r="I821" s="81">
        <v>0.0</v>
      </c>
      <c r="J821" s="81">
        <v>115.0</v>
      </c>
      <c r="K821" s="81">
        <v>115.0</v>
      </c>
      <c r="L821" s="81">
        <v>0.0</v>
      </c>
    </row>
    <row r="822" ht="15.75" customHeight="1">
      <c r="A822" s="228" t="s">
        <v>529</v>
      </c>
      <c r="B822" s="230" t="s">
        <v>63</v>
      </c>
      <c r="C822" s="61">
        <v>50.0</v>
      </c>
      <c r="D822" s="231" t="s">
        <v>95</v>
      </c>
      <c r="E822" s="81">
        <v>1.6</v>
      </c>
      <c r="F822" s="81">
        <v>46.0</v>
      </c>
      <c r="G822" s="81">
        <v>0.0</v>
      </c>
      <c r="H822" s="81">
        <v>0.0</v>
      </c>
      <c r="I822" s="81">
        <v>0.0</v>
      </c>
      <c r="J822" s="81">
        <v>37.0</v>
      </c>
      <c r="K822" s="81">
        <v>90.0</v>
      </c>
      <c r="L822" s="81">
        <v>0.0</v>
      </c>
    </row>
    <row r="823" ht="15.75" customHeight="1">
      <c r="A823" s="228" t="s">
        <v>529</v>
      </c>
      <c r="B823" s="230" t="s">
        <v>170</v>
      </c>
      <c r="C823" s="61">
        <v>50.0</v>
      </c>
      <c r="D823" s="231" t="s">
        <v>95</v>
      </c>
      <c r="E823" s="81">
        <v>4.75</v>
      </c>
      <c r="F823" s="81">
        <v>0.0</v>
      </c>
      <c r="G823" s="81">
        <v>0.0</v>
      </c>
      <c r="H823" s="81">
        <v>0.0</v>
      </c>
      <c r="I823" s="81">
        <v>47.5</v>
      </c>
      <c r="J823" s="81">
        <v>0.0</v>
      </c>
      <c r="K823" s="81">
        <v>10.0</v>
      </c>
      <c r="L823" s="81">
        <v>0.0</v>
      </c>
    </row>
    <row r="824" ht="15.75" customHeight="1">
      <c r="A824" s="228" t="s">
        <v>529</v>
      </c>
      <c r="B824" s="230" t="s">
        <v>167</v>
      </c>
      <c r="C824" s="61">
        <v>20.0</v>
      </c>
      <c r="D824" s="231" t="s">
        <v>95</v>
      </c>
      <c r="E824" s="81">
        <v>0.0</v>
      </c>
      <c r="F824" s="81">
        <v>0.0</v>
      </c>
      <c r="G824" s="81">
        <v>20.0</v>
      </c>
      <c r="H824" s="81">
        <v>0.0</v>
      </c>
      <c r="I824" s="81">
        <v>0.0</v>
      </c>
      <c r="J824" s="81">
        <v>0.0</v>
      </c>
      <c r="K824" s="81">
        <v>0.0</v>
      </c>
      <c r="L824" s="81">
        <v>0.0</v>
      </c>
    </row>
    <row r="825" ht="15.75" customHeight="1">
      <c r="A825" s="228" t="s">
        <v>529</v>
      </c>
      <c r="B825" s="230" t="s">
        <v>139</v>
      </c>
      <c r="C825" s="61">
        <v>5.0</v>
      </c>
      <c r="D825" s="231" t="s">
        <v>95</v>
      </c>
      <c r="E825" s="81">
        <v>1.0</v>
      </c>
      <c r="F825" s="81">
        <v>0.0</v>
      </c>
      <c r="G825" s="81">
        <v>0.0</v>
      </c>
      <c r="H825" s="81">
        <v>0.0</v>
      </c>
      <c r="I825" s="81">
        <v>5.0</v>
      </c>
      <c r="J825" s="81">
        <v>0.0</v>
      </c>
      <c r="K825" s="81">
        <v>0.0</v>
      </c>
      <c r="L825" s="81">
        <v>0.0</v>
      </c>
    </row>
    <row r="826" ht="15.75" customHeight="1">
      <c r="A826" s="228" t="s">
        <v>529</v>
      </c>
      <c r="B826" s="230" t="s">
        <v>141</v>
      </c>
      <c r="C826" s="61">
        <v>2.0</v>
      </c>
      <c r="D826" s="231" t="s">
        <v>95</v>
      </c>
      <c r="E826" s="81">
        <v>0.007</v>
      </c>
      <c r="F826" s="81">
        <v>0.0</v>
      </c>
      <c r="G826" s="81">
        <v>0.0</v>
      </c>
      <c r="H826" s="81">
        <v>0.0</v>
      </c>
      <c r="I826" s="81">
        <v>2.0</v>
      </c>
      <c r="J826" s="81">
        <v>0.0</v>
      </c>
      <c r="K826" s="81">
        <v>6.0</v>
      </c>
      <c r="L826" s="81">
        <v>0.0</v>
      </c>
    </row>
    <row r="827" ht="15.75" customHeight="1">
      <c r="A827" s="228" t="s">
        <v>531</v>
      </c>
      <c r="B827" s="230" t="s">
        <v>14</v>
      </c>
      <c r="C827" s="61">
        <v>580.0</v>
      </c>
      <c r="D827" s="231" t="s">
        <v>95</v>
      </c>
      <c r="E827" s="81">
        <v>0.0</v>
      </c>
      <c r="F827" s="81">
        <v>0.0</v>
      </c>
      <c r="G827" s="81">
        <v>0.0</v>
      </c>
      <c r="H827" s="81">
        <v>0.0</v>
      </c>
      <c r="I827" s="81">
        <v>0.0</v>
      </c>
      <c r="J827" s="81">
        <v>0.0</v>
      </c>
      <c r="K827" s="81">
        <v>0.0</v>
      </c>
      <c r="L827" s="81">
        <v>0.0</v>
      </c>
    </row>
    <row r="828" ht="15.75" customHeight="1">
      <c r="A828" s="228" t="s">
        <v>531</v>
      </c>
      <c r="B828" s="230" t="s">
        <v>329</v>
      </c>
      <c r="C828" s="61">
        <v>165.0</v>
      </c>
      <c r="D828" s="231" t="s">
        <v>95</v>
      </c>
      <c r="E828" s="81">
        <v>0.0</v>
      </c>
      <c r="F828" s="81">
        <v>13.860000000000001</v>
      </c>
      <c r="G828" s="81">
        <v>81.345</v>
      </c>
      <c r="H828" s="81">
        <v>0.0</v>
      </c>
      <c r="I828" s="81">
        <v>65.67</v>
      </c>
      <c r="J828" s="81">
        <v>0.0</v>
      </c>
      <c r="K828" s="81">
        <v>0.0</v>
      </c>
      <c r="L828" s="81">
        <v>40.755</v>
      </c>
    </row>
    <row r="829" ht="15.75" customHeight="1">
      <c r="A829" s="228" t="s">
        <v>531</v>
      </c>
      <c r="B829" s="230" t="s">
        <v>94</v>
      </c>
      <c r="C829" s="61">
        <v>130.0</v>
      </c>
      <c r="D829" s="231" t="s">
        <v>95</v>
      </c>
      <c r="E829" s="81">
        <v>0.52</v>
      </c>
      <c r="F829" s="81">
        <v>130.0</v>
      </c>
      <c r="G829" s="81">
        <v>0.0</v>
      </c>
      <c r="H829" s="81">
        <v>0.0</v>
      </c>
      <c r="I829" s="81">
        <v>0.0</v>
      </c>
      <c r="J829" s="81">
        <v>130.0</v>
      </c>
      <c r="K829" s="81">
        <v>130.0</v>
      </c>
      <c r="L829" s="81">
        <v>0.0</v>
      </c>
    </row>
    <row r="830" ht="15.75" customHeight="1">
      <c r="A830" s="228" t="s">
        <v>531</v>
      </c>
      <c r="B830" s="230" t="s">
        <v>63</v>
      </c>
      <c r="C830" s="61">
        <v>50.0</v>
      </c>
      <c r="D830" s="231" t="s">
        <v>95</v>
      </c>
      <c r="E830" s="81">
        <v>1.6</v>
      </c>
      <c r="F830" s="81">
        <v>46.0</v>
      </c>
      <c r="G830" s="81">
        <v>0.0</v>
      </c>
      <c r="H830" s="81">
        <v>0.0</v>
      </c>
      <c r="I830" s="81">
        <v>0.0</v>
      </c>
      <c r="J830" s="81">
        <v>37.0</v>
      </c>
      <c r="K830" s="81">
        <v>90.0</v>
      </c>
      <c r="L830" s="81">
        <v>0.0</v>
      </c>
    </row>
    <row r="831" ht="15.75" customHeight="1">
      <c r="A831" s="228" t="s">
        <v>531</v>
      </c>
      <c r="B831" s="230" t="s">
        <v>170</v>
      </c>
      <c r="C831" s="61">
        <v>50.0</v>
      </c>
      <c r="D831" s="231" t="s">
        <v>95</v>
      </c>
      <c r="E831" s="81">
        <v>4.75</v>
      </c>
      <c r="F831" s="81">
        <v>0.0</v>
      </c>
      <c r="G831" s="81">
        <v>0.0</v>
      </c>
      <c r="H831" s="81">
        <v>0.0</v>
      </c>
      <c r="I831" s="81">
        <v>47.5</v>
      </c>
      <c r="J831" s="81">
        <v>0.0</v>
      </c>
      <c r="K831" s="81">
        <v>10.0</v>
      </c>
      <c r="L831" s="81">
        <v>0.0</v>
      </c>
    </row>
    <row r="832" ht="15.75" customHeight="1">
      <c r="A832" s="228" t="s">
        <v>531</v>
      </c>
      <c r="B832" s="230" t="s">
        <v>167</v>
      </c>
      <c r="C832" s="61">
        <v>20.0</v>
      </c>
      <c r="D832" s="231" t="s">
        <v>95</v>
      </c>
      <c r="E832" s="81">
        <v>0.0</v>
      </c>
      <c r="F832" s="81">
        <v>0.0</v>
      </c>
      <c r="G832" s="81">
        <v>20.0</v>
      </c>
      <c r="H832" s="81">
        <v>0.0</v>
      </c>
      <c r="I832" s="81">
        <v>0.0</v>
      </c>
      <c r="J832" s="81">
        <v>0.0</v>
      </c>
      <c r="K832" s="81">
        <v>0.0</v>
      </c>
      <c r="L832" s="81">
        <v>0.0</v>
      </c>
    </row>
    <row r="833" ht="15.75" customHeight="1">
      <c r="A833" s="228" t="s">
        <v>531</v>
      </c>
      <c r="B833" s="230" t="s">
        <v>139</v>
      </c>
      <c r="C833" s="61">
        <v>5.0</v>
      </c>
      <c r="D833" s="231" t="s">
        <v>95</v>
      </c>
      <c r="E833" s="81">
        <v>1.0</v>
      </c>
      <c r="F833" s="81">
        <v>0.0</v>
      </c>
      <c r="G833" s="81">
        <v>0.0</v>
      </c>
      <c r="H833" s="81">
        <v>0.0</v>
      </c>
      <c r="I833" s="81">
        <v>5.0</v>
      </c>
      <c r="J833" s="81">
        <v>0.0</v>
      </c>
      <c r="K833" s="81">
        <v>0.0</v>
      </c>
      <c r="L833" s="81">
        <v>0.0</v>
      </c>
    </row>
    <row r="834" ht="15.75" customHeight="1">
      <c r="A834" s="228" t="s">
        <v>531</v>
      </c>
      <c r="B834" s="230" t="s">
        <v>141</v>
      </c>
      <c r="C834" s="61">
        <v>2.0</v>
      </c>
      <c r="D834" s="231" t="s">
        <v>95</v>
      </c>
      <c r="E834" s="81">
        <v>0.007</v>
      </c>
      <c r="F834" s="81">
        <v>0.0</v>
      </c>
      <c r="G834" s="81">
        <v>0.0</v>
      </c>
      <c r="H834" s="81">
        <v>0.0</v>
      </c>
      <c r="I834" s="81">
        <v>2.0</v>
      </c>
      <c r="J834" s="81">
        <v>0.0</v>
      </c>
      <c r="K834" s="81">
        <v>6.0</v>
      </c>
      <c r="L834" s="81">
        <v>0.0</v>
      </c>
    </row>
    <row r="835" ht="15.75" customHeight="1">
      <c r="A835" s="228" t="s">
        <v>532</v>
      </c>
      <c r="B835" s="230" t="s">
        <v>14</v>
      </c>
      <c r="C835" s="61">
        <v>320.0</v>
      </c>
      <c r="D835" s="231" t="s">
        <v>95</v>
      </c>
      <c r="E835" s="81">
        <v>0.0</v>
      </c>
      <c r="F835" s="81">
        <v>0.0</v>
      </c>
      <c r="G835" s="81">
        <v>0.0</v>
      </c>
      <c r="H835" s="81">
        <v>0.0</v>
      </c>
      <c r="I835" s="81">
        <v>0.0</v>
      </c>
      <c r="J835" s="81">
        <v>0.0</v>
      </c>
      <c r="K835" s="81">
        <v>0.0</v>
      </c>
      <c r="L835" s="81">
        <v>0.0</v>
      </c>
    </row>
    <row r="836" ht="15.75" customHeight="1">
      <c r="A836" s="228" t="s">
        <v>532</v>
      </c>
      <c r="B836" s="230" t="s">
        <v>336</v>
      </c>
      <c r="C836" s="61">
        <v>350.0</v>
      </c>
      <c r="D836" s="231" t="s">
        <v>95</v>
      </c>
      <c r="E836" s="81">
        <v>5.25</v>
      </c>
      <c r="F836" s="81">
        <v>7.0</v>
      </c>
      <c r="G836" s="81">
        <v>70.0</v>
      </c>
      <c r="H836" s="81">
        <v>0.0</v>
      </c>
      <c r="I836" s="81">
        <v>1.75</v>
      </c>
      <c r="J836" s="81">
        <v>0.0</v>
      </c>
      <c r="K836" s="81">
        <v>7.0</v>
      </c>
      <c r="L836" s="81">
        <v>0.0</v>
      </c>
    </row>
    <row r="837" ht="15.75" customHeight="1">
      <c r="A837" s="228" t="s">
        <v>532</v>
      </c>
      <c r="B837" s="230" t="s">
        <v>94</v>
      </c>
      <c r="C837" s="61">
        <v>150.0</v>
      </c>
      <c r="D837" s="231" t="s">
        <v>95</v>
      </c>
      <c r="E837" s="81">
        <v>0.6</v>
      </c>
      <c r="F837" s="81">
        <v>150.0</v>
      </c>
      <c r="G837" s="81">
        <v>0.0</v>
      </c>
      <c r="H837" s="81">
        <v>0.0</v>
      </c>
      <c r="I837" s="81">
        <v>0.0</v>
      </c>
      <c r="J837" s="81">
        <v>150.0</v>
      </c>
      <c r="K837" s="81">
        <v>150.0</v>
      </c>
      <c r="L837" s="81">
        <v>0.0</v>
      </c>
    </row>
    <row r="838" ht="15.75" customHeight="1">
      <c r="A838" s="228" t="s">
        <v>532</v>
      </c>
      <c r="B838" s="230" t="s">
        <v>63</v>
      </c>
      <c r="C838" s="61">
        <v>50.0</v>
      </c>
      <c r="D838" s="231" t="s">
        <v>95</v>
      </c>
      <c r="E838" s="81">
        <v>1.6</v>
      </c>
      <c r="F838" s="81">
        <v>46.0</v>
      </c>
      <c r="G838" s="81">
        <v>0.0</v>
      </c>
      <c r="H838" s="81">
        <v>0.0</v>
      </c>
      <c r="I838" s="81">
        <v>0.0</v>
      </c>
      <c r="J838" s="81">
        <v>37.0</v>
      </c>
      <c r="K838" s="81">
        <v>90.0</v>
      </c>
      <c r="L838" s="81">
        <v>0.0</v>
      </c>
    </row>
    <row r="839" ht="15.75" customHeight="1">
      <c r="A839" s="228" t="s">
        <v>532</v>
      </c>
      <c r="B839" s="230" t="s">
        <v>170</v>
      </c>
      <c r="C839" s="61">
        <v>50.0</v>
      </c>
      <c r="D839" s="231" t="s">
        <v>95</v>
      </c>
      <c r="E839" s="81">
        <v>4.75</v>
      </c>
      <c r="F839" s="81">
        <v>0.0</v>
      </c>
      <c r="G839" s="81">
        <v>0.0</v>
      </c>
      <c r="H839" s="81">
        <v>0.0</v>
      </c>
      <c r="I839" s="81">
        <v>47.5</v>
      </c>
      <c r="J839" s="81">
        <v>0.0</v>
      </c>
      <c r="K839" s="81">
        <v>10.0</v>
      </c>
      <c r="L839" s="81">
        <v>0.0</v>
      </c>
    </row>
    <row r="840" ht="15.75" customHeight="1">
      <c r="A840" s="228" t="s">
        <v>532</v>
      </c>
      <c r="B840" s="230" t="s">
        <v>167</v>
      </c>
      <c r="C840" s="61">
        <v>40.0</v>
      </c>
      <c r="D840" s="231" t="s">
        <v>95</v>
      </c>
      <c r="E840" s="81">
        <v>0.0</v>
      </c>
      <c r="F840" s="81">
        <v>0.0</v>
      </c>
      <c r="G840" s="81">
        <v>40.0</v>
      </c>
      <c r="H840" s="81">
        <v>0.0</v>
      </c>
      <c r="I840" s="81">
        <v>0.0</v>
      </c>
      <c r="J840" s="81">
        <v>0.0</v>
      </c>
      <c r="K840" s="81">
        <v>0.0</v>
      </c>
      <c r="L840" s="81">
        <v>0.0</v>
      </c>
    </row>
    <row r="841" ht="15.75" customHeight="1">
      <c r="A841" s="228" t="s">
        <v>532</v>
      </c>
      <c r="B841" s="230" t="s">
        <v>139</v>
      </c>
      <c r="C841" s="61">
        <v>5.0</v>
      </c>
      <c r="D841" s="231" t="s">
        <v>95</v>
      </c>
      <c r="E841" s="81">
        <v>1.0</v>
      </c>
      <c r="F841" s="81">
        <v>0.0</v>
      </c>
      <c r="G841" s="81">
        <v>0.0</v>
      </c>
      <c r="H841" s="81">
        <v>0.0</v>
      </c>
      <c r="I841" s="81">
        <v>5.0</v>
      </c>
      <c r="J841" s="81">
        <v>0.0</v>
      </c>
      <c r="K841" s="81">
        <v>0.0</v>
      </c>
      <c r="L841" s="81">
        <v>0.0</v>
      </c>
    </row>
    <row r="842" ht="15.75" customHeight="1">
      <c r="A842" s="228" t="s">
        <v>532</v>
      </c>
      <c r="B842" s="230" t="s">
        <v>141</v>
      </c>
      <c r="C842" s="61">
        <v>1.0</v>
      </c>
      <c r="D842" s="231" t="s">
        <v>95</v>
      </c>
      <c r="E842" s="81">
        <v>0.0035</v>
      </c>
      <c r="F842" s="81">
        <v>0.0</v>
      </c>
      <c r="G842" s="81">
        <v>0.0</v>
      </c>
      <c r="H842" s="81">
        <v>0.0</v>
      </c>
      <c r="I842" s="81">
        <v>1.0</v>
      </c>
      <c r="J842" s="81">
        <v>0.0</v>
      </c>
      <c r="K842" s="81">
        <v>3.0</v>
      </c>
      <c r="L842" s="81">
        <v>0.0</v>
      </c>
    </row>
    <row r="843" ht="15.75" customHeight="1">
      <c r="A843" s="228" t="s">
        <v>532</v>
      </c>
      <c r="B843" s="230" t="s">
        <v>334</v>
      </c>
      <c r="C843" s="61">
        <v>40.0</v>
      </c>
      <c r="D843" s="231" t="s">
        <v>95</v>
      </c>
      <c r="E843" s="81">
        <v>4.8</v>
      </c>
      <c r="F843" s="81">
        <v>17.6</v>
      </c>
      <c r="G843" s="81">
        <v>2.8000000000000003</v>
      </c>
      <c r="H843" s="81">
        <v>0.0</v>
      </c>
      <c r="I843" s="81">
        <v>17.6</v>
      </c>
      <c r="J843" s="81">
        <v>0.0</v>
      </c>
      <c r="K843" s="81">
        <v>1.7599999999999998</v>
      </c>
      <c r="L843" s="81">
        <v>1.6</v>
      </c>
    </row>
    <row r="844" ht="15.75" customHeight="1">
      <c r="A844" s="228" t="s">
        <v>534</v>
      </c>
      <c r="B844" s="230" t="s">
        <v>14</v>
      </c>
      <c r="C844" s="61">
        <v>360.0</v>
      </c>
      <c r="D844" s="231" t="s">
        <v>95</v>
      </c>
      <c r="E844" s="81">
        <v>0.0</v>
      </c>
      <c r="F844" s="81">
        <v>0.0</v>
      </c>
      <c r="G844" s="81">
        <v>0.0</v>
      </c>
      <c r="H844" s="81">
        <v>0.0</v>
      </c>
      <c r="I844" s="81">
        <v>0.0</v>
      </c>
      <c r="J844" s="81">
        <v>0.0</v>
      </c>
      <c r="K844" s="81">
        <v>0.0</v>
      </c>
      <c r="L844" s="81">
        <v>0.0</v>
      </c>
    </row>
    <row r="845" ht="15.75" customHeight="1">
      <c r="A845" s="228" t="s">
        <v>534</v>
      </c>
      <c r="B845" s="230" t="s">
        <v>336</v>
      </c>
      <c r="C845" s="61">
        <v>300.0</v>
      </c>
      <c r="D845" s="231" t="s">
        <v>95</v>
      </c>
      <c r="E845" s="81">
        <v>4.5</v>
      </c>
      <c r="F845" s="81">
        <v>6.0</v>
      </c>
      <c r="G845" s="81">
        <v>60.0</v>
      </c>
      <c r="H845" s="81">
        <v>0.0</v>
      </c>
      <c r="I845" s="81">
        <v>1.5</v>
      </c>
      <c r="J845" s="81">
        <v>0.0</v>
      </c>
      <c r="K845" s="81">
        <v>6.0</v>
      </c>
      <c r="L845" s="81">
        <v>0.0</v>
      </c>
    </row>
    <row r="846" ht="15.75" customHeight="1">
      <c r="A846" s="228" t="s">
        <v>534</v>
      </c>
      <c r="B846" s="230" t="s">
        <v>111</v>
      </c>
      <c r="C846" s="61">
        <v>30.0</v>
      </c>
      <c r="D846" s="231" t="s">
        <v>95</v>
      </c>
      <c r="E846" s="81">
        <v>1.26</v>
      </c>
      <c r="F846" s="81">
        <v>0.0</v>
      </c>
      <c r="G846" s="81">
        <v>3.3</v>
      </c>
      <c r="H846" s="81">
        <v>0.0</v>
      </c>
      <c r="I846" s="81">
        <v>25.2</v>
      </c>
      <c r="J846" s="81">
        <v>0.0</v>
      </c>
      <c r="K846" s="81">
        <v>0.0</v>
      </c>
      <c r="L846" s="81">
        <v>5.3999999999999995</v>
      </c>
    </row>
    <row r="847" ht="15.75" customHeight="1">
      <c r="A847" s="228" t="s">
        <v>534</v>
      </c>
      <c r="B847" s="230" t="s">
        <v>94</v>
      </c>
      <c r="C847" s="61">
        <v>140.0</v>
      </c>
      <c r="D847" s="231" t="s">
        <v>95</v>
      </c>
      <c r="E847" s="81">
        <v>0.56</v>
      </c>
      <c r="F847" s="81">
        <v>140.0</v>
      </c>
      <c r="G847" s="81">
        <v>0.0</v>
      </c>
      <c r="H847" s="81">
        <v>0.0</v>
      </c>
      <c r="I847" s="81">
        <v>0.0</v>
      </c>
      <c r="J847" s="81">
        <v>140.0</v>
      </c>
      <c r="K847" s="81">
        <v>140.0</v>
      </c>
      <c r="L847" s="81">
        <v>0.0</v>
      </c>
    </row>
    <row r="848" ht="15.75" customHeight="1">
      <c r="A848" s="228" t="s">
        <v>534</v>
      </c>
      <c r="B848" s="230" t="s">
        <v>63</v>
      </c>
      <c r="C848" s="61">
        <v>50.0</v>
      </c>
      <c r="D848" s="231" t="s">
        <v>95</v>
      </c>
      <c r="E848" s="81">
        <v>1.6</v>
      </c>
      <c r="F848" s="81">
        <v>46.0</v>
      </c>
      <c r="G848" s="81">
        <v>0.0</v>
      </c>
      <c r="H848" s="81">
        <v>0.0</v>
      </c>
      <c r="I848" s="81">
        <v>0.0</v>
      </c>
      <c r="J848" s="81">
        <v>37.0</v>
      </c>
      <c r="K848" s="81">
        <v>90.0</v>
      </c>
      <c r="L848" s="81">
        <v>0.0</v>
      </c>
    </row>
    <row r="849" ht="15.75" customHeight="1">
      <c r="A849" s="228" t="s">
        <v>534</v>
      </c>
      <c r="B849" s="230" t="s">
        <v>170</v>
      </c>
      <c r="C849" s="61">
        <v>50.0</v>
      </c>
      <c r="D849" s="231" t="s">
        <v>95</v>
      </c>
      <c r="E849" s="81">
        <v>4.75</v>
      </c>
      <c r="F849" s="81">
        <v>0.0</v>
      </c>
      <c r="G849" s="81">
        <v>0.0</v>
      </c>
      <c r="H849" s="81">
        <v>0.0</v>
      </c>
      <c r="I849" s="81">
        <v>47.5</v>
      </c>
      <c r="J849" s="81">
        <v>0.0</v>
      </c>
      <c r="K849" s="81">
        <v>10.0</v>
      </c>
      <c r="L849" s="81">
        <v>0.0</v>
      </c>
    </row>
    <row r="850" ht="15.75" customHeight="1">
      <c r="A850" s="228" t="s">
        <v>534</v>
      </c>
      <c r="B850" s="230" t="s">
        <v>167</v>
      </c>
      <c r="C850" s="61">
        <v>30.0</v>
      </c>
      <c r="D850" s="231" t="s">
        <v>95</v>
      </c>
      <c r="E850" s="81">
        <v>0.0</v>
      </c>
      <c r="F850" s="81">
        <v>0.0</v>
      </c>
      <c r="G850" s="81">
        <v>30.0</v>
      </c>
      <c r="H850" s="81">
        <v>0.0</v>
      </c>
      <c r="I850" s="81">
        <v>0.0</v>
      </c>
      <c r="J850" s="81">
        <v>0.0</v>
      </c>
      <c r="K850" s="81">
        <v>0.0</v>
      </c>
      <c r="L850" s="81">
        <v>0.0</v>
      </c>
    </row>
    <row r="851" ht="15.75" customHeight="1">
      <c r="A851" s="228" t="s">
        <v>534</v>
      </c>
      <c r="B851" s="230" t="s">
        <v>139</v>
      </c>
      <c r="C851" s="61">
        <v>5.0</v>
      </c>
      <c r="D851" s="231" t="s">
        <v>95</v>
      </c>
      <c r="E851" s="81">
        <v>1.0</v>
      </c>
      <c r="F851" s="81">
        <v>0.0</v>
      </c>
      <c r="G851" s="81">
        <v>0.0</v>
      </c>
      <c r="H851" s="81">
        <v>0.0</v>
      </c>
      <c r="I851" s="81">
        <v>5.0</v>
      </c>
      <c r="J851" s="81">
        <v>0.0</v>
      </c>
      <c r="K851" s="81">
        <v>0.0</v>
      </c>
      <c r="L851" s="81">
        <v>0.0</v>
      </c>
    </row>
    <row r="852" ht="15.75" customHeight="1">
      <c r="A852" s="228" t="s">
        <v>534</v>
      </c>
      <c r="B852" s="230" t="s">
        <v>141</v>
      </c>
      <c r="C852" s="61">
        <v>1.0</v>
      </c>
      <c r="D852" s="231" t="s">
        <v>95</v>
      </c>
      <c r="E852" s="81">
        <v>0.0035</v>
      </c>
      <c r="F852" s="81">
        <v>0.0</v>
      </c>
      <c r="G852" s="81">
        <v>0.0</v>
      </c>
      <c r="H852" s="81">
        <v>0.0</v>
      </c>
      <c r="I852" s="81">
        <v>1.0</v>
      </c>
      <c r="J852" s="81">
        <v>0.0</v>
      </c>
      <c r="K852" s="81">
        <v>3.0</v>
      </c>
      <c r="L852" s="81">
        <v>0.0</v>
      </c>
    </row>
    <row r="853" ht="15.75" customHeight="1">
      <c r="A853" s="228" t="s">
        <v>534</v>
      </c>
      <c r="B853" s="230" t="s">
        <v>334</v>
      </c>
      <c r="C853" s="61">
        <v>30.0</v>
      </c>
      <c r="D853" s="231" t="s">
        <v>95</v>
      </c>
      <c r="E853" s="81">
        <v>3.6</v>
      </c>
      <c r="F853" s="81">
        <v>13.2</v>
      </c>
      <c r="G853" s="81">
        <v>2.1</v>
      </c>
      <c r="H853" s="81">
        <v>0.0</v>
      </c>
      <c r="I853" s="81">
        <v>13.2</v>
      </c>
      <c r="J853" s="81">
        <v>0.0</v>
      </c>
      <c r="K853" s="81">
        <v>1.3199999999999998</v>
      </c>
      <c r="L853" s="81">
        <v>1.2</v>
      </c>
    </row>
    <row r="854" ht="15.75" customHeight="1">
      <c r="A854" s="228" t="s">
        <v>536</v>
      </c>
      <c r="B854" s="230" t="s">
        <v>423</v>
      </c>
      <c r="C854" s="61">
        <v>750.0</v>
      </c>
      <c r="D854" s="231" t="s">
        <v>95</v>
      </c>
      <c r="E854" s="81">
        <v>9.0</v>
      </c>
      <c r="F854" s="81">
        <v>15.0</v>
      </c>
      <c r="G854" s="81">
        <v>7.5</v>
      </c>
      <c r="H854" s="81">
        <v>0.0</v>
      </c>
      <c r="I854" s="81">
        <v>52.50000000000001</v>
      </c>
      <c r="J854" s="81">
        <v>7.5</v>
      </c>
      <c r="K854" s="81">
        <v>15.0</v>
      </c>
      <c r="L854" s="81">
        <v>15.0</v>
      </c>
    </row>
    <row r="855" ht="15.75" customHeight="1">
      <c r="A855" s="228" t="s">
        <v>536</v>
      </c>
      <c r="B855" s="230" t="s">
        <v>361</v>
      </c>
      <c r="C855" s="61">
        <v>45.0</v>
      </c>
      <c r="D855" s="231" t="s">
        <v>95</v>
      </c>
      <c r="E855" s="81">
        <v>0.0</v>
      </c>
      <c r="F855" s="81">
        <v>0.0</v>
      </c>
      <c r="G855" s="81">
        <v>45.0</v>
      </c>
      <c r="H855" s="81">
        <v>0.0</v>
      </c>
      <c r="I855" s="81">
        <v>0.0</v>
      </c>
      <c r="J855" s="81">
        <v>0.0</v>
      </c>
      <c r="K855" s="81">
        <v>0.0</v>
      </c>
      <c r="L855" s="81">
        <v>0.0</v>
      </c>
    </row>
    <row r="856" ht="15.75" customHeight="1">
      <c r="A856" s="228" t="s">
        <v>536</v>
      </c>
      <c r="B856" s="230" t="s">
        <v>94</v>
      </c>
      <c r="C856" s="61">
        <v>130.0</v>
      </c>
      <c r="D856" s="231" t="s">
        <v>95</v>
      </c>
      <c r="E856" s="81">
        <v>0.52</v>
      </c>
      <c r="F856" s="81">
        <v>130.0</v>
      </c>
      <c r="G856" s="81">
        <v>0.0</v>
      </c>
      <c r="H856" s="81">
        <v>0.0</v>
      </c>
      <c r="I856" s="81">
        <v>0.0</v>
      </c>
      <c r="J856" s="81">
        <v>130.0</v>
      </c>
      <c r="K856" s="81">
        <v>130.0</v>
      </c>
      <c r="L856" s="81">
        <v>0.0</v>
      </c>
    </row>
    <row r="857" ht="15.75" customHeight="1">
      <c r="A857" s="228" t="s">
        <v>536</v>
      </c>
      <c r="B857" s="230" t="s">
        <v>74</v>
      </c>
      <c r="C857" s="61">
        <v>30.0</v>
      </c>
      <c r="D857" s="231" t="s">
        <v>95</v>
      </c>
      <c r="E857" s="81">
        <v>1.14</v>
      </c>
      <c r="F857" s="81">
        <v>28.5</v>
      </c>
      <c r="G857" s="81">
        <v>0.0</v>
      </c>
      <c r="H857" s="81">
        <v>0.0</v>
      </c>
      <c r="I857" s="81">
        <v>0.0</v>
      </c>
      <c r="J857" s="81">
        <v>12.0</v>
      </c>
      <c r="K857" s="81">
        <v>21.0</v>
      </c>
      <c r="L857" s="81">
        <v>0.0</v>
      </c>
    </row>
    <row r="858" ht="15.75" customHeight="1">
      <c r="A858" s="228" t="s">
        <v>536</v>
      </c>
      <c r="B858" s="230" t="s">
        <v>63</v>
      </c>
      <c r="C858" s="61">
        <v>16.0</v>
      </c>
      <c r="D858" s="231" t="s">
        <v>95</v>
      </c>
      <c r="E858" s="81">
        <v>0.512</v>
      </c>
      <c r="F858" s="81">
        <v>14.72</v>
      </c>
      <c r="G858" s="81">
        <v>0.0</v>
      </c>
      <c r="H858" s="81">
        <v>0.0</v>
      </c>
      <c r="I858" s="81">
        <v>0.0</v>
      </c>
      <c r="J858" s="81">
        <v>11.84</v>
      </c>
      <c r="K858" s="81">
        <v>28.8</v>
      </c>
      <c r="L858" s="81">
        <v>0.0</v>
      </c>
    </row>
    <row r="859" ht="15.75" customHeight="1">
      <c r="A859" s="228" t="s">
        <v>536</v>
      </c>
      <c r="B859" s="230" t="s">
        <v>170</v>
      </c>
      <c r="C859" s="61">
        <v>22.0</v>
      </c>
      <c r="D859" s="231" t="s">
        <v>95</v>
      </c>
      <c r="E859" s="81">
        <v>2.09</v>
      </c>
      <c r="F859" s="81">
        <v>0.0</v>
      </c>
      <c r="G859" s="81">
        <v>0.0</v>
      </c>
      <c r="H859" s="81">
        <v>0.0</v>
      </c>
      <c r="I859" s="81">
        <v>20.9</v>
      </c>
      <c r="J859" s="81">
        <v>0.0</v>
      </c>
      <c r="K859" s="81">
        <v>4.4</v>
      </c>
      <c r="L859" s="81">
        <v>0.0</v>
      </c>
    </row>
    <row r="860" ht="15.75" customHeight="1">
      <c r="A860" s="228" t="s">
        <v>536</v>
      </c>
      <c r="B860" s="230" t="s">
        <v>139</v>
      </c>
      <c r="C860" s="61">
        <v>6.0</v>
      </c>
      <c r="D860" s="231" t="s">
        <v>95</v>
      </c>
      <c r="E860" s="81">
        <v>1.2</v>
      </c>
      <c r="F860" s="81">
        <v>0.0</v>
      </c>
      <c r="G860" s="81">
        <v>0.0</v>
      </c>
      <c r="H860" s="81">
        <v>0.0</v>
      </c>
      <c r="I860" s="81">
        <v>6.0</v>
      </c>
      <c r="J860" s="81">
        <v>0.0</v>
      </c>
      <c r="K860" s="81">
        <v>0.0</v>
      </c>
      <c r="L860" s="81">
        <v>0.0</v>
      </c>
    </row>
    <row r="861" ht="15.75" customHeight="1">
      <c r="A861" s="228" t="s">
        <v>538</v>
      </c>
      <c r="B861" s="230" t="s">
        <v>423</v>
      </c>
      <c r="C861" s="61">
        <v>750.0</v>
      </c>
      <c r="D861" s="231" t="s">
        <v>95</v>
      </c>
      <c r="E861" s="81">
        <v>9.0</v>
      </c>
      <c r="F861" s="81">
        <v>15.0</v>
      </c>
      <c r="G861" s="81">
        <v>7.5</v>
      </c>
      <c r="H861" s="81">
        <v>0.0</v>
      </c>
      <c r="I861" s="81">
        <v>52.50000000000001</v>
      </c>
      <c r="J861" s="81">
        <v>7.5</v>
      </c>
      <c r="K861" s="81">
        <v>15.0</v>
      </c>
      <c r="L861" s="81">
        <v>15.0</v>
      </c>
    </row>
    <row r="862" ht="15.75" customHeight="1">
      <c r="A862" s="228" t="s">
        <v>538</v>
      </c>
      <c r="B862" s="230" t="s">
        <v>361</v>
      </c>
      <c r="C862" s="61">
        <v>45.0</v>
      </c>
      <c r="D862" s="231" t="s">
        <v>95</v>
      </c>
      <c r="E862" s="81">
        <v>0.0</v>
      </c>
      <c r="F862" s="81">
        <v>0.0</v>
      </c>
      <c r="G862" s="81">
        <v>45.0</v>
      </c>
      <c r="H862" s="81">
        <v>0.0</v>
      </c>
      <c r="I862" s="81">
        <v>0.0</v>
      </c>
      <c r="J862" s="81">
        <v>0.0</v>
      </c>
      <c r="K862" s="81">
        <v>0.0</v>
      </c>
      <c r="L862" s="81">
        <v>0.0</v>
      </c>
    </row>
    <row r="863" ht="15.75" customHeight="1">
      <c r="A863" s="228" t="s">
        <v>538</v>
      </c>
      <c r="B863" s="230" t="s">
        <v>94</v>
      </c>
      <c r="C863" s="61">
        <v>130.0</v>
      </c>
      <c r="D863" s="231" t="s">
        <v>95</v>
      </c>
      <c r="E863" s="81">
        <v>0.52</v>
      </c>
      <c r="F863" s="81">
        <v>130.0</v>
      </c>
      <c r="G863" s="81">
        <v>0.0</v>
      </c>
      <c r="H863" s="81">
        <v>0.0</v>
      </c>
      <c r="I863" s="81">
        <v>0.0</v>
      </c>
      <c r="J863" s="81">
        <v>130.0</v>
      </c>
      <c r="K863" s="81">
        <v>130.0</v>
      </c>
      <c r="L863" s="81">
        <v>0.0</v>
      </c>
    </row>
    <row r="864" ht="15.75" customHeight="1">
      <c r="A864" s="228" t="s">
        <v>538</v>
      </c>
      <c r="B864" s="230" t="s">
        <v>74</v>
      </c>
      <c r="C864" s="61">
        <v>30.0</v>
      </c>
      <c r="D864" s="231" t="s">
        <v>95</v>
      </c>
      <c r="E864" s="81">
        <v>1.14</v>
      </c>
      <c r="F864" s="81">
        <v>28.5</v>
      </c>
      <c r="G864" s="81">
        <v>0.0</v>
      </c>
      <c r="H864" s="81">
        <v>0.0</v>
      </c>
      <c r="I864" s="81">
        <v>0.0</v>
      </c>
      <c r="J864" s="81">
        <v>12.0</v>
      </c>
      <c r="K864" s="81">
        <v>21.0</v>
      </c>
      <c r="L864" s="81">
        <v>0.0</v>
      </c>
    </row>
    <row r="865" ht="15.75" customHeight="1">
      <c r="A865" s="228" t="s">
        <v>538</v>
      </c>
      <c r="B865" s="230" t="s">
        <v>63</v>
      </c>
      <c r="C865" s="61">
        <v>41.0</v>
      </c>
      <c r="D865" s="231" t="s">
        <v>95</v>
      </c>
      <c r="E865" s="81">
        <v>1.312</v>
      </c>
      <c r="F865" s="81">
        <v>37.72</v>
      </c>
      <c r="G865" s="81">
        <v>0.0</v>
      </c>
      <c r="H865" s="81">
        <v>0.0</v>
      </c>
      <c r="I865" s="81">
        <v>0.0</v>
      </c>
      <c r="J865" s="81">
        <v>30.34</v>
      </c>
      <c r="K865" s="81">
        <v>73.8</v>
      </c>
      <c r="L865" s="81">
        <v>0.0</v>
      </c>
    </row>
    <row r="866" ht="15.75" customHeight="1">
      <c r="A866" s="228" t="s">
        <v>538</v>
      </c>
      <c r="B866" s="230" t="s">
        <v>170</v>
      </c>
      <c r="C866" s="61">
        <v>22.0</v>
      </c>
      <c r="D866" s="231" t="s">
        <v>95</v>
      </c>
      <c r="E866" s="81">
        <v>2.09</v>
      </c>
      <c r="F866" s="81">
        <v>0.0</v>
      </c>
      <c r="G866" s="81">
        <v>0.0</v>
      </c>
      <c r="H866" s="81">
        <v>0.0</v>
      </c>
      <c r="I866" s="81">
        <v>20.9</v>
      </c>
      <c r="J866" s="81">
        <v>0.0</v>
      </c>
      <c r="K866" s="81">
        <v>4.4</v>
      </c>
      <c r="L866" s="81">
        <v>0.0</v>
      </c>
    </row>
    <row r="867" ht="15.75" customHeight="1">
      <c r="A867" s="228" t="s">
        <v>538</v>
      </c>
      <c r="B867" s="230" t="s">
        <v>139</v>
      </c>
      <c r="C867" s="61">
        <v>6.0</v>
      </c>
      <c r="D867" s="231" t="s">
        <v>95</v>
      </c>
      <c r="E867" s="81">
        <v>1.2</v>
      </c>
      <c r="F867" s="81">
        <v>0.0</v>
      </c>
      <c r="G867" s="81">
        <v>0.0</v>
      </c>
      <c r="H867" s="81">
        <v>0.0</v>
      </c>
      <c r="I867" s="81">
        <v>6.0</v>
      </c>
      <c r="J867" s="81">
        <v>0.0</v>
      </c>
      <c r="K867" s="81">
        <v>0.0</v>
      </c>
      <c r="L867" s="81">
        <v>0.0</v>
      </c>
    </row>
    <row r="868" ht="15.75" customHeight="1">
      <c r="A868" s="228" t="s">
        <v>538</v>
      </c>
      <c r="B868" s="230" t="s">
        <v>331</v>
      </c>
      <c r="C868" s="61">
        <v>100.0</v>
      </c>
      <c r="D868" s="231" t="s">
        <v>95</v>
      </c>
      <c r="E868" s="81">
        <v>16.8</v>
      </c>
      <c r="F868" s="81">
        <v>4.0</v>
      </c>
      <c r="G868" s="81">
        <v>65.0</v>
      </c>
      <c r="H868" s="81">
        <v>0.0</v>
      </c>
      <c r="I868" s="81">
        <v>31.0</v>
      </c>
      <c r="J868" s="81">
        <v>0.0</v>
      </c>
      <c r="K868" s="81">
        <v>0.0</v>
      </c>
      <c r="L868" s="81">
        <v>14.000000000000002</v>
      </c>
    </row>
    <row r="869" ht="15.75" customHeight="1">
      <c r="A869" s="228" t="s">
        <v>539</v>
      </c>
      <c r="B869" s="230" t="s">
        <v>423</v>
      </c>
      <c r="C869" s="61">
        <v>750.0</v>
      </c>
      <c r="D869" s="231" t="s">
        <v>95</v>
      </c>
      <c r="E869" s="81">
        <v>9.0</v>
      </c>
      <c r="F869" s="81">
        <v>15.0</v>
      </c>
      <c r="G869" s="81">
        <v>7.5</v>
      </c>
      <c r="H869" s="81">
        <v>0.0</v>
      </c>
      <c r="I869" s="81">
        <v>52.50000000000001</v>
      </c>
      <c r="J869" s="81">
        <v>7.5</v>
      </c>
      <c r="K869" s="81">
        <v>15.0</v>
      </c>
      <c r="L869" s="81">
        <v>15.0</v>
      </c>
    </row>
    <row r="870" ht="15.75" customHeight="1">
      <c r="A870" s="228" t="s">
        <v>539</v>
      </c>
      <c r="B870" s="230" t="s">
        <v>361</v>
      </c>
      <c r="C870" s="61">
        <v>45.0</v>
      </c>
      <c r="D870" s="231" t="s">
        <v>95</v>
      </c>
      <c r="E870" s="81">
        <v>0.0</v>
      </c>
      <c r="F870" s="81">
        <v>0.0</v>
      </c>
      <c r="G870" s="81">
        <v>45.0</v>
      </c>
      <c r="H870" s="81">
        <v>0.0</v>
      </c>
      <c r="I870" s="81">
        <v>0.0</v>
      </c>
      <c r="J870" s="81">
        <v>0.0</v>
      </c>
      <c r="K870" s="81">
        <v>0.0</v>
      </c>
      <c r="L870" s="81">
        <v>0.0</v>
      </c>
    </row>
    <row r="871" ht="15.75" customHeight="1">
      <c r="A871" s="228" t="s">
        <v>539</v>
      </c>
      <c r="B871" s="230" t="s">
        <v>94</v>
      </c>
      <c r="C871" s="61">
        <v>130.0</v>
      </c>
      <c r="D871" s="231" t="s">
        <v>95</v>
      </c>
      <c r="E871" s="81">
        <v>0.52</v>
      </c>
      <c r="F871" s="81">
        <v>130.0</v>
      </c>
      <c r="G871" s="81">
        <v>0.0</v>
      </c>
      <c r="H871" s="81">
        <v>0.0</v>
      </c>
      <c r="I871" s="81">
        <v>0.0</v>
      </c>
      <c r="J871" s="81">
        <v>130.0</v>
      </c>
      <c r="K871" s="81">
        <v>130.0</v>
      </c>
      <c r="L871" s="81">
        <v>0.0</v>
      </c>
    </row>
    <row r="872" ht="15.75" customHeight="1">
      <c r="A872" s="228" t="s">
        <v>539</v>
      </c>
      <c r="B872" s="230" t="s">
        <v>74</v>
      </c>
      <c r="C872" s="61">
        <v>30.0</v>
      </c>
      <c r="D872" s="231" t="s">
        <v>95</v>
      </c>
      <c r="E872" s="81">
        <v>1.14</v>
      </c>
      <c r="F872" s="81">
        <v>28.5</v>
      </c>
      <c r="G872" s="81">
        <v>0.0</v>
      </c>
      <c r="H872" s="81">
        <v>0.0</v>
      </c>
      <c r="I872" s="81">
        <v>0.0</v>
      </c>
      <c r="J872" s="81">
        <v>12.0</v>
      </c>
      <c r="K872" s="81">
        <v>21.0</v>
      </c>
      <c r="L872" s="81">
        <v>0.0</v>
      </c>
    </row>
    <row r="873" ht="15.75" customHeight="1">
      <c r="A873" s="228" t="s">
        <v>539</v>
      </c>
      <c r="B873" s="230" t="s">
        <v>63</v>
      </c>
      <c r="C873" s="61">
        <v>41.0</v>
      </c>
      <c r="D873" s="231" t="s">
        <v>95</v>
      </c>
      <c r="E873" s="81">
        <v>1.312</v>
      </c>
      <c r="F873" s="81">
        <v>37.72</v>
      </c>
      <c r="G873" s="81">
        <v>0.0</v>
      </c>
      <c r="H873" s="81">
        <v>0.0</v>
      </c>
      <c r="I873" s="81">
        <v>0.0</v>
      </c>
      <c r="J873" s="81">
        <v>30.34</v>
      </c>
      <c r="K873" s="81">
        <v>73.8</v>
      </c>
      <c r="L873" s="81">
        <v>0.0</v>
      </c>
    </row>
    <row r="874" ht="15.75" customHeight="1">
      <c r="A874" s="228" t="s">
        <v>539</v>
      </c>
      <c r="B874" s="230" t="s">
        <v>170</v>
      </c>
      <c r="C874" s="61">
        <v>22.0</v>
      </c>
      <c r="D874" s="231" t="s">
        <v>95</v>
      </c>
      <c r="E874" s="81">
        <v>2.09</v>
      </c>
      <c r="F874" s="81">
        <v>0.0</v>
      </c>
      <c r="G874" s="81">
        <v>0.0</v>
      </c>
      <c r="H874" s="81">
        <v>0.0</v>
      </c>
      <c r="I874" s="81">
        <v>20.9</v>
      </c>
      <c r="J874" s="81">
        <v>0.0</v>
      </c>
      <c r="K874" s="81">
        <v>4.4</v>
      </c>
      <c r="L874" s="81">
        <v>0.0</v>
      </c>
    </row>
    <row r="875" ht="15.75" customHeight="1">
      <c r="A875" s="228" t="s">
        <v>539</v>
      </c>
      <c r="B875" s="230" t="s">
        <v>139</v>
      </c>
      <c r="C875" s="61">
        <v>6.0</v>
      </c>
      <c r="D875" s="231" t="s">
        <v>95</v>
      </c>
      <c r="E875" s="81">
        <v>1.2</v>
      </c>
      <c r="F875" s="81">
        <v>0.0</v>
      </c>
      <c r="G875" s="81">
        <v>0.0</v>
      </c>
      <c r="H875" s="81">
        <v>0.0</v>
      </c>
      <c r="I875" s="81">
        <v>6.0</v>
      </c>
      <c r="J875" s="81">
        <v>0.0</v>
      </c>
      <c r="K875" s="81">
        <v>0.0</v>
      </c>
      <c r="L875" s="81">
        <v>0.0</v>
      </c>
    </row>
    <row r="876" ht="15.75" customHeight="1">
      <c r="A876" s="228" t="s">
        <v>539</v>
      </c>
      <c r="B876" s="230" t="s">
        <v>206</v>
      </c>
      <c r="C876" s="61">
        <v>100.0</v>
      </c>
      <c r="D876" s="231" t="s">
        <v>95</v>
      </c>
      <c r="E876" s="81">
        <v>29.0</v>
      </c>
      <c r="F876" s="81">
        <v>4.5</v>
      </c>
      <c r="G876" s="81">
        <v>56.00000000000001</v>
      </c>
      <c r="H876" s="81">
        <v>0.0</v>
      </c>
      <c r="I876" s="81">
        <v>39.5</v>
      </c>
      <c r="J876" s="81">
        <v>0.0</v>
      </c>
      <c r="K876" s="81">
        <v>0.0</v>
      </c>
      <c r="L876" s="81">
        <v>13.0</v>
      </c>
    </row>
    <row r="877" ht="15.75" customHeight="1">
      <c r="A877" s="228" t="s">
        <v>540</v>
      </c>
      <c r="B877" s="230" t="s">
        <v>58</v>
      </c>
      <c r="C877" s="61">
        <v>500.0</v>
      </c>
      <c r="D877" s="231" t="s">
        <v>101</v>
      </c>
      <c r="E877" s="81">
        <v>2.3</v>
      </c>
      <c r="F877" s="81">
        <v>0.0</v>
      </c>
      <c r="G877" s="81">
        <v>17.5</v>
      </c>
      <c r="H877" s="81">
        <v>45.0</v>
      </c>
      <c r="I877" s="81">
        <v>0.0</v>
      </c>
      <c r="J877" s="81">
        <v>3.9</v>
      </c>
      <c r="K877" s="81">
        <v>20.0</v>
      </c>
      <c r="L877" s="81">
        <v>17.5</v>
      </c>
    </row>
    <row r="878" ht="15.75" customHeight="1">
      <c r="A878" s="228" t="s">
        <v>540</v>
      </c>
      <c r="B878" s="230" t="s">
        <v>134</v>
      </c>
      <c r="C878" s="61">
        <v>190.0</v>
      </c>
      <c r="D878" s="231" t="s">
        <v>101</v>
      </c>
      <c r="E878" s="81">
        <v>3.61</v>
      </c>
      <c r="F878" s="81">
        <v>0.0</v>
      </c>
      <c r="G878" s="81">
        <v>66.5</v>
      </c>
      <c r="H878" s="81">
        <v>11.4</v>
      </c>
      <c r="I878" s="81">
        <v>0.0</v>
      </c>
      <c r="J878" s="81">
        <v>1.026</v>
      </c>
      <c r="K878" s="81">
        <v>5.7</v>
      </c>
      <c r="L878" s="81">
        <v>4.5600000000000005</v>
      </c>
    </row>
    <row r="879" ht="15.75" customHeight="1">
      <c r="A879" s="228" t="s">
        <v>540</v>
      </c>
      <c r="B879" s="230" t="s">
        <v>135</v>
      </c>
      <c r="C879" s="61">
        <v>50.0</v>
      </c>
      <c r="D879" s="231" t="s">
        <v>101</v>
      </c>
      <c r="E879" s="81">
        <v>2.7</v>
      </c>
      <c r="F879" s="81">
        <v>0.0</v>
      </c>
      <c r="G879" s="81">
        <v>0.0</v>
      </c>
      <c r="H879" s="81">
        <v>48.5</v>
      </c>
      <c r="I879" s="81">
        <v>0.0</v>
      </c>
      <c r="J879" s="81">
        <v>4.0</v>
      </c>
      <c r="K879" s="81">
        <v>25.0</v>
      </c>
      <c r="L879" s="81">
        <v>18.0</v>
      </c>
    </row>
    <row r="880" ht="15.75" customHeight="1">
      <c r="A880" s="228" t="s">
        <v>540</v>
      </c>
      <c r="B880" s="230" t="s">
        <v>324</v>
      </c>
      <c r="C880" s="61">
        <v>5.0</v>
      </c>
      <c r="D880" s="231" t="s">
        <v>101</v>
      </c>
      <c r="E880" s="81">
        <v>0.9</v>
      </c>
      <c r="F880" s="81">
        <v>0.0</v>
      </c>
      <c r="G880" s="81">
        <v>0.3333333333333333</v>
      </c>
      <c r="H880" s="81">
        <v>4.533333333333333</v>
      </c>
      <c r="I880" s="81">
        <v>0.0</v>
      </c>
      <c r="J880" s="81">
        <v>0.05</v>
      </c>
      <c r="K880" s="81">
        <v>0.7000000000000001</v>
      </c>
      <c r="L880" s="81">
        <v>4.0</v>
      </c>
    </row>
    <row r="881" ht="15.75" customHeight="1">
      <c r="A881" s="228" t="s">
        <v>540</v>
      </c>
      <c r="B881" s="230" t="s">
        <v>94</v>
      </c>
      <c r="C881" s="61">
        <v>110.0</v>
      </c>
      <c r="D881" s="231" t="s">
        <v>101</v>
      </c>
      <c r="E881" s="81">
        <v>0.44</v>
      </c>
      <c r="F881" s="81">
        <v>110.0</v>
      </c>
      <c r="G881" s="81">
        <v>0.0</v>
      </c>
      <c r="H881" s="81">
        <v>0.0</v>
      </c>
      <c r="I881" s="81">
        <v>0.0</v>
      </c>
      <c r="J881" s="81">
        <v>110.0</v>
      </c>
      <c r="K881" s="81">
        <v>110.0</v>
      </c>
      <c r="L881" s="81">
        <v>0.0</v>
      </c>
    </row>
    <row r="882" ht="15.75" customHeight="1">
      <c r="A882" s="228" t="s">
        <v>540</v>
      </c>
      <c r="B882" s="230" t="s">
        <v>82</v>
      </c>
      <c r="C882" s="61">
        <v>50.0</v>
      </c>
      <c r="D882" s="231" t="s">
        <v>101</v>
      </c>
      <c r="E882" s="81">
        <v>1.4</v>
      </c>
      <c r="F882" s="81">
        <v>47.5</v>
      </c>
      <c r="G882" s="81">
        <v>0.0</v>
      </c>
      <c r="H882" s="81">
        <v>0.0</v>
      </c>
      <c r="I882" s="81">
        <v>0.0</v>
      </c>
      <c r="J882" s="81">
        <v>1.0</v>
      </c>
      <c r="K882" s="81">
        <v>12.5</v>
      </c>
      <c r="L882" s="81">
        <v>0.0</v>
      </c>
    </row>
    <row r="883" ht="15.75" customHeight="1">
      <c r="A883" s="228" t="s">
        <v>540</v>
      </c>
      <c r="B883" s="230" t="s">
        <v>341</v>
      </c>
      <c r="C883" s="61">
        <v>90.0</v>
      </c>
      <c r="D883" s="231" t="s">
        <v>101</v>
      </c>
      <c r="E883" s="81">
        <v>9.0</v>
      </c>
      <c r="F883" s="81">
        <v>18.0</v>
      </c>
      <c r="G883" s="81">
        <v>0.0</v>
      </c>
      <c r="H883" s="81">
        <v>0.0</v>
      </c>
      <c r="I883" s="81">
        <v>0.0</v>
      </c>
      <c r="J883" s="81">
        <v>18.0</v>
      </c>
      <c r="K883" s="81">
        <v>169.2</v>
      </c>
      <c r="L883" s="81">
        <v>0.0</v>
      </c>
    </row>
    <row r="884" ht="15.75" customHeight="1">
      <c r="A884" s="228" t="s">
        <v>540</v>
      </c>
      <c r="B884" s="230" t="s">
        <v>139</v>
      </c>
      <c r="C884" s="61">
        <v>5.0</v>
      </c>
      <c r="D884" s="231" t="s">
        <v>101</v>
      </c>
      <c r="E884" s="81">
        <v>1.0</v>
      </c>
      <c r="F884" s="81">
        <v>0.0</v>
      </c>
      <c r="G884" s="81">
        <v>0.0</v>
      </c>
      <c r="H884" s="81">
        <v>0.0</v>
      </c>
      <c r="I884" s="81">
        <v>5.0</v>
      </c>
      <c r="J884" s="81">
        <v>0.0</v>
      </c>
      <c r="K884" s="81">
        <v>0.0</v>
      </c>
      <c r="L884" s="81">
        <v>0.0</v>
      </c>
    </row>
    <row r="885" ht="15.75" customHeight="1">
      <c r="A885" s="228" t="s">
        <v>541</v>
      </c>
      <c r="B885" s="230" t="s">
        <v>14</v>
      </c>
      <c r="C885" s="61">
        <v>500.0</v>
      </c>
      <c r="D885" s="231" t="s">
        <v>101</v>
      </c>
      <c r="E885" s="81">
        <v>0.0</v>
      </c>
      <c r="F885" s="81">
        <v>0.0</v>
      </c>
      <c r="G885" s="81">
        <v>0.0</v>
      </c>
      <c r="H885" s="81">
        <v>0.0</v>
      </c>
      <c r="I885" s="81">
        <v>0.0</v>
      </c>
      <c r="J885" s="81">
        <v>0.0</v>
      </c>
      <c r="K885" s="81">
        <v>0.0</v>
      </c>
      <c r="L885" s="81">
        <v>0.0</v>
      </c>
    </row>
    <row r="886" ht="15.75" customHeight="1">
      <c r="A886" s="228" t="s">
        <v>541</v>
      </c>
      <c r="B886" s="230" t="s">
        <v>162</v>
      </c>
      <c r="C886" s="61">
        <v>180.0</v>
      </c>
      <c r="D886" s="231" t="s">
        <v>101</v>
      </c>
      <c r="E886" s="81">
        <v>2.34</v>
      </c>
      <c r="F886" s="81">
        <v>3.6</v>
      </c>
      <c r="G886" s="81">
        <v>0.0</v>
      </c>
      <c r="H886" s="81">
        <v>0.0</v>
      </c>
      <c r="I886" s="81">
        <v>10.799999999999999</v>
      </c>
      <c r="J886" s="81">
        <v>5.3999999999999995</v>
      </c>
      <c r="K886" s="81">
        <v>5.76</v>
      </c>
      <c r="L886" s="81">
        <v>0.0</v>
      </c>
    </row>
    <row r="887" ht="15.75" customHeight="1">
      <c r="A887" s="228" t="s">
        <v>541</v>
      </c>
      <c r="B887" s="230" t="s">
        <v>210</v>
      </c>
      <c r="C887" s="61">
        <v>100.0</v>
      </c>
      <c r="D887" s="231" t="s">
        <v>101</v>
      </c>
      <c r="E887" s="81">
        <v>2.0</v>
      </c>
      <c r="F887" s="81">
        <v>0.0</v>
      </c>
      <c r="G887" s="81">
        <v>0.0</v>
      </c>
      <c r="H887" s="81">
        <v>0.0</v>
      </c>
      <c r="I887" s="81">
        <v>0.0</v>
      </c>
      <c r="J887" s="81">
        <v>0.0</v>
      </c>
      <c r="K887" s="81">
        <v>200.0</v>
      </c>
      <c r="L887" s="81">
        <v>0.0</v>
      </c>
    </row>
    <row r="888" ht="15.75" customHeight="1">
      <c r="A888" s="228" t="s">
        <v>541</v>
      </c>
      <c r="B888" s="230" t="s">
        <v>94</v>
      </c>
      <c r="C888" s="61">
        <v>120.0</v>
      </c>
      <c r="D888" s="231" t="s">
        <v>101</v>
      </c>
      <c r="E888" s="81">
        <v>0.48</v>
      </c>
      <c r="F888" s="81">
        <v>120.0</v>
      </c>
      <c r="G888" s="81">
        <v>0.0</v>
      </c>
      <c r="H888" s="81">
        <v>0.0</v>
      </c>
      <c r="I888" s="81">
        <v>0.0</v>
      </c>
      <c r="J888" s="81">
        <v>120.0</v>
      </c>
      <c r="K888" s="81">
        <v>120.0</v>
      </c>
      <c r="L888" s="81">
        <v>0.0</v>
      </c>
    </row>
    <row r="889" ht="15.75" customHeight="1">
      <c r="A889" s="228" t="s">
        <v>541</v>
      </c>
      <c r="B889" s="230" t="s">
        <v>82</v>
      </c>
      <c r="C889" s="61">
        <v>45.0</v>
      </c>
      <c r="D889" s="231" t="s">
        <v>101</v>
      </c>
      <c r="E889" s="81">
        <v>1.26</v>
      </c>
      <c r="F889" s="81">
        <v>42.75</v>
      </c>
      <c r="G889" s="81">
        <v>0.0</v>
      </c>
      <c r="H889" s="81">
        <v>0.0</v>
      </c>
      <c r="I889" s="81">
        <v>0.0</v>
      </c>
      <c r="J889" s="81">
        <v>0.9</v>
      </c>
      <c r="K889" s="81">
        <v>11.25</v>
      </c>
      <c r="L889" s="81">
        <v>0.0</v>
      </c>
    </row>
    <row r="890" ht="15.75" customHeight="1">
      <c r="A890" s="228" t="s">
        <v>541</v>
      </c>
      <c r="B890" s="230" t="s">
        <v>170</v>
      </c>
      <c r="C890" s="61">
        <v>50.0</v>
      </c>
      <c r="D890" s="231" t="s">
        <v>101</v>
      </c>
      <c r="E890" s="81">
        <v>4.75</v>
      </c>
      <c r="F890" s="81">
        <v>0.0</v>
      </c>
      <c r="G890" s="81">
        <v>0.0</v>
      </c>
      <c r="H890" s="81">
        <v>0.0</v>
      </c>
      <c r="I890" s="81">
        <v>47.5</v>
      </c>
      <c r="J890" s="81">
        <v>0.0</v>
      </c>
      <c r="K890" s="81">
        <v>10.0</v>
      </c>
      <c r="L890" s="81">
        <v>0.0</v>
      </c>
    </row>
    <row r="891" ht="15.75" customHeight="1">
      <c r="A891" s="228" t="s">
        <v>541</v>
      </c>
      <c r="B891" s="230" t="s">
        <v>139</v>
      </c>
      <c r="C891" s="61">
        <v>5.0</v>
      </c>
      <c r="D891" s="231" t="s">
        <v>101</v>
      </c>
      <c r="E891" s="81">
        <v>1.0</v>
      </c>
      <c r="F891" s="81">
        <v>0.0</v>
      </c>
      <c r="G891" s="81">
        <v>0.0</v>
      </c>
      <c r="H891" s="81">
        <v>0.0</v>
      </c>
      <c r="I891" s="81">
        <v>5.0</v>
      </c>
      <c r="J891" s="81">
        <v>0.0</v>
      </c>
      <c r="K891" s="81">
        <v>0.0</v>
      </c>
      <c r="L891" s="81">
        <v>0.0</v>
      </c>
    </row>
    <row r="892" ht="15.75" customHeight="1">
      <c r="A892" s="228" t="s">
        <v>542</v>
      </c>
      <c r="B892" s="230" t="s">
        <v>155</v>
      </c>
      <c r="C892" s="61">
        <v>100.0</v>
      </c>
      <c r="D892" s="231" t="s">
        <v>101</v>
      </c>
      <c r="E892" s="81">
        <v>17.5</v>
      </c>
      <c r="F892" s="81">
        <v>30.0</v>
      </c>
      <c r="G892" s="81">
        <v>38.0</v>
      </c>
      <c r="H892" s="81">
        <v>0.0</v>
      </c>
      <c r="I892" s="81">
        <v>32.0</v>
      </c>
      <c r="J892" s="81">
        <v>57.99999999999999</v>
      </c>
      <c r="K892" s="81">
        <v>0.0</v>
      </c>
      <c r="L892" s="81">
        <v>5.0</v>
      </c>
    </row>
    <row r="893" ht="15.75" customHeight="1">
      <c r="A893" s="228" t="s">
        <v>542</v>
      </c>
      <c r="B893" s="230" t="s">
        <v>208</v>
      </c>
      <c r="C893" s="61">
        <v>50.0</v>
      </c>
      <c r="D893" s="231" t="s">
        <v>101</v>
      </c>
      <c r="E893" s="81">
        <v>10.75</v>
      </c>
      <c r="F893" s="81">
        <v>0.0</v>
      </c>
      <c r="G893" s="81">
        <v>11.0</v>
      </c>
      <c r="H893" s="81">
        <v>0.0</v>
      </c>
      <c r="I893" s="81">
        <v>36.0</v>
      </c>
      <c r="J893" s="81">
        <v>0.0</v>
      </c>
      <c r="K893" s="81">
        <v>0.0</v>
      </c>
      <c r="L893" s="81">
        <v>9.0</v>
      </c>
    </row>
    <row r="894" ht="15.75" customHeight="1">
      <c r="A894" s="228" t="s">
        <v>542</v>
      </c>
      <c r="B894" s="230" t="s">
        <v>420</v>
      </c>
      <c r="C894" s="61">
        <v>176.0</v>
      </c>
      <c r="D894" s="231" t="s">
        <v>101</v>
      </c>
      <c r="E894" s="81">
        <v>19.36</v>
      </c>
      <c r="F894" s="81">
        <v>31.68</v>
      </c>
      <c r="G894" s="81">
        <v>22.880000000000003</v>
      </c>
      <c r="H894" s="81">
        <v>5.279999999999999</v>
      </c>
      <c r="I894" s="81">
        <v>0.0</v>
      </c>
      <c r="J894" s="81">
        <v>31.68</v>
      </c>
      <c r="K894" s="81">
        <v>207.67999999999998</v>
      </c>
      <c r="L894" s="81">
        <v>5.279999999999999</v>
      </c>
    </row>
    <row r="895" ht="15.75" customHeight="1">
      <c r="A895" s="228" t="s">
        <v>542</v>
      </c>
      <c r="B895" s="230" t="s">
        <v>134</v>
      </c>
      <c r="C895" s="61">
        <v>34.0</v>
      </c>
      <c r="D895" s="231" t="s">
        <v>101</v>
      </c>
      <c r="E895" s="81">
        <v>0.646</v>
      </c>
      <c r="F895" s="81">
        <v>0.0</v>
      </c>
      <c r="G895" s="81">
        <v>11.899999999999999</v>
      </c>
      <c r="H895" s="81">
        <v>2.04</v>
      </c>
      <c r="I895" s="81">
        <v>0.0</v>
      </c>
      <c r="J895" s="81">
        <v>0.1836</v>
      </c>
      <c r="K895" s="81">
        <v>1.02</v>
      </c>
      <c r="L895" s="81">
        <v>0.8160000000000001</v>
      </c>
    </row>
    <row r="896" ht="15.75" customHeight="1">
      <c r="A896" s="228" t="s">
        <v>542</v>
      </c>
      <c r="B896" s="230" t="s">
        <v>124</v>
      </c>
      <c r="C896" s="61">
        <v>14.0</v>
      </c>
      <c r="D896" s="231" t="s">
        <v>101</v>
      </c>
      <c r="E896" s="81">
        <v>0.91</v>
      </c>
      <c r="F896" s="81">
        <v>0.0</v>
      </c>
      <c r="G896" s="81">
        <v>11.479999999999999</v>
      </c>
      <c r="H896" s="81">
        <v>0.28</v>
      </c>
      <c r="I896" s="81">
        <v>0.0</v>
      </c>
      <c r="J896" s="81">
        <v>0.0</v>
      </c>
      <c r="K896" s="81">
        <v>0.0</v>
      </c>
      <c r="L896" s="81">
        <v>0.14</v>
      </c>
    </row>
    <row r="897" ht="15.75" customHeight="1">
      <c r="A897" s="228" t="s">
        <v>542</v>
      </c>
      <c r="B897" s="230" t="s">
        <v>14</v>
      </c>
      <c r="C897" s="61">
        <v>367.0</v>
      </c>
      <c r="D897" s="231" t="s">
        <v>101</v>
      </c>
      <c r="E897" s="81">
        <v>0.0</v>
      </c>
      <c r="F897" s="81">
        <v>0.0</v>
      </c>
      <c r="G897" s="81">
        <v>0.0</v>
      </c>
      <c r="H897" s="81">
        <v>0.0</v>
      </c>
      <c r="I897" s="81">
        <v>0.0</v>
      </c>
      <c r="J897" s="81">
        <v>0.0</v>
      </c>
      <c r="K897" s="81">
        <v>0.0</v>
      </c>
      <c r="L897" s="81">
        <v>0.0</v>
      </c>
    </row>
    <row r="898" ht="15.75" customHeight="1">
      <c r="A898" s="228" t="s">
        <v>542</v>
      </c>
      <c r="B898" s="230" t="s">
        <v>94</v>
      </c>
      <c r="C898" s="61">
        <v>108.0</v>
      </c>
      <c r="D898" s="231" t="s">
        <v>101</v>
      </c>
      <c r="E898" s="81">
        <v>0.432</v>
      </c>
      <c r="F898" s="81">
        <v>108.0</v>
      </c>
      <c r="G898" s="81">
        <v>0.0</v>
      </c>
      <c r="H898" s="81">
        <v>0.0</v>
      </c>
      <c r="I898" s="81">
        <v>0.0</v>
      </c>
      <c r="J898" s="81">
        <v>108.0</v>
      </c>
      <c r="K898" s="81">
        <v>108.0</v>
      </c>
      <c r="L898" s="81">
        <v>0.0</v>
      </c>
    </row>
    <row r="899" ht="15.75" customHeight="1">
      <c r="A899" s="228" t="s">
        <v>542</v>
      </c>
      <c r="B899" s="230" t="s">
        <v>82</v>
      </c>
      <c r="C899" s="61">
        <v>31.0</v>
      </c>
      <c r="D899" s="231" t="s">
        <v>101</v>
      </c>
      <c r="E899" s="81">
        <v>0.868</v>
      </c>
      <c r="F899" s="81">
        <v>29.45</v>
      </c>
      <c r="G899" s="81">
        <v>0.0</v>
      </c>
      <c r="H899" s="81">
        <v>0.0</v>
      </c>
      <c r="I899" s="81">
        <v>0.0</v>
      </c>
      <c r="J899" s="81">
        <v>0.62</v>
      </c>
      <c r="K899" s="81">
        <v>7.75</v>
      </c>
      <c r="L899" s="81">
        <v>0.0</v>
      </c>
    </row>
    <row r="900" ht="15.75" customHeight="1">
      <c r="A900" s="228" t="s">
        <v>542</v>
      </c>
      <c r="B900" s="230" t="s">
        <v>170</v>
      </c>
      <c r="C900" s="61">
        <v>33.0</v>
      </c>
      <c r="D900" s="231" t="s">
        <v>101</v>
      </c>
      <c r="E900" s="81">
        <v>3.135</v>
      </c>
      <c r="F900" s="81">
        <v>0.0</v>
      </c>
      <c r="G900" s="81">
        <v>0.0</v>
      </c>
      <c r="H900" s="81">
        <v>0.0</v>
      </c>
      <c r="I900" s="81">
        <v>31.349999999999998</v>
      </c>
      <c r="J900" s="81">
        <v>0.0</v>
      </c>
      <c r="K900" s="81">
        <v>6.6000000000000005</v>
      </c>
      <c r="L900" s="81">
        <v>0.0</v>
      </c>
    </row>
    <row r="901" ht="15.75" customHeight="1">
      <c r="A901" s="228" t="s">
        <v>542</v>
      </c>
      <c r="B901" s="230" t="s">
        <v>135</v>
      </c>
      <c r="C901" s="61">
        <v>82.0</v>
      </c>
      <c r="D901" s="231" t="s">
        <v>101</v>
      </c>
      <c r="E901" s="81">
        <v>4.428</v>
      </c>
      <c r="F901" s="81">
        <v>0.0</v>
      </c>
      <c r="G901" s="81">
        <v>0.0</v>
      </c>
      <c r="H901" s="81">
        <v>79.53999999999999</v>
      </c>
      <c r="I901" s="81">
        <v>0.0</v>
      </c>
      <c r="J901" s="81">
        <v>6.5600000000000005</v>
      </c>
      <c r="K901" s="81">
        <v>41.0</v>
      </c>
      <c r="L901" s="81">
        <v>29.52</v>
      </c>
    </row>
    <row r="902" ht="15.75" customHeight="1">
      <c r="A902" s="228" t="s">
        <v>542</v>
      </c>
      <c r="B902" s="230" t="s">
        <v>139</v>
      </c>
      <c r="C902" s="61">
        <v>5.0</v>
      </c>
      <c r="D902" s="231" t="s">
        <v>101</v>
      </c>
      <c r="E902" s="81">
        <v>1.0</v>
      </c>
      <c r="F902" s="81">
        <v>0.0</v>
      </c>
      <c r="G902" s="81">
        <v>0.0</v>
      </c>
      <c r="H902" s="81">
        <v>0.0</v>
      </c>
      <c r="I902" s="81">
        <v>5.0</v>
      </c>
      <c r="J902" s="81">
        <v>0.0</v>
      </c>
      <c r="K902" s="81">
        <v>0.0</v>
      </c>
      <c r="L902" s="81">
        <v>0.0</v>
      </c>
    </row>
    <row r="903" ht="15.75" customHeight="1">
      <c r="A903" s="228" t="s">
        <v>543</v>
      </c>
      <c r="B903" s="230" t="s">
        <v>58</v>
      </c>
      <c r="C903" s="61">
        <v>200.0</v>
      </c>
      <c r="D903" s="231" t="s">
        <v>101</v>
      </c>
      <c r="E903" s="81">
        <v>0.9199999999999999</v>
      </c>
      <c r="F903" s="81">
        <v>0.0</v>
      </c>
      <c r="G903" s="81">
        <v>7.000000000000001</v>
      </c>
      <c r="H903" s="81">
        <v>18.0</v>
      </c>
      <c r="I903" s="81">
        <v>0.0</v>
      </c>
      <c r="J903" s="81">
        <v>1.5599999999999998</v>
      </c>
      <c r="K903" s="81">
        <v>8.0</v>
      </c>
      <c r="L903" s="81">
        <v>7.000000000000001</v>
      </c>
    </row>
    <row r="904" ht="15.75" customHeight="1">
      <c r="A904" s="228" t="s">
        <v>543</v>
      </c>
      <c r="B904" s="230" t="s">
        <v>134</v>
      </c>
      <c r="C904" s="61">
        <v>120.0</v>
      </c>
      <c r="D904" s="231" t="s">
        <v>101</v>
      </c>
      <c r="E904" s="81">
        <v>2.28</v>
      </c>
      <c r="F904" s="81">
        <v>0.0</v>
      </c>
      <c r="G904" s="81">
        <v>42.0</v>
      </c>
      <c r="H904" s="81">
        <v>7.199999999999999</v>
      </c>
      <c r="I904" s="81">
        <v>0.0</v>
      </c>
      <c r="J904" s="81">
        <v>0.648</v>
      </c>
      <c r="K904" s="81">
        <v>3.5999999999999996</v>
      </c>
      <c r="L904" s="81">
        <v>2.88</v>
      </c>
    </row>
    <row r="905" ht="15.75" customHeight="1">
      <c r="A905" s="228" t="s">
        <v>543</v>
      </c>
      <c r="B905" s="230" t="s">
        <v>14</v>
      </c>
      <c r="C905" s="61">
        <v>315.0</v>
      </c>
      <c r="D905" s="231" t="s">
        <v>101</v>
      </c>
      <c r="E905" s="81">
        <v>0.0</v>
      </c>
      <c r="F905" s="81">
        <v>0.0</v>
      </c>
      <c r="G905" s="81">
        <v>0.0</v>
      </c>
      <c r="H905" s="81">
        <v>0.0</v>
      </c>
      <c r="I905" s="81">
        <v>0.0</v>
      </c>
      <c r="J905" s="81">
        <v>0.0</v>
      </c>
      <c r="K905" s="81">
        <v>0.0</v>
      </c>
      <c r="L905" s="81">
        <v>0.0</v>
      </c>
    </row>
    <row r="906" ht="15.75" customHeight="1">
      <c r="A906" s="228" t="s">
        <v>543</v>
      </c>
      <c r="B906" s="230" t="s">
        <v>94</v>
      </c>
      <c r="C906" s="61">
        <v>50.0</v>
      </c>
      <c r="D906" s="231" t="s">
        <v>101</v>
      </c>
      <c r="E906" s="81">
        <v>0.2</v>
      </c>
      <c r="F906" s="81">
        <v>50.0</v>
      </c>
      <c r="G906" s="81">
        <v>0.0</v>
      </c>
      <c r="H906" s="81">
        <v>0.0</v>
      </c>
      <c r="I906" s="81">
        <v>0.0</v>
      </c>
      <c r="J906" s="81">
        <v>50.0</v>
      </c>
      <c r="K906" s="81">
        <v>50.0</v>
      </c>
      <c r="L906" s="81">
        <v>0.0</v>
      </c>
    </row>
    <row r="907" ht="15.75" customHeight="1">
      <c r="A907" s="228" t="s">
        <v>543</v>
      </c>
      <c r="B907" s="230" t="s">
        <v>82</v>
      </c>
      <c r="C907" s="61">
        <v>35.0</v>
      </c>
      <c r="D907" s="231" t="s">
        <v>101</v>
      </c>
      <c r="E907" s="81">
        <v>0.98</v>
      </c>
      <c r="F907" s="81">
        <v>33.25</v>
      </c>
      <c r="G907" s="81">
        <v>0.0</v>
      </c>
      <c r="H907" s="81">
        <v>0.0</v>
      </c>
      <c r="I907" s="81">
        <v>0.0</v>
      </c>
      <c r="J907" s="81">
        <v>0.7000000000000001</v>
      </c>
      <c r="K907" s="81">
        <v>8.75</v>
      </c>
      <c r="L907" s="81">
        <v>0.0</v>
      </c>
    </row>
    <row r="908" ht="15.75" customHeight="1">
      <c r="A908" s="228" t="s">
        <v>543</v>
      </c>
      <c r="B908" s="230" t="s">
        <v>170</v>
      </c>
      <c r="C908" s="61">
        <v>50.0</v>
      </c>
      <c r="D908" s="231" t="s">
        <v>101</v>
      </c>
      <c r="E908" s="81">
        <v>4.75</v>
      </c>
      <c r="F908" s="81">
        <v>0.0</v>
      </c>
      <c r="G908" s="81">
        <v>0.0</v>
      </c>
      <c r="H908" s="81">
        <v>0.0</v>
      </c>
      <c r="I908" s="81">
        <v>47.5</v>
      </c>
      <c r="J908" s="81">
        <v>0.0</v>
      </c>
      <c r="K908" s="81">
        <v>10.0</v>
      </c>
      <c r="L908" s="81">
        <v>0.0</v>
      </c>
    </row>
    <row r="909" ht="15.75" customHeight="1">
      <c r="A909" s="228" t="s">
        <v>543</v>
      </c>
      <c r="B909" s="230" t="s">
        <v>135</v>
      </c>
      <c r="C909" s="61">
        <v>20.0</v>
      </c>
      <c r="D909" s="231" t="s">
        <v>101</v>
      </c>
      <c r="E909" s="81">
        <v>1.08</v>
      </c>
      <c r="F909" s="81">
        <v>0.0</v>
      </c>
      <c r="G909" s="81">
        <v>0.0</v>
      </c>
      <c r="H909" s="81">
        <v>19.4</v>
      </c>
      <c r="I909" s="81">
        <v>0.0</v>
      </c>
      <c r="J909" s="81">
        <v>1.6</v>
      </c>
      <c r="K909" s="81">
        <v>10.0</v>
      </c>
      <c r="L909" s="81">
        <v>7.199999999999999</v>
      </c>
    </row>
    <row r="910" ht="15.75" customHeight="1">
      <c r="A910" s="228" t="s">
        <v>543</v>
      </c>
      <c r="B910" s="230" t="s">
        <v>139</v>
      </c>
      <c r="C910" s="61">
        <v>5.0</v>
      </c>
      <c r="D910" s="231" t="s">
        <v>101</v>
      </c>
      <c r="E910" s="81">
        <v>1.0</v>
      </c>
      <c r="F910" s="81">
        <v>0.0</v>
      </c>
      <c r="G910" s="81">
        <v>0.0</v>
      </c>
      <c r="H910" s="81">
        <v>0.0</v>
      </c>
      <c r="I910" s="81">
        <v>5.0</v>
      </c>
      <c r="J910" s="81">
        <v>0.0</v>
      </c>
      <c r="K910" s="81">
        <v>0.0</v>
      </c>
      <c r="L910" s="81">
        <v>0.0</v>
      </c>
    </row>
    <row r="911" ht="15.75" customHeight="1">
      <c r="A911" s="228" t="s">
        <v>543</v>
      </c>
      <c r="B911" s="230" t="s">
        <v>218</v>
      </c>
      <c r="C911" s="61">
        <v>200.0</v>
      </c>
      <c r="D911" s="231" t="s">
        <v>101</v>
      </c>
      <c r="E911" s="81">
        <v>0.0</v>
      </c>
      <c r="F911" s="81">
        <v>80.0</v>
      </c>
      <c r="G911" s="81">
        <v>70.0</v>
      </c>
      <c r="H911" s="81">
        <v>36.0</v>
      </c>
      <c r="I911" s="81">
        <v>14.000000000000002</v>
      </c>
      <c r="J911" s="81">
        <v>83.16799999999999</v>
      </c>
      <c r="K911" s="81">
        <v>99.8</v>
      </c>
      <c r="L911" s="81">
        <v>11.88</v>
      </c>
    </row>
    <row r="912" ht="15.75" customHeight="1">
      <c r="A912" s="228" t="s">
        <v>543</v>
      </c>
      <c r="B912" s="230" t="s">
        <v>174</v>
      </c>
      <c r="C912" s="61">
        <v>50.0</v>
      </c>
      <c r="D912" s="231" t="s">
        <v>101</v>
      </c>
      <c r="E912" s="81">
        <v>4.75</v>
      </c>
      <c r="F912" s="81">
        <v>20.0</v>
      </c>
      <c r="G912" s="81">
        <v>17.5</v>
      </c>
      <c r="H912" s="81">
        <v>0.0</v>
      </c>
      <c r="I912" s="81">
        <v>12.5</v>
      </c>
      <c r="J912" s="81">
        <v>20.0</v>
      </c>
      <c r="K912" s="81">
        <v>20.0</v>
      </c>
      <c r="L912" s="81">
        <v>4.2</v>
      </c>
    </row>
    <row r="913" ht="15.75" customHeight="1">
      <c r="A913" s="228" t="s">
        <v>543</v>
      </c>
      <c r="B913" s="230" t="s">
        <v>421</v>
      </c>
      <c r="C913" s="61">
        <v>35.0</v>
      </c>
      <c r="D913" s="231" t="s">
        <v>101</v>
      </c>
      <c r="E913" s="81">
        <v>3.5</v>
      </c>
      <c r="F913" s="81">
        <v>0.0</v>
      </c>
      <c r="G913" s="81">
        <v>0.0</v>
      </c>
      <c r="H913" s="81">
        <v>0.0</v>
      </c>
      <c r="I913" s="81">
        <v>0.0</v>
      </c>
      <c r="J913" s="81">
        <v>0.0</v>
      </c>
      <c r="K913" s="81">
        <v>70.0</v>
      </c>
      <c r="L913" s="81">
        <v>0.0</v>
      </c>
    </row>
    <row r="914" ht="15.75" customHeight="1">
      <c r="A914" s="228" t="s">
        <v>544</v>
      </c>
      <c r="B914" s="230" t="s">
        <v>58</v>
      </c>
      <c r="C914" s="61">
        <v>585.0</v>
      </c>
      <c r="D914" s="231" t="s">
        <v>101</v>
      </c>
      <c r="E914" s="81">
        <v>2.691</v>
      </c>
      <c r="F914" s="81">
        <v>0.0</v>
      </c>
      <c r="G914" s="81">
        <v>20.475</v>
      </c>
      <c r="H914" s="81">
        <v>52.65</v>
      </c>
      <c r="I914" s="81">
        <v>0.0</v>
      </c>
      <c r="J914" s="81">
        <v>4.563</v>
      </c>
      <c r="K914" s="81">
        <v>23.400000000000002</v>
      </c>
      <c r="L914" s="81">
        <v>20.475</v>
      </c>
    </row>
    <row r="915" ht="15.75" customHeight="1">
      <c r="A915" s="228" t="s">
        <v>544</v>
      </c>
      <c r="B915" s="230" t="s">
        <v>134</v>
      </c>
      <c r="C915" s="61">
        <v>118.0</v>
      </c>
      <c r="D915" s="231" t="s">
        <v>101</v>
      </c>
      <c r="E915" s="81">
        <v>2.242</v>
      </c>
      <c r="F915" s="81">
        <v>0.0</v>
      </c>
      <c r="G915" s="81">
        <v>41.3</v>
      </c>
      <c r="H915" s="81">
        <v>7.08</v>
      </c>
      <c r="I915" s="81">
        <v>0.0</v>
      </c>
      <c r="J915" s="81">
        <v>0.6372</v>
      </c>
      <c r="K915" s="81">
        <v>3.54</v>
      </c>
      <c r="L915" s="81">
        <v>2.832</v>
      </c>
    </row>
    <row r="916" ht="15.75" customHeight="1">
      <c r="A916" s="228" t="s">
        <v>544</v>
      </c>
      <c r="B916" s="230" t="s">
        <v>94</v>
      </c>
      <c r="C916" s="61">
        <v>134.0</v>
      </c>
      <c r="D916" s="231" t="s">
        <v>101</v>
      </c>
      <c r="E916" s="81">
        <v>0.536</v>
      </c>
      <c r="F916" s="81">
        <v>134.0</v>
      </c>
      <c r="G916" s="81">
        <v>0.0</v>
      </c>
      <c r="H916" s="81">
        <v>0.0</v>
      </c>
      <c r="I916" s="81">
        <v>0.0</v>
      </c>
      <c r="J916" s="81">
        <v>134.0</v>
      </c>
      <c r="K916" s="81">
        <v>134.0</v>
      </c>
      <c r="L916" s="81">
        <v>0.0</v>
      </c>
    </row>
    <row r="917" ht="15.75" customHeight="1">
      <c r="A917" s="228" t="s">
        <v>544</v>
      </c>
      <c r="B917" s="230" t="s">
        <v>63</v>
      </c>
      <c r="C917" s="61">
        <v>20.0</v>
      </c>
      <c r="D917" s="231" t="s">
        <v>101</v>
      </c>
      <c r="E917" s="81">
        <v>0.64</v>
      </c>
      <c r="F917" s="81">
        <v>18.400000000000002</v>
      </c>
      <c r="G917" s="81">
        <v>0.0</v>
      </c>
      <c r="H917" s="81">
        <v>0.0</v>
      </c>
      <c r="I917" s="81">
        <v>0.0</v>
      </c>
      <c r="J917" s="81">
        <v>14.8</v>
      </c>
      <c r="K917" s="81">
        <v>36.0</v>
      </c>
      <c r="L917" s="81">
        <v>0.0</v>
      </c>
    </row>
    <row r="918" ht="15.75" customHeight="1">
      <c r="A918" s="228" t="s">
        <v>544</v>
      </c>
      <c r="B918" s="230" t="s">
        <v>74</v>
      </c>
      <c r="C918" s="61">
        <v>20.0</v>
      </c>
      <c r="D918" s="231" t="s">
        <v>101</v>
      </c>
      <c r="E918" s="81">
        <v>0.76</v>
      </c>
      <c r="F918" s="81">
        <v>19.0</v>
      </c>
      <c r="G918" s="81">
        <v>0.0</v>
      </c>
      <c r="H918" s="81">
        <v>0.0</v>
      </c>
      <c r="I918" s="81">
        <v>0.0</v>
      </c>
      <c r="J918" s="81">
        <v>8.0</v>
      </c>
      <c r="K918" s="81">
        <v>14.0</v>
      </c>
      <c r="L918" s="81">
        <v>0.0</v>
      </c>
    </row>
    <row r="919" ht="15.75" customHeight="1">
      <c r="A919" s="228" t="s">
        <v>544</v>
      </c>
      <c r="B919" s="230" t="s">
        <v>170</v>
      </c>
      <c r="C919" s="61">
        <v>18.0</v>
      </c>
      <c r="D919" s="231" t="s">
        <v>101</v>
      </c>
      <c r="E919" s="81">
        <v>1.71</v>
      </c>
      <c r="F919" s="81">
        <v>0.0</v>
      </c>
      <c r="G919" s="81">
        <v>0.0</v>
      </c>
      <c r="H919" s="81">
        <v>0.0</v>
      </c>
      <c r="I919" s="81">
        <v>17.099999999999998</v>
      </c>
      <c r="J919" s="81">
        <v>0.0</v>
      </c>
      <c r="K919" s="81">
        <v>3.6</v>
      </c>
      <c r="L919" s="81">
        <v>0.0</v>
      </c>
    </row>
    <row r="920" ht="15.75" customHeight="1">
      <c r="A920" s="228" t="s">
        <v>544</v>
      </c>
      <c r="B920" s="230" t="s">
        <v>135</v>
      </c>
      <c r="C920" s="61">
        <v>40.0</v>
      </c>
      <c r="D920" s="231" t="s">
        <v>101</v>
      </c>
      <c r="E920" s="81">
        <v>2.16</v>
      </c>
      <c r="F920" s="81">
        <v>0.0</v>
      </c>
      <c r="G920" s="81">
        <v>0.0</v>
      </c>
      <c r="H920" s="81">
        <v>38.8</v>
      </c>
      <c r="I920" s="81">
        <v>0.0</v>
      </c>
      <c r="J920" s="81">
        <v>3.2</v>
      </c>
      <c r="K920" s="81">
        <v>20.0</v>
      </c>
      <c r="L920" s="81">
        <v>14.399999999999999</v>
      </c>
    </row>
    <row r="921" ht="15.75" customHeight="1">
      <c r="A921" s="228" t="s">
        <v>544</v>
      </c>
      <c r="B921" s="230" t="s">
        <v>139</v>
      </c>
      <c r="C921" s="61">
        <v>5.0</v>
      </c>
      <c r="D921" s="231" t="s">
        <v>101</v>
      </c>
      <c r="E921" s="81">
        <v>1.0</v>
      </c>
      <c r="F921" s="81">
        <v>0.0</v>
      </c>
      <c r="G921" s="81">
        <v>0.0</v>
      </c>
      <c r="H921" s="81">
        <v>0.0</v>
      </c>
      <c r="I921" s="81">
        <v>5.0</v>
      </c>
      <c r="J921" s="81">
        <v>0.0</v>
      </c>
      <c r="K921" s="81">
        <v>0.0</v>
      </c>
      <c r="L921" s="81">
        <v>0.0</v>
      </c>
    </row>
    <row r="922" ht="15.75" customHeight="1">
      <c r="A922" s="228" t="s">
        <v>544</v>
      </c>
      <c r="B922" s="230" t="s">
        <v>420</v>
      </c>
      <c r="C922" s="61">
        <v>60.0</v>
      </c>
      <c r="D922" s="231" t="s">
        <v>101</v>
      </c>
      <c r="E922" s="81">
        <v>6.6</v>
      </c>
      <c r="F922" s="81">
        <v>10.799999999999999</v>
      </c>
      <c r="G922" s="81">
        <v>7.800000000000001</v>
      </c>
      <c r="H922" s="81">
        <v>1.7999999999999998</v>
      </c>
      <c r="I922" s="81">
        <v>0.0</v>
      </c>
      <c r="J922" s="81">
        <v>10.799999999999999</v>
      </c>
      <c r="K922" s="81">
        <v>70.8</v>
      </c>
      <c r="L922" s="81">
        <v>1.7999999999999998</v>
      </c>
    </row>
    <row r="923" ht="15.75" customHeight="1">
      <c r="A923" s="228" t="s">
        <v>545</v>
      </c>
      <c r="B923" s="230" t="s">
        <v>58</v>
      </c>
      <c r="C923" s="61">
        <v>296.0</v>
      </c>
      <c r="D923" s="231" t="s">
        <v>101</v>
      </c>
      <c r="E923" s="81">
        <v>1.3616</v>
      </c>
      <c r="F923" s="81">
        <v>0.0</v>
      </c>
      <c r="G923" s="81">
        <v>10.360000000000001</v>
      </c>
      <c r="H923" s="81">
        <v>26.64</v>
      </c>
      <c r="I923" s="81">
        <v>0.0</v>
      </c>
      <c r="J923" s="81">
        <v>2.3087999999999997</v>
      </c>
      <c r="K923" s="81">
        <v>11.84</v>
      </c>
      <c r="L923" s="81">
        <v>10.360000000000001</v>
      </c>
    </row>
    <row r="924" ht="15.75" customHeight="1">
      <c r="A924" s="228" t="s">
        <v>545</v>
      </c>
      <c r="B924" s="230" t="s">
        <v>134</v>
      </c>
      <c r="C924" s="61">
        <v>40.0</v>
      </c>
      <c r="D924" s="231" t="s">
        <v>101</v>
      </c>
      <c r="E924" s="81">
        <v>0.76</v>
      </c>
      <c r="F924" s="81">
        <v>0.0</v>
      </c>
      <c r="G924" s="81">
        <v>14.0</v>
      </c>
      <c r="H924" s="81">
        <v>2.4</v>
      </c>
      <c r="I924" s="81">
        <v>0.0</v>
      </c>
      <c r="J924" s="81">
        <v>0.21600000000000003</v>
      </c>
      <c r="K924" s="81">
        <v>1.2</v>
      </c>
      <c r="L924" s="81">
        <v>0.96</v>
      </c>
    </row>
    <row r="925" ht="15.75" customHeight="1">
      <c r="A925" s="228" t="s">
        <v>545</v>
      </c>
      <c r="B925" s="230" t="s">
        <v>94</v>
      </c>
      <c r="C925" s="61">
        <v>90.0</v>
      </c>
      <c r="D925" s="231" t="s">
        <v>101</v>
      </c>
      <c r="E925" s="81">
        <v>0.36</v>
      </c>
      <c r="F925" s="81">
        <v>90.0</v>
      </c>
      <c r="G925" s="81">
        <v>0.0</v>
      </c>
      <c r="H925" s="81">
        <v>0.0</v>
      </c>
      <c r="I925" s="81">
        <v>0.0</v>
      </c>
      <c r="J925" s="81">
        <v>90.0</v>
      </c>
      <c r="K925" s="81">
        <v>90.0</v>
      </c>
      <c r="L925" s="81">
        <v>0.0</v>
      </c>
    </row>
    <row r="926" ht="15.75" customHeight="1">
      <c r="A926" s="228" t="s">
        <v>545</v>
      </c>
      <c r="B926" s="230" t="s">
        <v>82</v>
      </c>
      <c r="C926" s="61">
        <v>29.0</v>
      </c>
      <c r="D926" s="231" t="s">
        <v>101</v>
      </c>
      <c r="E926" s="81">
        <v>0.812</v>
      </c>
      <c r="F926" s="81">
        <v>27.549999999999997</v>
      </c>
      <c r="G926" s="81">
        <v>0.0</v>
      </c>
      <c r="H926" s="81">
        <v>0.0</v>
      </c>
      <c r="I926" s="81">
        <v>0.0</v>
      </c>
      <c r="J926" s="81">
        <v>0.58</v>
      </c>
      <c r="K926" s="81">
        <v>7.25</v>
      </c>
      <c r="L926" s="81">
        <v>0.0</v>
      </c>
    </row>
    <row r="927" ht="15.75" customHeight="1">
      <c r="A927" s="228" t="s">
        <v>545</v>
      </c>
      <c r="B927" s="230" t="s">
        <v>170</v>
      </c>
      <c r="C927" s="61">
        <v>61.0</v>
      </c>
      <c r="D927" s="231" t="s">
        <v>101</v>
      </c>
      <c r="E927" s="81">
        <v>5.795</v>
      </c>
      <c r="F927" s="81">
        <v>0.0</v>
      </c>
      <c r="G927" s="81">
        <v>0.0</v>
      </c>
      <c r="H927" s="81">
        <v>0.0</v>
      </c>
      <c r="I927" s="81">
        <v>57.949999999999996</v>
      </c>
      <c r="J927" s="81">
        <v>0.0</v>
      </c>
      <c r="K927" s="81">
        <v>12.200000000000001</v>
      </c>
      <c r="L927" s="81">
        <v>0.0</v>
      </c>
    </row>
    <row r="928" ht="15.75" customHeight="1">
      <c r="A928" s="228" t="s">
        <v>545</v>
      </c>
      <c r="B928" s="230" t="s">
        <v>139</v>
      </c>
      <c r="C928" s="61">
        <v>5.0</v>
      </c>
      <c r="D928" s="231" t="s">
        <v>101</v>
      </c>
      <c r="E928" s="81">
        <v>1.0</v>
      </c>
      <c r="F928" s="81">
        <v>0.0</v>
      </c>
      <c r="G928" s="81">
        <v>0.0</v>
      </c>
      <c r="H928" s="81">
        <v>0.0</v>
      </c>
      <c r="I928" s="81">
        <v>5.0</v>
      </c>
      <c r="J928" s="81">
        <v>0.0</v>
      </c>
      <c r="K928" s="81">
        <v>0.0</v>
      </c>
      <c r="L928" s="81">
        <v>0.0</v>
      </c>
    </row>
    <row r="929" ht="15.75" customHeight="1">
      <c r="A929" s="228" t="s">
        <v>545</v>
      </c>
      <c r="B929" s="230" t="s">
        <v>425</v>
      </c>
      <c r="C929" s="61">
        <v>400.0</v>
      </c>
      <c r="D929" s="231" t="s">
        <v>101</v>
      </c>
      <c r="E929" s="81">
        <v>0.0</v>
      </c>
      <c r="F929" s="81">
        <v>36.0</v>
      </c>
      <c r="G929" s="81">
        <v>0.0</v>
      </c>
      <c r="H929" s="81">
        <v>0.0</v>
      </c>
      <c r="I929" s="81">
        <v>16.0</v>
      </c>
      <c r="J929" s="81">
        <v>44.0</v>
      </c>
      <c r="K929" s="81">
        <v>56.00000000000001</v>
      </c>
      <c r="L929" s="81">
        <v>4.0</v>
      </c>
    </row>
    <row r="930" ht="15.75" customHeight="1">
      <c r="A930" s="228" t="s">
        <v>545</v>
      </c>
      <c r="B930" s="230" t="s">
        <v>210</v>
      </c>
      <c r="C930" s="61">
        <v>65.0</v>
      </c>
      <c r="D930" s="231" t="s">
        <v>101</v>
      </c>
      <c r="E930" s="81">
        <v>1.3</v>
      </c>
      <c r="F930" s="81">
        <v>0.0</v>
      </c>
      <c r="G930" s="81">
        <v>0.0</v>
      </c>
      <c r="H930" s="81">
        <v>0.0</v>
      </c>
      <c r="I930" s="81">
        <v>0.0</v>
      </c>
      <c r="J930" s="81">
        <v>0.0</v>
      </c>
      <c r="K930" s="81">
        <v>130.0</v>
      </c>
      <c r="L930" s="81">
        <v>0.0</v>
      </c>
    </row>
    <row r="931" ht="15.75" customHeight="1">
      <c r="A931" s="228" t="s">
        <v>546</v>
      </c>
      <c r="B931" s="230" t="s">
        <v>58</v>
      </c>
      <c r="C931" s="61">
        <v>600.0</v>
      </c>
      <c r="D931" s="231" t="s">
        <v>101</v>
      </c>
      <c r="E931" s="81">
        <v>2.76</v>
      </c>
      <c r="F931" s="81">
        <v>0.0</v>
      </c>
      <c r="G931" s="81">
        <v>21.000000000000004</v>
      </c>
      <c r="H931" s="81">
        <v>54.0</v>
      </c>
      <c r="I931" s="81">
        <v>0.0</v>
      </c>
      <c r="J931" s="81">
        <v>4.68</v>
      </c>
      <c r="K931" s="81">
        <v>24.0</v>
      </c>
      <c r="L931" s="81">
        <v>21.000000000000004</v>
      </c>
    </row>
    <row r="932" ht="15.75" customHeight="1">
      <c r="A932" s="228" t="s">
        <v>546</v>
      </c>
      <c r="B932" s="230" t="s">
        <v>134</v>
      </c>
      <c r="C932" s="61">
        <v>120.0</v>
      </c>
      <c r="D932" s="231" t="s">
        <v>101</v>
      </c>
      <c r="E932" s="81">
        <v>2.28</v>
      </c>
      <c r="F932" s="81">
        <v>0.0</v>
      </c>
      <c r="G932" s="81">
        <v>42.0</v>
      </c>
      <c r="H932" s="81">
        <v>7.199999999999999</v>
      </c>
      <c r="I932" s="81">
        <v>0.0</v>
      </c>
      <c r="J932" s="81">
        <v>0.648</v>
      </c>
      <c r="K932" s="81">
        <v>3.5999999999999996</v>
      </c>
      <c r="L932" s="81">
        <v>2.88</v>
      </c>
    </row>
    <row r="933" ht="15.75" customHeight="1">
      <c r="A933" s="228" t="s">
        <v>546</v>
      </c>
      <c r="B933" s="230" t="s">
        <v>94</v>
      </c>
      <c r="C933" s="61">
        <v>110.0</v>
      </c>
      <c r="D933" s="231" t="s">
        <v>101</v>
      </c>
      <c r="E933" s="81">
        <v>0.44</v>
      </c>
      <c r="F933" s="81">
        <v>110.0</v>
      </c>
      <c r="G933" s="81">
        <v>0.0</v>
      </c>
      <c r="H933" s="81">
        <v>0.0</v>
      </c>
      <c r="I933" s="81">
        <v>0.0</v>
      </c>
      <c r="J933" s="81">
        <v>110.0</v>
      </c>
      <c r="K933" s="81">
        <v>110.0</v>
      </c>
      <c r="L933" s="81">
        <v>0.0</v>
      </c>
    </row>
    <row r="934" ht="15.75" customHeight="1">
      <c r="A934" s="228" t="s">
        <v>546</v>
      </c>
      <c r="B934" s="230" t="s">
        <v>82</v>
      </c>
      <c r="C934" s="61">
        <v>60.0</v>
      </c>
      <c r="D934" s="231" t="s">
        <v>101</v>
      </c>
      <c r="E934" s="81">
        <v>1.68</v>
      </c>
      <c r="F934" s="81">
        <v>57.0</v>
      </c>
      <c r="G934" s="81">
        <v>0.0</v>
      </c>
      <c r="H934" s="81">
        <v>0.0</v>
      </c>
      <c r="I934" s="81">
        <v>0.0</v>
      </c>
      <c r="J934" s="81">
        <v>1.2</v>
      </c>
      <c r="K934" s="81">
        <v>15.0</v>
      </c>
      <c r="L934" s="81">
        <v>0.0</v>
      </c>
    </row>
    <row r="935" ht="15.75" customHeight="1">
      <c r="A935" s="228" t="s">
        <v>546</v>
      </c>
      <c r="B935" s="230" t="s">
        <v>170</v>
      </c>
      <c r="C935" s="61">
        <v>30.0</v>
      </c>
      <c r="D935" s="231" t="s">
        <v>101</v>
      </c>
      <c r="E935" s="81">
        <v>2.85</v>
      </c>
      <c r="F935" s="81">
        <v>0.0</v>
      </c>
      <c r="G935" s="81">
        <v>0.0</v>
      </c>
      <c r="H935" s="81">
        <v>0.0</v>
      </c>
      <c r="I935" s="81">
        <v>28.5</v>
      </c>
      <c r="J935" s="81">
        <v>0.0</v>
      </c>
      <c r="K935" s="81">
        <v>6.0</v>
      </c>
      <c r="L935" s="81">
        <v>0.0</v>
      </c>
    </row>
    <row r="936" ht="15.75" customHeight="1">
      <c r="A936" s="228" t="s">
        <v>546</v>
      </c>
      <c r="B936" s="230" t="s">
        <v>135</v>
      </c>
      <c r="C936" s="61">
        <v>60.0</v>
      </c>
      <c r="D936" s="231" t="s">
        <v>101</v>
      </c>
      <c r="E936" s="81">
        <v>3.24</v>
      </c>
      <c r="F936" s="81">
        <v>0.0</v>
      </c>
      <c r="G936" s="81">
        <v>0.0</v>
      </c>
      <c r="H936" s="81">
        <v>58.199999999999996</v>
      </c>
      <c r="I936" s="81">
        <v>0.0</v>
      </c>
      <c r="J936" s="81">
        <v>4.8</v>
      </c>
      <c r="K936" s="81">
        <v>30.0</v>
      </c>
      <c r="L936" s="81">
        <v>21.599999999999998</v>
      </c>
    </row>
    <row r="937" ht="15.75" customHeight="1">
      <c r="A937" s="228" t="s">
        <v>546</v>
      </c>
      <c r="B937" s="230" t="s">
        <v>139</v>
      </c>
      <c r="C937" s="61">
        <v>5.0</v>
      </c>
      <c r="D937" s="231" t="s">
        <v>101</v>
      </c>
      <c r="E937" s="81">
        <v>1.0</v>
      </c>
      <c r="F937" s="81">
        <v>0.0</v>
      </c>
      <c r="G937" s="81">
        <v>0.0</v>
      </c>
      <c r="H937" s="81">
        <v>0.0</v>
      </c>
      <c r="I937" s="81">
        <v>5.0</v>
      </c>
      <c r="J937" s="81">
        <v>0.0</v>
      </c>
      <c r="K937" s="81">
        <v>0.0</v>
      </c>
      <c r="L937" s="81">
        <v>0.0</v>
      </c>
    </row>
    <row r="938" ht="15.75" customHeight="1">
      <c r="A938" s="228" t="s">
        <v>546</v>
      </c>
      <c r="B938" s="230" t="s">
        <v>421</v>
      </c>
      <c r="C938" s="61">
        <v>55.0</v>
      </c>
      <c r="D938" s="231" t="s">
        <v>101</v>
      </c>
      <c r="E938" s="81">
        <v>5.5</v>
      </c>
      <c r="F938" s="81">
        <v>0.0</v>
      </c>
      <c r="G938" s="81">
        <v>0.0</v>
      </c>
      <c r="H938" s="81">
        <v>0.0</v>
      </c>
      <c r="I938" s="81">
        <v>0.0</v>
      </c>
      <c r="J938" s="81">
        <v>0.0</v>
      </c>
      <c r="K938" s="81">
        <v>110.0</v>
      </c>
      <c r="L938" s="81">
        <v>0.0</v>
      </c>
    </row>
    <row r="939" ht="15.75" customHeight="1">
      <c r="A939" s="228" t="s">
        <v>547</v>
      </c>
      <c r="B939" s="230" t="s">
        <v>58</v>
      </c>
      <c r="C939" s="61">
        <v>600.0</v>
      </c>
      <c r="D939" s="231" t="s">
        <v>101</v>
      </c>
      <c r="E939" s="81">
        <v>2.76</v>
      </c>
      <c r="F939" s="81">
        <v>0.0</v>
      </c>
      <c r="G939" s="81">
        <v>21.000000000000004</v>
      </c>
      <c r="H939" s="81">
        <v>54.0</v>
      </c>
      <c r="I939" s="81">
        <v>0.0</v>
      </c>
      <c r="J939" s="81">
        <v>4.68</v>
      </c>
      <c r="K939" s="81">
        <v>24.0</v>
      </c>
      <c r="L939" s="81">
        <v>21.000000000000004</v>
      </c>
    </row>
    <row r="940" ht="15.75" customHeight="1">
      <c r="A940" s="228" t="s">
        <v>547</v>
      </c>
      <c r="B940" s="230" t="s">
        <v>134</v>
      </c>
      <c r="C940" s="61">
        <v>120.0</v>
      </c>
      <c r="D940" s="231" t="s">
        <v>101</v>
      </c>
      <c r="E940" s="81">
        <v>2.28</v>
      </c>
      <c r="F940" s="81">
        <v>0.0</v>
      </c>
      <c r="G940" s="81">
        <v>42.0</v>
      </c>
      <c r="H940" s="81">
        <v>7.199999999999999</v>
      </c>
      <c r="I940" s="81">
        <v>0.0</v>
      </c>
      <c r="J940" s="81">
        <v>0.648</v>
      </c>
      <c r="K940" s="81">
        <v>3.5999999999999996</v>
      </c>
      <c r="L940" s="81">
        <v>2.88</v>
      </c>
    </row>
    <row r="941" ht="15.75" customHeight="1">
      <c r="A941" s="228" t="s">
        <v>547</v>
      </c>
      <c r="B941" s="230" t="s">
        <v>94</v>
      </c>
      <c r="C941" s="61">
        <v>120.0</v>
      </c>
      <c r="D941" s="231" t="s">
        <v>101</v>
      </c>
      <c r="E941" s="81">
        <v>0.48</v>
      </c>
      <c r="F941" s="81">
        <v>120.0</v>
      </c>
      <c r="G941" s="81">
        <v>0.0</v>
      </c>
      <c r="H941" s="81">
        <v>0.0</v>
      </c>
      <c r="I941" s="81">
        <v>0.0</v>
      </c>
      <c r="J941" s="81">
        <v>120.0</v>
      </c>
      <c r="K941" s="81">
        <v>120.0</v>
      </c>
      <c r="L941" s="81">
        <v>0.0</v>
      </c>
    </row>
    <row r="942" ht="15.75" customHeight="1">
      <c r="A942" s="228" t="s">
        <v>547</v>
      </c>
      <c r="B942" s="230" t="s">
        <v>82</v>
      </c>
      <c r="C942" s="61">
        <v>50.0</v>
      </c>
      <c r="D942" s="231" t="s">
        <v>101</v>
      </c>
      <c r="E942" s="81">
        <v>1.4</v>
      </c>
      <c r="F942" s="81">
        <v>47.5</v>
      </c>
      <c r="G942" s="81">
        <v>0.0</v>
      </c>
      <c r="H942" s="81">
        <v>0.0</v>
      </c>
      <c r="I942" s="81">
        <v>0.0</v>
      </c>
      <c r="J942" s="81">
        <v>1.0</v>
      </c>
      <c r="K942" s="81">
        <v>12.5</v>
      </c>
      <c r="L942" s="81">
        <v>0.0</v>
      </c>
    </row>
    <row r="943" ht="15.75" customHeight="1">
      <c r="A943" s="228" t="s">
        <v>547</v>
      </c>
      <c r="B943" s="230" t="s">
        <v>170</v>
      </c>
      <c r="C943" s="61">
        <v>50.0</v>
      </c>
      <c r="D943" s="231" t="s">
        <v>101</v>
      </c>
      <c r="E943" s="81">
        <v>4.75</v>
      </c>
      <c r="F943" s="81">
        <v>0.0</v>
      </c>
      <c r="G943" s="81">
        <v>0.0</v>
      </c>
      <c r="H943" s="81">
        <v>0.0</v>
      </c>
      <c r="I943" s="81">
        <v>47.5</v>
      </c>
      <c r="J943" s="81">
        <v>0.0</v>
      </c>
      <c r="K943" s="81">
        <v>10.0</v>
      </c>
      <c r="L943" s="81">
        <v>0.0</v>
      </c>
    </row>
    <row r="944" ht="15.75" customHeight="1">
      <c r="A944" s="228" t="s">
        <v>547</v>
      </c>
      <c r="B944" s="230" t="s">
        <v>135</v>
      </c>
      <c r="C944" s="61">
        <v>50.0</v>
      </c>
      <c r="D944" s="231" t="s">
        <v>101</v>
      </c>
      <c r="E944" s="81">
        <v>2.7</v>
      </c>
      <c r="F944" s="81">
        <v>0.0</v>
      </c>
      <c r="G944" s="81">
        <v>0.0</v>
      </c>
      <c r="H944" s="81">
        <v>48.5</v>
      </c>
      <c r="I944" s="81">
        <v>0.0</v>
      </c>
      <c r="J944" s="81">
        <v>4.0</v>
      </c>
      <c r="K944" s="81">
        <v>25.0</v>
      </c>
      <c r="L944" s="81">
        <v>18.0</v>
      </c>
    </row>
    <row r="945" ht="15.75" customHeight="1">
      <c r="A945" s="228" t="s">
        <v>547</v>
      </c>
      <c r="B945" s="230" t="s">
        <v>139</v>
      </c>
      <c r="C945" s="61">
        <v>5.0</v>
      </c>
      <c r="D945" s="231" t="s">
        <v>101</v>
      </c>
      <c r="E945" s="81">
        <v>1.0</v>
      </c>
      <c r="F945" s="81">
        <v>0.0</v>
      </c>
      <c r="G945" s="81">
        <v>0.0</v>
      </c>
      <c r="H945" s="81">
        <v>0.0</v>
      </c>
      <c r="I945" s="81">
        <v>5.0</v>
      </c>
      <c r="J945" s="81">
        <v>0.0</v>
      </c>
      <c r="K945" s="81">
        <v>0.0</v>
      </c>
      <c r="L945" s="81">
        <v>0.0</v>
      </c>
    </row>
    <row r="946" ht="15.75" customHeight="1">
      <c r="A946" s="228" t="s">
        <v>547</v>
      </c>
      <c r="B946" s="230" t="s">
        <v>399</v>
      </c>
      <c r="C946" s="61">
        <v>70.0</v>
      </c>
      <c r="D946" s="231" t="s">
        <v>101</v>
      </c>
      <c r="E946" s="81">
        <v>0.0</v>
      </c>
      <c r="F946" s="81">
        <v>8.4</v>
      </c>
      <c r="G946" s="81">
        <v>0.0</v>
      </c>
      <c r="H946" s="81">
        <v>0.0</v>
      </c>
      <c r="I946" s="81">
        <v>0.0</v>
      </c>
      <c r="J946" s="81">
        <v>8.4</v>
      </c>
      <c r="K946" s="81">
        <v>91.0</v>
      </c>
      <c r="L946" s="81">
        <v>0.0</v>
      </c>
    </row>
    <row r="947" ht="15.75" customHeight="1">
      <c r="A947" s="228" t="s">
        <v>548</v>
      </c>
      <c r="B947" s="230" t="s">
        <v>14</v>
      </c>
      <c r="C947" s="61">
        <v>425.0</v>
      </c>
      <c r="D947" s="231" t="s">
        <v>101</v>
      </c>
      <c r="E947" s="81">
        <v>0.0</v>
      </c>
      <c r="F947" s="81">
        <v>0.0</v>
      </c>
      <c r="G947" s="81">
        <v>0.0</v>
      </c>
      <c r="H947" s="81">
        <v>0.0</v>
      </c>
      <c r="I947" s="81">
        <v>0.0</v>
      </c>
      <c r="J947" s="81">
        <v>0.0</v>
      </c>
      <c r="K947" s="81">
        <v>0.0</v>
      </c>
      <c r="L947" s="81">
        <v>0.0</v>
      </c>
    </row>
    <row r="948" ht="15.75" customHeight="1">
      <c r="A948" s="228" t="s">
        <v>548</v>
      </c>
      <c r="B948" s="230" t="s">
        <v>94</v>
      </c>
      <c r="C948" s="61">
        <v>120.0</v>
      </c>
      <c r="D948" s="231" t="s">
        <v>101</v>
      </c>
      <c r="E948" s="81">
        <v>0.48</v>
      </c>
      <c r="F948" s="81">
        <v>120.0</v>
      </c>
      <c r="G948" s="81">
        <v>0.0</v>
      </c>
      <c r="H948" s="81">
        <v>0.0</v>
      </c>
      <c r="I948" s="81">
        <v>0.0</v>
      </c>
      <c r="J948" s="81">
        <v>120.0</v>
      </c>
      <c r="K948" s="81">
        <v>120.0</v>
      </c>
      <c r="L948" s="81">
        <v>0.0</v>
      </c>
    </row>
    <row r="949" ht="15.75" customHeight="1">
      <c r="A949" s="228" t="s">
        <v>548</v>
      </c>
      <c r="B949" s="230" t="s">
        <v>74</v>
      </c>
      <c r="C949" s="61">
        <v>70.0</v>
      </c>
      <c r="D949" s="231" t="s">
        <v>101</v>
      </c>
      <c r="E949" s="81">
        <v>2.66</v>
      </c>
      <c r="F949" s="81">
        <v>66.5</v>
      </c>
      <c r="G949" s="81">
        <v>0.0</v>
      </c>
      <c r="H949" s="81">
        <v>0.0</v>
      </c>
      <c r="I949" s="81">
        <v>0.0</v>
      </c>
      <c r="J949" s="81">
        <v>28.0</v>
      </c>
      <c r="K949" s="81">
        <v>49.0</v>
      </c>
      <c r="L949" s="81">
        <v>0.0</v>
      </c>
    </row>
    <row r="950" ht="15.75" customHeight="1">
      <c r="A950" s="228" t="s">
        <v>548</v>
      </c>
      <c r="B950" s="230" t="s">
        <v>82</v>
      </c>
      <c r="C950" s="61">
        <v>45.0</v>
      </c>
      <c r="D950" s="231" t="s">
        <v>101</v>
      </c>
      <c r="E950" s="81">
        <v>1.26</v>
      </c>
      <c r="F950" s="81">
        <v>42.75</v>
      </c>
      <c r="G950" s="81">
        <v>0.0</v>
      </c>
      <c r="H950" s="81">
        <v>0.0</v>
      </c>
      <c r="I950" s="81">
        <v>0.0</v>
      </c>
      <c r="J950" s="81">
        <v>0.9</v>
      </c>
      <c r="K950" s="81">
        <v>11.25</v>
      </c>
      <c r="L950" s="81">
        <v>0.0</v>
      </c>
    </row>
    <row r="951" ht="15.75" customHeight="1">
      <c r="A951" s="228" t="s">
        <v>548</v>
      </c>
      <c r="B951" s="230" t="s">
        <v>170</v>
      </c>
      <c r="C951" s="61">
        <v>45.0</v>
      </c>
      <c r="D951" s="231" t="s">
        <v>101</v>
      </c>
      <c r="E951" s="81">
        <v>4.275</v>
      </c>
      <c r="F951" s="81">
        <v>0.0</v>
      </c>
      <c r="G951" s="81">
        <v>0.0</v>
      </c>
      <c r="H951" s="81">
        <v>0.0</v>
      </c>
      <c r="I951" s="81">
        <v>42.75</v>
      </c>
      <c r="J951" s="81">
        <v>0.0</v>
      </c>
      <c r="K951" s="81">
        <v>9.0</v>
      </c>
      <c r="L951" s="81">
        <v>0.0</v>
      </c>
    </row>
    <row r="952" ht="15.75" customHeight="1">
      <c r="A952" s="228" t="s">
        <v>548</v>
      </c>
      <c r="B952" s="230" t="s">
        <v>139</v>
      </c>
      <c r="C952" s="61">
        <v>5.0</v>
      </c>
      <c r="D952" s="231" t="s">
        <v>101</v>
      </c>
      <c r="E952" s="81">
        <v>1.0</v>
      </c>
      <c r="F952" s="81">
        <v>0.0</v>
      </c>
      <c r="G952" s="81">
        <v>0.0</v>
      </c>
      <c r="H952" s="81">
        <v>0.0</v>
      </c>
      <c r="I952" s="81">
        <v>5.0</v>
      </c>
      <c r="J952" s="81">
        <v>0.0</v>
      </c>
      <c r="K952" s="81">
        <v>0.0</v>
      </c>
      <c r="L952" s="81">
        <v>0.0</v>
      </c>
    </row>
    <row r="953" ht="15.75" customHeight="1">
      <c r="A953" s="228" t="s">
        <v>548</v>
      </c>
      <c r="B953" s="230" t="s">
        <v>162</v>
      </c>
      <c r="C953" s="61">
        <v>210.0</v>
      </c>
      <c r="D953" s="231" t="s">
        <v>101</v>
      </c>
      <c r="E953" s="81">
        <v>2.73</v>
      </c>
      <c r="F953" s="81">
        <v>4.2</v>
      </c>
      <c r="G953" s="81">
        <v>0.0</v>
      </c>
      <c r="H953" s="81">
        <v>0.0</v>
      </c>
      <c r="I953" s="81">
        <v>12.6</v>
      </c>
      <c r="J953" s="81">
        <v>6.3</v>
      </c>
      <c r="K953" s="81">
        <v>6.72</v>
      </c>
      <c r="L953" s="81">
        <v>0.0</v>
      </c>
    </row>
    <row r="954" ht="15.75" customHeight="1">
      <c r="A954" s="228" t="s">
        <v>548</v>
      </c>
      <c r="B954" s="230" t="s">
        <v>210</v>
      </c>
      <c r="C954" s="61">
        <v>70.0</v>
      </c>
      <c r="D954" s="231" t="s">
        <v>101</v>
      </c>
      <c r="E954" s="81">
        <v>1.4</v>
      </c>
      <c r="F954" s="81">
        <v>0.0</v>
      </c>
      <c r="G954" s="81">
        <v>0.0</v>
      </c>
      <c r="H954" s="81">
        <v>0.0</v>
      </c>
      <c r="I954" s="81">
        <v>0.0</v>
      </c>
      <c r="J954" s="81">
        <v>0.0</v>
      </c>
      <c r="K954" s="81">
        <v>140.0</v>
      </c>
      <c r="L954" s="81">
        <v>0.0</v>
      </c>
    </row>
    <row r="955" ht="15.75" customHeight="1">
      <c r="A955" s="228" t="s">
        <v>549</v>
      </c>
      <c r="B955" s="230" t="s">
        <v>14</v>
      </c>
      <c r="C955" s="61">
        <v>171.0</v>
      </c>
      <c r="D955" s="231" t="s">
        <v>101</v>
      </c>
      <c r="E955" s="81">
        <v>0.0</v>
      </c>
      <c r="F955" s="81">
        <v>0.0</v>
      </c>
      <c r="G955" s="81">
        <v>0.0</v>
      </c>
      <c r="H955" s="81">
        <v>0.0</v>
      </c>
      <c r="I955" s="81">
        <v>0.0</v>
      </c>
      <c r="J955" s="81">
        <v>0.0</v>
      </c>
      <c r="K955" s="81">
        <v>0.0</v>
      </c>
      <c r="L955" s="81">
        <v>0.0</v>
      </c>
    </row>
    <row r="956" ht="15.75" customHeight="1">
      <c r="A956" s="228" t="s">
        <v>549</v>
      </c>
      <c r="B956" s="230" t="s">
        <v>94</v>
      </c>
      <c r="C956" s="61">
        <v>120.0</v>
      </c>
      <c r="D956" s="231" t="s">
        <v>101</v>
      </c>
      <c r="E956" s="81">
        <v>0.48</v>
      </c>
      <c r="F956" s="81">
        <v>120.0</v>
      </c>
      <c r="G956" s="81">
        <v>0.0</v>
      </c>
      <c r="H956" s="81">
        <v>0.0</v>
      </c>
      <c r="I956" s="81">
        <v>0.0</v>
      </c>
      <c r="J956" s="81">
        <v>120.0</v>
      </c>
      <c r="K956" s="81">
        <v>120.0</v>
      </c>
      <c r="L956" s="81">
        <v>0.0</v>
      </c>
    </row>
    <row r="957" ht="15.75" customHeight="1">
      <c r="A957" s="228" t="s">
        <v>549</v>
      </c>
      <c r="B957" s="230" t="s">
        <v>170</v>
      </c>
      <c r="C957" s="61">
        <v>61.0</v>
      </c>
      <c r="D957" s="231" t="s">
        <v>101</v>
      </c>
      <c r="E957" s="81">
        <v>5.795</v>
      </c>
      <c r="F957" s="81">
        <v>0.0</v>
      </c>
      <c r="G957" s="81">
        <v>0.0</v>
      </c>
      <c r="H957" s="81">
        <v>0.0</v>
      </c>
      <c r="I957" s="81">
        <v>57.949999999999996</v>
      </c>
      <c r="J957" s="81">
        <v>0.0</v>
      </c>
      <c r="K957" s="81">
        <v>12.200000000000001</v>
      </c>
      <c r="L957" s="81">
        <v>0.0</v>
      </c>
    </row>
    <row r="958" ht="15.75" customHeight="1">
      <c r="A958" s="228" t="s">
        <v>549</v>
      </c>
      <c r="B958" s="230" t="s">
        <v>82</v>
      </c>
      <c r="C958" s="61">
        <v>54.0</v>
      </c>
      <c r="D958" s="231" t="s">
        <v>101</v>
      </c>
      <c r="E958" s="81">
        <v>1.512</v>
      </c>
      <c r="F958" s="81">
        <v>51.3</v>
      </c>
      <c r="G958" s="81">
        <v>0.0</v>
      </c>
      <c r="H958" s="81">
        <v>0.0</v>
      </c>
      <c r="I958" s="81">
        <v>0.0</v>
      </c>
      <c r="J958" s="81">
        <v>1.08</v>
      </c>
      <c r="K958" s="81">
        <v>13.5</v>
      </c>
      <c r="L958" s="81">
        <v>0.0</v>
      </c>
    </row>
    <row r="959" ht="15.75" customHeight="1">
      <c r="A959" s="228" t="s">
        <v>549</v>
      </c>
      <c r="B959" s="230" t="s">
        <v>139</v>
      </c>
      <c r="C959" s="61">
        <v>5.0</v>
      </c>
      <c r="D959" s="231" t="s">
        <v>101</v>
      </c>
      <c r="E959" s="81">
        <v>1.0</v>
      </c>
      <c r="F959" s="81">
        <v>0.0</v>
      </c>
      <c r="G959" s="81">
        <v>0.0</v>
      </c>
      <c r="H959" s="81">
        <v>0.0</v>
      </c>
      <c r="I959" s="81">
        <v>5.0</v>
      </c>
      <c r="J959" s="81">
        <v>0.0</v>
      </c>
      <c r="K959" s="81">
        <v>0.0</v>
      </c>
      <c r="L959" s="81">
        <v>0.0</v>
      </c>
    </row>
    <row r="960" ht="15.75" customHeight="1">
      <c r="A960" s="228" t="s">
        <v>549</v>
      </c>
      <c r="B960" s="230" t="s">
        <v>422</v>
      </c>
      <c r="C960" s="61">
        <v>250.0</v>
      </c>
      <c r="D960" s="231" t="s">
        <v>101</v>
      </c>
      <c r="E960" s="81">
        <v>12.5</v>
      </c>
      <c r="F960" s="81">
        <v>2.5</v>
      </c>
      <c r="G960" s="81">
        <v>0.0</v>
      </c>
      <c r="H960" s="81">
        <v>0.0</v>
      </c>
      <c r="I960" s="81">
        <v>0.0</v>
      </c>
      <c r="J960" s="81">
        <v>2.5</v>
      </c>
      <c r="K960" s="81">
        <v>225.0</v>
      </c>
      <c r="L960" s="81">
        <v>0.0</v>
      </c>
    </row>
    <row r="961" ht="15.75" customHeight="1">
      <c r="A961" s="228" t="s">
        <v>549</v>
      </c>
      <c r="B961" s="230" t="s">
        <v>358</v>
      </c>
      <c r="C961" s="61">
        <v>75.0</v>
      </c>
      <c r="D961" s="231" t="s">
        <v>101</v>
      </c>
      <c r="E961" s="81">
        <v>1.875</v>
      </c>
      <c r="F961" s="81">
        <v>3.75</v>
      </c>
      <c r="G961" s="81">
        <v>0.0</v>
      </c>
      <c r="H961" s="81">
        <v>0.0</v>
      </c>
      <c r="I961" s="81">
        <v>3.0</v>
      </c>
      <c r="J961" s="81">
        <v>7.2</v>
      </c>
      <c r="K961" s="81">
        <v>8.700000000000001</v>
      </c>
      <c r="L961" s="81">
        <v>0.75</v>
      </c>
    </row>
    <row r="962" ht="15.75" customHeight="1">
      <c r="A962" s="228" t="s">
        <v>549</v>
      </c>
      <c r="B962" s="230" t="s">
        <v>318</v>
      </c>
      <c r="C962" s="61">
        <v>75.0</v>
      </c>
      <c r="D962" s="231" t="s">
        <v>101</v>
      </c>
      <c r="E962" s="81">
        <v>0.0</v>
      </c>
      <c r="F962" s="81">
        <v>6.0</v>
      </c>
      <c r="G962" s="81">
        <v>0.0</v>
      </c>
      <c r="H962" s="81">
        <v>0.0</v>
      </c>
      <c r="I962" s="81">
        <v>2.25</v>
      </c>
      <c r="J962" s="81">
        <v>9.0</v>
      </c>
      <c r="K962" s="81">
        <v>10.500000000000002</v>
      </c>
      <c r="L962" s="81">
        <v>0.75</v>
      </c>
    </row>
    <row r="963" ht="15.75" customHeight="1">
      <c r="A963" s="228" t="s">
        <v>549</v>
      </c>
      <c r="B963" s="230" t="s">
        <v>37</v>
      </c>
      <c r="C963" s="61">
        <v>75.0</v>
      </c>
      <c r="D963" s="231" t="s">
        <v>101</v>
      </c>
      <c r="E963" s="81">
        <v>0.0</v>
      </c>
      <c r="F963" s="81">
        <v>7.5</v>
      </c>
      <c r="G963" s="81">
        <v>0.0</v>
      </c>
      <c r="H963" s="81">
        <v>0.0</v>
      </c>
      <c r="I963" s="81">
        <v>3.0</v>
      </c>
      <c r="J963" s="81">
        <v>12.0</v>
      </c>
      <c r="K963" s="81">
        <v>15.0</v>
      </c>
      <c r="L963" s="81">
        <v>0.75</v>
      </c>
    </row>
    <row r="964" ht="15.75" customHeight="1">
      <c r="A964" s="228" t="s">
        <v>549</v>
      </c>
      <c r="B964" s="230" t="s">
        <v>345</v>
      </c>
      <c r="C964" s="61">
        <v>75.0</v>
      </c>
      <c r="D964" s="231" t="s">
        <v>101</v>
      </c>
      <c r="E964" s="81">
        <v>0.0</v>
      </c>
      <c r="F964" s="81">
        <v>7.5</v>
      </c>
      <c r="G964" s="81">
        <v>0.0</v>
      </c>
      <c r="H964" s="81">
        <v>0.0</v>
      </c>
      <c r="I964" s="81">
        <v>3.75</v>
      </c>
      <c r="J964" s="81">
        <v>9.75</v>
      </c>
      <c r="K964" s="81">
        <v>12.0</v>
      </c>
      <c r="L964" s="81">
        <v>0.0</v>
      </c>
    </row>
    <row r="965" ht="15.75" customHeight="1">
      <c r="A965" s="228" t="s">
        <v>550</v>
      </c>
      <c r="B965" s="230" t="s">
        <v>14</v>
      </c>
      <c r="C965" s="61">
        <v>175.0</v>
      </c>
      <c r="D965" s="231" t="s">
        <v>101</v>
      </c>
      <c r="E965" s="81">
        <v>0.0</v>
      </c>
      <c r="F965" s="81">
        <v>0.0</v>
      </c>
      <c r="G965" s="81">
        <v>0.0</v>
      </c>
      <c r="H965" s="81">
        <v>0.0</v>
      </c>
      <c r="I965" s="81">
        <v>0.0</v>
      </c>
      <c r="J965" s="81">
        <v>0.0</v>
      </c>
      <c r="K965" s="81">
        <v>0.0</v>
      </c>
      <c r="L965" s="81">
        <v>0.0</v>
      </c>
    </row>
    <row r="966" ht="15.75" customHeight="1">
      <c r="A966" s="228" t="s">
        <v>550</v>
      </c>
      <c r="B966" s="230" t="s">
        <v>94</v>
      </c>
      <c r="C966" s="61">
        <v>156.0</v>
      </c>
      <c r="D966" s="231" t="s">
        <v>101</v>
      </c>
      <c r="E966" s="81">
        <v>0.624</v>
      </c>
      <c r="F966" s="81">
        <v>156.0</v>
      </c>
      <c r="G966" s="81">
        <v>0.0</v>
      </c>
      <c r="H966" s="81">
        <v>0.0</v>
      </c>
      <c r="I966" s="81">
        <v>0.0</v>
      </c>
      <c r="J966" s="81">
        <v>156.0</v>
      </c>
      <c r="K966" s="81">
        <v>156.0</v>
      </c>
      <c r="L966" s="81">
        <v>0.0</v>
      </c>
    </row>
    <row r="967" ht="15.75" customHeight="1">
      <c r="A967" s="228" t="s">
        <v>550</v>
      </c>
      <c r="B967" s="230" t="s">
        <v>170</v>
      </c>
      <c r="C967" s="61">
        <v>61.0</v>
      </c>
      <c r="D967" s="231" t="s">
        <v>101</v>
      </c>
      <c r="E967" s="81">
        <v>5.795</v>
      </c>
      <c r="F967" s="81">
        <v>0.0</v>
      </c>
      <c r="G967" s="81">
        <v>0.0</v>
      </c>
      <c r="H967" s="81">
        <v>0.0</v>
      </c>
      <c r="I967" s="81">
        <v>57.949999999999996</v>
      </c>
      <c r="J967" s="81">
        <v>0.0</v>
      </c>
      <c r="K967" s="81">
        <v>12.200000000000001</v>
      </c>
      <c r="L967" s="81">
        <v>0.0</v>
      </c>
    </row>
    <row r="968" ht="15.75" customHeight="1">
      <c r="A968" s="228" t="s">
        <v>550</v>
      </c>
      <c r="B968" s="230" t="s">
        <v>82</v>
      </c>
      <c r="C968" s="61">
        <v>54.0</v>
      </c>
      <c r="D968" s="231" t="s">
        <v>101</v>
      </c>
      <c r="E968" s="81">
        <v>1.512</v>
      </c>
      <c r="F968" s="81">
        <v>51.3</v>
      </c>
      <c r="G968" s="81">
        <v>0.0</v>
      </c>
      <c r="H968" s="81">
        <v>0.0</v>
      </c>
      <c r="I968" s="81">
        <v>0.0</v>
      </c>
      <c r="J968" s="81">
        <v>1.08</v>
      </c>
      <c r="K968" s="81">
        <v>13.5</v>
      </c>
      <c r="L968" s="81">
        <v>0.0</v>
      </c>
    </row>
    <row r="969" ht="15.75" customHeight="1">
      <c r="A969" s="228" t="s">
        <v>550</v>
      </c>
      <c r="B969" s="230" t="s">
        <v>139</v>
      </c>
      <c r="C969" s="61">
        <v>5.0</v>
      </c>
      <c r="D969" s="231" t="s">
        <v>101</v>
      </c>
      <c r="E969" s="81">
        <v>1.0</v>
      </c>
      <c r="F969" s="81">
        <v>0.0</v>
      </c>
      <c r="G969" s="81">
        <v>0.0</v>
      </c>
      <c r="H969" s="81">
        <v>0.0</v>
      </c>
      <c r="I969" s="81">
        <v>5.0</v>
      </c>
      <c r="J969" s="81">
        <v>0.0</v>
      </c>
      <c r="K969" s="81">
        <v>0.0</v>
      </c>
      <c r="L969" s="81">
        <v>0.0</v>
      </c>
    </row>
    <row r="970" ht="15.75" customHeight="1">
      <c r="A970" s="228" t="s">
        <v>550</v>
      </c>
      <c r="B970" s="230" t="s">
        <v>422</v>
      </c>
      <c r="C970" s="61">
        <v>260.0</v>
      </c>
      <c r="D970" s="231" t="s">
        <v>101</v>
      </c>
      <c r="E970" s="81">
        <v>13.0</v>
      </c>
      <c r="F970" s="81">
        <v>2.6</v>
      </c>
      <c r="G970" s="81">
        <v>0.0</v>
      </c>
      <c r="H970" s="81">
        <v>0.0</v>
      </c>
      <c r="I970" s="81">
        <v>0.0</v>
      </c>
      <c r="J970" s="81">
        <v>2.6</v>
      </c>
      <c r="K970" s="81">
        <v>234.0</v>
      </c>
      <c r="L970" s="81">
        <v>0.0</v>
      </c>
    </row>
    <row r="971" ht="15.75" customHeight="1">
      <c r="A971" s="228" t="s">
        <v>550</v>
      </c>
      <c r="B971" s="230" t="s">
        <v>358</v>
      </c>
      <c r="C971" s="61">
        <v>250.0</v>
      </c>
      <c r="D971" s="231" t="s">
        <v>101</v>
      </c>
      <c r="E971" s="81">
        <v>6.25</v>
      </c>
      <c r="F971" s="81">
        <v>12.5</v>
      </c>
      <c r="G971" s="81">
        <v>0.0</v>
      </c>
      <c r="H971" s="81">
        <v>0.0</v>
      </c>
      <c r="I971" s="81">
        <v>10.0</v>
      </c>
      <c r="J971" s="81">
        <v>24.0</v>
      </c>
      <c r="K971" s="81">
        <v>29.0</v>
      </c>
      <c r="L971" s="81">
        <v>2.5</v>
      </c>
    </row>
    <row r="972" ht="15.75" customHeight="1">
      <c r="A972" s="228" t="s">
        <v>550</v>
      </c>
      <c r="B972" s="230" t="s">
        <v>162</v>
      </c>
      <c r="C972" s="61">
        <v>50.0</v>
      </c>
      <c r="D972" s="231" t="s">
        <v>101</v>
      </c>
      <c r="E972" s="81">
        <v>0.65</v>
      </c>
      <c r="F972" s="81">
        <v>1.0</v>
      </c>
      <c r="G972" s="81">
        <v>0.0</v>
      </c>
      <c r="H972" s="81">
        <v>0.0</v>
      </c>
      <c r="I972" s="81">
        <v>3.0</v>
      </c>
      <c r="J972" s="81">
        <v>1.5</v>
      </c>
      <c r="K972" s="81">
        <v>1.6</v>
      </c>
      <c r="L972" s="81">
        <v>0.0</v>
      </c>
    </row>
    <row r="973" ht="15.75" customHeight="1">
      <c r="A973" s="228" t="s">
        <v>551</v>
      </c>
      <c r="B973" s="230" t="s">
        <v>58</v>
      </c>
      <c r="C973" s="61">
        <v>400.0</v>
      </c>
      <c r="D973" s="231" t="s">
        <v>109</v>
      </c>
      <c r="E973" s="81">
        <v>1.8399999999999999</v>
      </c>
      <c r="F973" s="81">
        <v>0.0</v>
      </c>
      <c r="G973" s="81">
        <v>14.000000000000002</v>
      </c>
      <c r="H973" s="81">
        <v>36.0</v>
      </c>
      <c r="I973" s="81">
        <v>0.0</v>
      </c>
      <c r="J973" s="81">
        <v>3.1199999999999997</v>
      </c>
      <c r="K973" s="81">
        <v>16.0</v>
      </c>
      <c r="L973" s="81">
        <v>14.000000000000002</v>
      </c>
    </row>
    <row r="974" ht="15.75" customHeight="1">
      <c r="A974" s="228" t="s">
        <v>551</v>
      </c>
      <c r="B974" s="230" t="s">
        <v>99</v>
      </c>
      <c r="C974" s="61">
        <v>100.0</v>
      </c>
      <c r="D974" s="231" t="s">
        <v>109</v>
      </c>
      <c r="E974" s="81">
        <v>1.25</v>
      </c>
      <c r="F974" s="81">
        <v>0.0</v>
      </c>
      <c r="G974" s="81">
        <v>17.0</v>
      </c>
      <c r="H974" s="81">
        <v>7.000000000000001</v>
      </c>
      <c r="I974" s="81">
        <v>0.0</v>
      </c>
      <c r="J974" s="81">
        <v>0.54</v>
      </c>
      <c r="K974" s="81">
        <v>3.0</v>
      </c>
      <c r="L974" s="81">
        <v>2.4</v>
      </c>
    </row>
    <row r="975" ht="15.75" customHeight="1">
      <c r="A975" s="228" t="s">
        <v>551</v>
      </c>
      <c r="B975" s="230" t="s">
        <v>338</v>
      </c>
      <c r="C975" s="61">
        <v>50.0</v>
      </c>
      <c r="D975" s="231" t="s">
        <v>109</v>
      </c>
      <c r="E975" s="81">
        <v>2.1</v>
      </c>
      <c r="F975" s="81">
        <v>0.0</v>
      </c>
      <c r="G975" s="81">
        <v>13.0</v>
      </c>
      <c r="H975" s="81">
        <v>36.0</v>
      </c>
      <c r="I975" s="81">
        <v>0.0</v>
      </c>
      <c r="J975" s="81">
        <v>3.05</v>
      </c>
      <c r="K975" s="81">
        <v>19.5</v>
      </c>
      <c r="L975" s="81">
        <v>14.000000000000002</v>
      </c>
    </row>
    <row r="976" ht="15.75" customHeight="1">
      <c r="A976" s="228" t="s">
        <v>551</v>
      </c>
      <c r="B976" s="230" t="s">
        <v>103</v>
      </c>
      <c r="C976" s="61">
        <v>115.0</v>
      </c>
      <c r="D976" s="231" t="s">
        <v>109</v>
      </c>
      <c r="E976" s="81">
        <v>4.104349999999999</v>
      </c>
      <c r="F976" s="81">
        <v>28.175</v>
      </c>
      <c r="G976" s="81">
        <v>0.0</v>
      </c>
      <c r="H976" s="81">
        <v>0.0</v>
      </c>
      <c r="I976" s="81">
        <v>82.6275</v>
      </c>
      <c r="J976" s="81">
        <v>43.6885</v>
      </c>
      <c r="K976" s="81">
        <v>136.16</v>
      </c>
      <c r="L976" s="81">
        <v>0.0</v>
      </c>
    </row>
    <row r="977" ht="15.75" customHeight="1">
      <c r="A977" s="228" t="s">
        <v>551</v>
      </c>
      <c r="B977" s="230" t="s">
        <v>158</v>
      </c>
      <c r="C977" s="61">
        <v>40.0</v>
      </c>
      <c r="D977" s="231" t="s">
        <v>109</v>
      </c>
      <c r="E977" s="81">
        <v>1.0</v>
      </c>
      <c r="F977" s="81">
        <v>0.0</v>
      </c>
      <c r="G977" s="81">
        <v>12.8</v>
      </c>
      <c r="H977" s="81">
        <v>0.0</v>
      </c>
      <c r="I977" s="81">
        <v>7.199999999999999</v>
      </c>
      <c r="J977" s="81">
        <v>0.0</v>
      </c>
      <c r="K977" s="81">
        <v>0.0</v>
      </c>
      <c r="L977" s="81">
        <v>6.4</v>
      </c>
    </row>
    <row r="978" ht="15.75" customHeight="1">
      <c r="A978" s="228" t="s">
        <v>551</v>
      </c>
      <c r="B978" s="230" t="s">
        <v>166</v>
      </c>
      <c r="C978" s="61">
        <v>2.0</v>
      </c>
      <c r="D978" s="231" t="s">
        <v>109</v>
      </c>
      <c r="E978" s="81">
        <v>0.0</v>
      </c>
      <c r="F978" s="81">
        <v>0.0</v>
      </c>
      <c r="G978" s="81">
        <v>0.0</v>
      </c>
      <c r="H978" s="81">
        <v>0.0</v>
      </c>
      <c r="I978" s="81">
        <v>0.36</v>
      </c>
      <c r="J978" s="81">
        <v>0.1</v>
      </c>
      <c r="K978" s="81">
        <v>0.14</v>
      </c>
      <c r="L978" s="81">
        <v>0.0</v>
      </c>
    </row>
    <row r="979" ht="15.75" customHeight="1">
      <c r="A979" s="228" t="s">
        <v>551</v>
      </c>
      <c r="B979" s="230" t="s">
        <v>159</v>
      </c>
      <c r="C979" s="61">
        <v>2.0</v>
      </c>
      <c r="D979" s="231" t="s">
        <v>109</v>
      </c>
      <c r="E979" s="81">
        <v>2.0</v>
      </c>
      <c r="F979" s="81">
        <v>1.6</v>
      </c>
      <c r="G979" s="81">
        <v>0.0</v>
      </c>
      <c r="H979" s="81">
        <v>0.0</v>
      </c>
      <c r="I979" s="81">
        <v>0.0</v>
      </c>
      <c r="J979" s="81">
        <v>0.9</v>
      </c>
      <c r="K979" s="81">
        <v>1.5</v>
      </c>
      <c r="L979" s="81">
        <v>0.0</v>
      </c>
    </row>
    <row r="980" ht="15.75" customHeight="1">
      <c r="A980" s="228" t="s">
        <v>553</v>
      </c>
      <c r="B980" s="230" t="s">
        <v>58</v>
      </c>
      <c r="C980" s="61">
        <v>420.0</v>
      </c>
      <c r="D980" s="231" t="s">
        <v>109</v>
      </c>
      <c r="E980" s="81">
        <v>1.9319999999999997</v>
      </c>
      <c r="F980" s="81">
        <v>0.0</v>
      </c>
      <c r="G980" s="81">
        <v>14.700000000000001</v>
      </c>
      <c r="H980" s="81">
        <v>37.8</v>
      </c>
      <c r="I980" s="81">
        <v>0.0</v>
      </c>
      <c r="J980" s="81">
        <v>3.276</v>
      </c>
      <c r="K980" s="81">
        <v>16.8</v>
      </c>
      <c r="L980" s="81">
        <v>14.700000000000001</v>
      </c>
    </row>
    <row r="981" ht="15.75" customHeight="1">
      <c r="A981" s="228" t="s">
        <v>553</v>
      </c>
      <c r="B981" s="230" t="s">
        <v>99</v>
      </c>
      <c r="C981" s="61">
        <v>200.0</v>
      </c>
      <c r="D981" s="231" t="s">
        <v>109</v>
      </c>
      <c r="E981" s="81">
        <v>2.5</v>
      </c>
      <c r="F981" s="81">
        <v>0.0</v>
      </c>
      <c r="G981" s="81">
        <v>34.0</v>
      </c>
      <c r="H981" s="81">
        <v>14.000000000000002</v>
      </c>
      <c r="I981" s="81">
        <v>0.0</v>
      </c>
      <c r="J981" s="81">
        <v>1.08</v>
      </c>
      <c r="K981" s="81">
        <v>6.0</v>
      </c>
      <c r="L981" s="81">
        <v>4.8</v>
      </c>
    </row>
    <row r="982" ht="15.75" customHeight="1">
      <c r="A982" s="228" t="s">
        <v>553</v>
      </c>
      <c r="B982" s="230" t="s">
        <v>338</v>
      </c>
      <c r="C982" s="61">
        <v>60.0</v>
      </c>
      <c r="D982" s="231" t="s">
        <v>109</v>
      </c>
      <c r="E982" s="81">
        <v>2.52</v>
      </c>
      <c r="F982" s="81">
        <v>0.0</v>
      </c>
      <c r="G982" s="81">
        <v>15.600000000000001</v>
      </c>
      <c r="H982" s="81">
        <v>43.199999999999996</v>
      </c>
      <c r="I982" s="81">
        <v>0.0</v>
      </c>
      <c r="J982" s="81">
        <v>3.66</v>
      </c>
      <c r="K982" s="81">
        <v>23.400000000000002</v>
      </c>
      <c r="L982" s="81">
        <v>16.8</v>
      </c>
    </row>
    <row r="983" ht="15.75" customHeight="1">
      <c r="A983" s="228" t="s">
        <v>553</v>
      </c>
      <c r="B983" s="230" t="s">
        <v>103</v>
      </c>
      <c r="C983" s="61">
        <v>120.0</v>
      </c>
      <c r="D983" s="231" t="s">
        <v>109</v>
      </c>
      <c r="E983" s="81">
        <v>4.282799999999999</v>
      </c>
      <c r="F983" s="81">
        <v>29.4</v>
      </c>
      <c r="G983" s="81">
        <v>0.0</v>
      </c>
      <c r="H983" s="81">
        <v>0.0</v>
      </c>
      <c r="I983" s="81">
        <v>86.22</v>
      </c>
      <c r="J983" s="81">
        <v>45.587999999999994</v>
      </c>
      <c r="K983" s="81">
        <v>142.07999999999998</v>
      </c>
      <c r="L983" s="81">
        <v>0.0</v>
      </c>
    </row>
    <row r="984" ht="15.75" customHeight="1">
      <c r="A984" s="228" t="s">
        <v>554</v>
      </c>
      <c r="B984" s="230" t="s">
        <v>58</v>
      </c>
      <c r="C984" s="61">
        <v>420.0</v>
      </c>
      <c r="D984" s="231" t="s">
        <v>109</v>
      </c>
      <c r="E984" s="81">
        <v>1.9319999999999997</v>
      </c>
      <c r="F984" s="81">
        <v>0.0</v>
      </c>
      <c r="G984" s="81">
        <v>14.700000000000001</v>
      </c>
      <c r="H984" s="81">
        <v>37.8</v>
      </c>
      <c r="I984" s="81">
        <v>0.0</v>
      </c>
      <c r="J984" s="81">
        <v>3.276</v>
      </c>
      <c r="K984" s="81">
        <v>16.8</v>
      </c>
      <c r="L984" s="81">
        <v>14.700000000000001</v>
      </c>
    </row>
    <row r="985" ht="15.75" customHeight="1">
      <c r="A985" s="228" t="s">
        <v>554</v>
      </c>
      <c r="B985" s="230" t="s">
        <v>99</v>
      </c>
      <c r="C985" s="61">
        <v>200.0</v>
      </c>
      <c r="D985" s="231" t="s">
        <v>109</v>
      </c>
      <c r="E985" s="81">
        <v>2.5</v>
      </c>
      <c r="F985" s="81">
        <v>0.0</v>
      </c>
      <c r="G985" s="81">
        <v>34.0</v>
      </c>
      <c r="H985" s="81">
        <v>14.000000000000002</v>
      </c>
      <c r="I985" s="81">
        <v>0.0</v>
      </c>
      <c r="J985" s="81">
        <v>1.08</v>
      </c>
      <c r="K985" s="81">
        <v>6.0</v>
      </c>
      <c r="L985" s="81">
        <v>4.8</v>
      </c>
    </row>
    <row r="986" ht="15.75" customHeight="1">
      <c r="A986" s="228" t="s">
        <v>554</v>
      </c>
      <c r="B986" s="230" t="s">
        <v>338</v>
      </c>
      <c r="C986" s="61">
        <v>60.0</v>
      </c>
      <c r="D986" s="231" t="s">
        <v>109</v>
      </c>
      <c r="E986" s="81">
        <v>2.52</v>
      </c>
      <c r="F986" s="81">
        <v>0.0</v>
      </c>
      <c r="G986" s="81">
        <v>15.600000000000001</v>
      </c>
      <c r="H986" s="81">
        <v>43.199999999999996</v>
      </c>
      <c r="I986" s="81">
        <v>0.0</v>
      </c>
      <c r="J986" s="81">
        <v>3.66</v>
      </c>
      <c r="K986" s="81">
        <v>23.400000000000002</v>
      </c>
      <c r="L986" s="81">
        <v>16.8</v>
      </c>
    </row>
    <row r="987" ht="15.75" customHeight="1">
      <c r="A987" s="228" t="s">
        <v>554</v>
      </c>
      <c r="B987" s="230" t="s">
        <v>103</v>
      </c>
      <c r="C987" s="61">
        <v>120.0</v>
      </c>
      <c r="D987" s="231" t="s">
        <v>109</v>
      </c>
      <c r="E987" s="81">
        <v>4.282799999999999</v>
      </c>
      <c r="F987" s="81">
        <v>29.4</v>
      </c>
      <c r="G987" s="81">
        <v>0.0</v>
      </c>
      <c r="H987" s="81">
        <v>0.0</v>
      </c>
      <c r="I987" s="81">
        <v>86.22</v>
      </c>
      <c r="J987" s="81">
        <v>45.587999999999994</v>
      </c>
      <c r="K987" s="81">
        <v>142.07999999999998</v>
      </c>
      <c r="L987" s="81">
        <v>0.0</v>
      </c>
    </row>
    <row r="988" ht="15.75" customHeight="1">
      <c r="A988" s="228" t="s">
        <v>554</v>
      </c>
      <c r="B988" s="230" t="s">
        <v>159</v>
      </c>
      <c r="C988" s="61">
        <v>5.0</v>
      </c>
      <c r="D988" s="231" t="s">
        <v>109</v>
      </c>
      <c r="E988" s="81">
        <v>5.0</v>
      </c>
      <c r="F988" s="81">
        <v>4.0</v>
      </c>
      <c r="G988" s="81">
        <v>0.0</v>
      </c>
      <c r="H988" s="81">
        <v>0.0</v>
      </c>
      <c r="I988" s="81">
        <v>0.0</v>
      </c>
      <c r="J988" s="81">
        <v>2.25</v>
      </c>
      <c r="K988" s="81">
        <v>3.75</v>
      </c>
      <c r="L988" s="81">
        <v>0.0</v>
      </c>
    </row>
    <row r="989" ht="15.75" customHeight="1">
      <c r="A989" s="228" t="s">
        <v>555</v>
      </c>
      <c r="B989" s="230" t="s">
        <v>58</v>
      </c>
      <c r="C989" s="61">
        <v>420.0</v>
      </c>
      <c r="D989" s="231" t="s">
        <v>109</v>
      </c>
      <c r="E989" s="81">
        <v>1.9319999999999997</v>
      </c>
      <c r="F989" s="81">
        <v>0.0</v>
      </c>
      <c r="G989" s="81">
        <v>14.700000000000001</v>
      </c>
      <c r="H989" s="81">
        <v>37.8</v>
      </c>
      <c r="I989" s="81">
        <v>0.0</v>
      </c>
      <c r="J989" s="81">
        <v>3.276</v>
      </c>
      <c r="K989" s="81">
        <v>16.8</v>
      </c>
      <c r="L989" s="81">
        <v>14.700000000000001</v>
      </c>
    </row>
    <row r="990" ht="15.75" customHeight="1">
      <c r="A990" s="228" t="s">
        <v>555</v>
      </c>
      <c r="B990" s="230" t="s">
        <v>99</v>
      </c>
      <c r="C990" s="61">
        <v>200.0</v>
      </c>
      <c r="D990" s="231" t="s">
        <v>109</v>
      </c>
      <c r="E990" s="81">
        <v>2.5</v>
      </c>
      <c r="F990" s="81">
        <v>0.0</v>
      </c>
      <c r="G990" s="81">
        <v>34.0</v>
      </c>
      <c r="H990" s="81">
        <v>14.000000000000002</v>
      </c>
      <c r="I990" s="81">
        <v>0.0</v>
      </c>
      <c r="J990" s="81">
        <v>1.08</v>
      </c>
      <c r="K990" s="81">
        <v>6.0</v>
      </c>
      <c r="L990" s="81">
        <v>4.8</v>
      </c>
    </row>
    <row r="991" ht="15.75" customHeight="1">
      <c r="A991" s="228" t="s">
        <v>555</v>
      </c>
      <c r="B991" s="230" t="s">
        <v>338</v>
      </c>
      <c r="C991" s="61">
        <v>60.0</v>
      </c>
      <c r="D991" s="231" t="s">
        <v>109</v>
      </c>
      <c r="E991" s="81">
        <v>2.52</v>
      </c>
      <c r="F991" s="81">
        <v>0.0</v>
      </c>
      <c r="G991" s="81">
        <v>15.600000000000001</v>
      </c>
      <c r="H991" s="81">
        <v>43.199999999999996</v>
      </c>
      <c r="I991" s="81">
        <v>0.0</v>
      </c>
      <c r="J991" s="81">
        <v>3.66</v>
      </c>
      <c r="K991" s="81">
        <v>23.400000000000002</v>
      </c>
      <c r="L991" s="81">
        <v>16.8</v>
      </c>
    </row>
    <row r="992" ht="15.75" customHeight="1">
      <c r="A992" s="228" t="s">
        <v>555</v>
      </c>
      <c r="B992" s="230" t="s">
        <v>103</v>
      </c>
      <c r="C992" s="61">
        <v>120.0</v>
      </c>
      <c r="D992" s="231" t="s">
        <v>109</v>
      </c>
      <c r="E992" s="81">
        <v>4.282799999999999</v>
      </c>
      <c r="F992" s="81">
        <v>29.4</v>
      </c>
      <c r="G992" s="81">
        <v>0.0</v>
      </c>
      <c r="H992" s="81">
        <v>0.0</v>
      </c>
      <c r="I992" s="81">
        <v>86.22</v>
      </c>
      <c r="J992" s="81">
        <v>45.587999999999994</v>
      </c>
      <c r="K992" s="81">
        <v>142.07999999999998</v>
      </c>
      <c r="L992" s="81">
        <v>0.0</v>
      </c>
    </row>
    <row r="993" ht="15.75" customHeight="1">
      <c r="A993" s="228" t="s">
        <v>555</v>
      </c>
      <c r="B993" s="230" t="s">
        <v>212</v>
      </c>
      <c r="C993" s="61">
        <v>3.0</v>
      </c>
      <c r="D993" s="231" t="s">
        <v>109</v>
      </c>
      <c r="E993" s="81">
        <v>0.27</v>
      </c>
      <c r="F993" s="81">
        <v>0.0</v>
      </c>
      <c r="G993" s="81">
        <v>0.44999999999999996</v>
      </c>
      <c r="H993" s="81">
        <v>0.0</v>
      </c>
      <c r="I993" s="81">
        <v>2.4000000000000004</v>
      </c>
      <c r="J993" s="81">
        <v>0.0</v>
      </c>
      <c r="K993" s="81">
        <v>0.0</v>
      </c>
      <c r="L993" s="81">
        <v>0.03</v>
      </c>
    </row>
    <row r="994" ht="15.75" customHeight="1">
      <c r="A994" s="228" t="s">
        <v>557</v>
      </c>
      <c r="B994" s="230" t="s">
        <v>58</v>
      </c>
      <c r="C994" s="61">
        <v>455.0</v>
      </c>
      <c r="D994" s="231" t="s">
        <v>109</v>
      </c>
      <c r="E994" s="81">
        <v>2.093</v>
      </c>
      <c r="F994" s="81">
        <v>0.0</v>
      </c>
      <c r="G994" s="81">
        <v>15.925</v>
      </c>
      <c r="H994" s="81">
        <v>40.949999999999996</v>
      </c>
      <c r="I994" s="81">
        <v>0.0</v>
      </c>
      <c r="J994" s="81">
        <v>3.549</v>
      </c>
      <c r="K994" s="81">
        <v>18.2</v>
      </c>
      <c r="L994" s="81">
        <v>15.925</v>
      </c>
    </row>
    <row r="995" ht="15.75" customHeight="1">
      <c r="A995" s="228" t="s">
        <v>557</v>
      </c>
      <c r="B995" s="230" t="s">
        <v>99</v>
      </c>
      <c r="C995" s="61">
        <v>25.0</v>
      </c>
      <c r="D995" s="231" t="s">
        <v>109</v>
      </c>
      <c r="E995" s="81">
        <v>0.3125</v>
      </c>
      <c r="F995" s="81">
        <v>0.0</v>
      </c>
      <c r="G995" s="81">
        <v>4.25</v>
      </c>
      <c r="H995" s="81">
        <v>1.7500000000000002</v>
      </c>
      <c r="I995" s="81">
        <v>0.0</v>
      </c>
      <c r="J995" s="81">
        <v>0.135</v>
      </c>
      <c r="K995" s="81">
        <v>0.75</v>
      </c>
      <c r="L995" s="81">
        <v>0.6</v>
      </c>
    </row>
    <row r="996" ht="15.75" customHeight="1">
      <c r="A996" s="228" t="s">
        <v>557</v>
      </c>
      <c r="B996" s="230" t="s">
        <v>338</v>
      </c>
      <c r="C996" s="61">
        <v>45.0</v>
      </c>
      <c r="D996" s="231" t="s">
        <v>109</v>
      </c>
      <c r="E996" s="81">
        <v>1.89</v>
      </c>
      <c r="F996" s="81">
        <v>0.0</v>
      </c>
      <c r="G996" s="81">
        <v>11.700000000000001</v>
      </c>
      <c r="H996" s="81">
        <v>32.4</v>
      </c>
      <c r="I996" s="81">
        <v>0.0</v>
      </c>
      <c r="J996" s="81">
        <v>2.745</v>
      </c>
      <c r="K996" s="81">
        <v>17.55</v>
      </c>
      <c r="L996" s="81">
        <v>12.600000000000001</v>
      </c>
    </row>
    <row r="997" ht="15.75" customHeight="1">
      <c r="A997" s="228" t="s">
        <v>557</v>
      </c>
      <c r="B997" s="230" t="s">
        <v>103</v>
      </c>
      <c r="C997" s="61">
        <v>105.0</v>
      </c>
      <c r="D997" s="231" t="s">
        <v>109</v>
      </c>
      <c r="E997" s="81">
        <v>3.7474499999999997</v>
      </c>
      <c r="F997" s="81">
        <v>25.724999999999998</v>
      </c>
      <c r="G997" s="81">
        <v>0.0</v>
      </c>
      <c r="H997" s="81">
        <v>0.0</v>
      </c>
      <c r="I997" s="81">
        <v>75.44250000000001</v>
      </c>
      <c r="J997" s="81">
        <v>39.8895</v>
      </c>
      <c r="K997" s="81">
        <v>124.32</v>
      </c>
      <c r="L997" s="81">
        <v>0.0</v>
      </c>
    </row>
    <row r="998" ht="15.75" customHeight="1">
      <c r="A998" s="228" t="s">
        <v>557</v>
      </c>
      <c r="B998" s="230" t="s">
        <v>331</v>
      </c>
      <c r="C998" s="61">
        <v>70.0</v>
      </c>
      <c r="D998" s="231" t="s">
        <v>109</v>
      </c>
      <c r="E998" s="81">
        <v>11.76</v>
      </c>
      <c r="F998" s="81">
        <v>2.8000000000000003</v>
      </c>
      <c r="G998" s="81">
        <v>45.5</v>
      </c>
      <c r="H998" s="81">
        <v>0.0</v>
      </c>
      <c r="I998" s="81">
        <v>21.7</v>
      </c>
      <c r="J998" s="81">
        <v>0.0</v>
      </c>
      <c r="K998" s="81">
        <v>0.0</v>
      </c>
      <c r="L998" s="81">
        <v>9.8</v>
      </c>
    </row>
    <row r="999" ht="15.75" customHeight="1">
      <c r="A999" s="228" t="s">
        <v>558</v>
      </c>
      <c r="B999" s="230" t="s">
        <v>58</v>
      </c>
      <c r="C999" s="61">
        <v>460.0</v>
      </c>
      <c r="D999" s="231" t="s">
        <v>109</v>
      </c>
      <c r="E999" s="81">
        <v>2.116</v>
      </c>
      <c r="F999" s="81">
        <v>0.0</v>
      </c>
      <c r="G999" s="81">
        <v>16.1</v>
      </c>
      <c r="H999" s="81">
        <v>41.4</v>
      </c>
      <c r="I999" s="81">
        <v>0.0</v>
      </c>
      <c r="J999" s="81">
        <v>3.5879999999999996</v>
      </c>
      <c r="K999" s="81">
        <v>18.400000000000002</v>
      </c>
      <c r="L999" s="81">
        <v>16.1</v>
      </c>
    </row>
    <row r="1000" ht="15.75" customHeight="1">
      <c r="A1000" s="228" t="s">
        <v>558</v>
      </c>
      <c r="B1000" s="230" t="s">
        <v>99</v>
      </c>
      <c r="C1000" s="61">
        <v>25.0</v>
      </c>
      <c r="D1000" s="231" t="s">
        <v>109</v>
      </c>
      <c r="E1000" s="81">
        <v>0.3125</v>
      </c>
      <c r="F1000" s="81">
        <v>0.0</v>
      </c>
      <c r="G1000" s="81">
        <v>4.25</v>
      </c>
      <c r="H1000" s="81">
        <v>1.7500000000000002</v>
      </c>
      <c r="I1000" s="81">
        <v>0.0</v>
      </c>
      <c r="J1000" s="81">
        <v>0.135</v>
      </c>
      <c r="K1000" s="81">
        <v>0.75</v>
      </c>
      <c r="L1000" s="81">
        <v>0.6</v>
      </c>
    </row>
    <row r="1001" ht="15.75" customHeight="1">
      <c r="A1001" s="228" t="s">
        <v>558</v>
      </c>
      <c r="B1001" s="230" t="s">
        <v>338</v>
      </c>
      <c r="C1001" s="61">
        <v>45.0</v>
      </c>
      <c r="D1001" s="231" t="s">
        <v>109</v>
      </c>
      <c r="E1001" s="81">
        <v>1.89</v>
      </c>
      <c r="F1001" s="81">
        <v>0.0</v>
      </c>
      <c r="G1001" s="81">
        <v>11.700000000000001</v>
      </c>
      <c r="H1001" s="81">
        <v>32.4</v>
      </c>
      <c r="I1001" s="81">
        <v>0.0</v>
      </c>
      <c r="J1001" s="81">
        <v>2.745</v>
      </c>
      <c r="K1001" s="81">
        <v>17.55</v>
      </c>
      <c r="L1001" s="81">
        <v>12.600000000000001</v>
      </c>
    </row>
    <row r="1002" ht="15.75" customHeight="1">
      <c r="A1002" s="228" t="s">
        <v>558</v>
      </c>
      <c r="B1002" s="230" t="s">
        <v>103</v>
      </c>
      <c r="C1002" s="61">
        <v>105.0</v>
      </c>
      <c r="D1002" s="231" t="s">
        <v>109</v>
      </c>
      <c r="E1002" s="81">
        <v>3.7474499999999997</v>
      </c>
      <c r="F1002" s="81">
        <v>25.724999999999998</v>
      </c>
      <c r="G1002" s="81">
        <v>0.0</v>
      </c>
      <c r="H1002" s="81">
        <v>0.0</v>
      </c>
      <c r="I1002" s="81">
        <v>75.44250000000001</v>
      </c>
      <c r="J1002" s="81">
        <v>39.8895</v>
      </c>
      <c r="K1002" s="81">
        <v>124.32</v>
      </c>
      <c r="L1002" s="81">
        <v>0.0</v>
      </c>
    </row>
    <row r="1003" ht="15.75" customHeight="1">
      <c r="A1003" s="228" t="s">
        <v>558</v>
      </c>
      <c r="B1003" s="230" t="s">
        <v>331</v>
      </c>
      <c r="C1003" s="61">
        <v>45.0</v>
      </c>
      <c r="D1003" s="231" t="s">
        <v>109</v>
      </c>
      <c r="E1003" s="81">
        <v>7.56</v>
      </c>
      <c r="F1003" s="81">
        <v>1.8</v>
      </c>
      <c r="G1003" s="81">
        <v>29.25</v>
      </c>
      <c r="H1003" s="81">
        <v>0.0</v>
      </c>
      <c r="I1003" s="81">
        <v>13.95</v>
      </c>
      <c r="J1003" s="81">
        <v>0.0</v>
      </c>
      <c r="K1003" s="81">
        <v>0.0</v>
      </c>
      <c r="L1003" s="81">
        <v>6.300000000000001</v>
      </c>
    </row>
    <row r="1004" ht="15.75" customHeight="1">
      <c r="A1004" s="228" t="s">
        <v>558</v>
      </c>
      <c r="B1004" s="230" t="s">
        <v>208</v>
      </c>
      <c r="C1004" s="61">
        <v>20.0</v>
      </c>
      <c r="D1004" s="231" t="s">
        <v>109</v>
      </c>
      <c r="E1004" s="81">
        <v>4.3</v>
      </c>
      <c r="F1004" s="81">
        <v>0.0</v>
      </c>
      <c r="G1004" s="81">
        <v>4.4</v>
      </c>
      <c r="H1004" s="81">
        <v>0.0</v>
      </c>
      <c r="I1004" s="81">
        <v>14.399999999999999</v>
      </c>
      <c r="J1004" s="81">
        <v>0.0</v>
      </c>
      <c r="K1004" s="81">
        <v>0.0</v>
      </c>
      <c r="L1004" s="81">
        <v>3.5999999999999996</v>
      </c>
    </row>
    <row r="1005" ht="15.75" customHeight="1">
      <c r="A1005" s="228" t="s">
        <v>559</v>
      </c>
      <c r="B1005" s="230" t="s">
        <v>58</v>
      </c>
      <c r="C1005" s="61">
        <v>490.0</v>
      </c>
      <c r="D1005" s="231" t="s">
        <v>109</v>
      </c>
      <c r="E1005" s="81">
        <v>2.254</v>
      </c>
      <c r="F1005" s="81">
        <v>0.0</v>
      </c>
      <c r="G1005" s="81">
        <v>17.150000000000002</v>
      </c>
      <c r="H1005" s="81">
        <v>44.1</v>
      </c>
      <c r="I1005" s="81">
        <v>0.0</v>
      </c>
      <c r="J1005" s="81">
        <v>3.8219999999999996</v>
      </c>
      <c r="K1005" s="81">
        <v>19.6</v>
      </c>
      <c r="L1005" s="81">
        <v>17.150000000000002</v>
      </c>
    </row>
    <row r="1006" ht="15.75" customHeight="1">
      <c r="A1006" s="228" t="s">
        <v>559</v>
      </c>
      <c r="B1006" s="230" t="s">
        <v>99</v>
      </c>
      <c r="C1006" s="61">
        <v>60.0</v>
      </c>
      <c r="D1006" s="231" t="s">
        <v>109</v>
      </c>
      <c r="E1006" s="81">
        <v>0.75</v>
      </c>
      <c r="F1006" s="81">
        <v>0.0</v>
      </c>
      <c r="G1006" s="81">
        <v>10.200000000000001</v>
      </c>
      <c r="H1006" s="81">
        <v>4.2</v>
      </c>
      <c r="I1006" s="81">
        <v>0.0</v>
      </c>
      <c r="J1006" s="81">
        <v>0.324</v>
      </c>
      <c r="K1006" s="81">
        <v>1.7999999999999998</v>
      </c>
      <c r="L1006" s="81">
        <v>1.44</v>
      </c>
    </row>
    <row r="1007" ht="15.75" customHeight="1">
      <c r="A1007" s="228" t="s">
        <v>559</v>
      </c>
      <c r="B1007" s="230" t="s">
        <v>338</v>
      </c>
      <c r="C1007" s="61">
        <v>55.0</v>
      </c>
      <c r="D1007" s="231" t="s">
        <v>109</v>
      </c>
      <c r="E1007" s="81">
        <v>2.31</v>
      </c>
      <c r="F1007" s="81">
        <v>0.0</v>
      </c>
      <c r="G1007" s="81">
        <v>14.3</v>
      </c>
      <c r="H1007" s="81">
        <v>39.6</v>
      </c>
      <c r="I1007" s="81">
        <v>0.0</v>
      </c>
      <c r="J1007" s="81">
        <v>3.355</v>
      </c>
      <c r="K1007" s="81">
        <v>21.45</v>
      </c>
      <c r="L1007" s="81">
        <v>15.400000000000002</v>
      </c>
    </row>
    <row r="1008" ht="15.75" customHeight="1">
      <c r="A1008" s="228" t="s">
        <v>559</v>
      </c>
      <c r="B1008" s="230" t="s">
        <v>103</v>
      </c>
      <c r="C1008" s="61">
        <v>130.0</v>
      </c>
      <c r="D1008" s="231" t="s">
        <v>109</v>
      </c>
      <c r="E1008" s="81">
        <v>4.6396999999999995</v>
      </c>
      <c r="F1008" s="81">
        <v>31.849999999999998</v>
      </c>
      <c r="G1008" s="81">
        <v>0.0</v>
      </c>
      <c r="H1008" s="81">
        <v>0.0</v>
      </c>
      <c r="I1008" s="81">
        <v>93.405</v>
      </c>
      <c r="J1008" s="81">
        <v>49.38699999999999</v>
      </c>
      <c r="K1008" s="81">
        <v>153.92</v>
      </c>
      <c r="L1008" s="81">
        <v>0.0</v>
      </c>
    </row>
    <row r="1009" ht="15.75" customHeight="1">
      <c r="A1009" s="228" t="s">
        <v>559</v>
      </c>
      <c r="B1009" s="230" t="s">
        <v>206</v>
      </c>
      <c r="C1009" s="61">
        <v>60.0</v>
      </c>
      <c r="D1009" s="231" t="s">
        <v>109</v>
      </c>
      <c r="E1009" s="81">
        <v>17.4</v>
      </c>
      <c r="F1009" s="81">
        <v>2.6999999999999997</v>
      </c>
      <c r="G1009" s="81">
        <v>33.6</v>
      </c>
      <c r="H1009" s="81">
        <v>0.0</v>
      </c>
      <c r="I1009" s="81">
        <v>23.700000000000003</v>
      </c>
      <c r="J1009" s="81">
        <v>0.0</v>
      </c>
      <c r="K1009" s="81">
        <v>0.0</v>
      </c>
      <c r="L1009" s="81">
        <v>7.800000000000001</v>
      </c>
    </row>
    <row r="1010" ht="15.75" customHeight="1">
      <c r="A1010" s="228" t="s">
        <v>561</v>
      </c>
      <c r="B1010" s="230" t="s">
        <v>58</v>
      </c>
      <c r="C1010" s="61">
        <v>230.0</v>
      </c>
      <c r="D1010" s="231" t="s">
        <v>109</v>
      </c>
      <c r="E1010" s="81">
        <v>1.058</v>
      </c>
      <c r="F1010" s="81">
        <v>0.0</v>
      </c>
      <c r="G1010" s="81">
        <v>8.05</v>
      </c>
      <c r="H1010" s="81">
        <v>20.7</v>
      </c>
      <c r="I1010" s="81">
        <v>0.0</v>
      </c>
      <c r="J1010" s="81">
        <v>1.7939999999999998</v>
      </c>
      <c r="K1010" s="81">
        <v>9.200000000000001</v>
      </c>
      <c r="L1010" s="81">
        <v>8.05</v>
      </c>
    </row>
    <row r="1011" ht="15.75" customHeight="1">
      <c r="A1011" s="228" t="s">
        <v>561</v>
      </c>
      <c r="B1011" s="230" t="s">
        <v>99</v>
      </c>
      <c r="C1011" s="61">
        <v>140.0</v>
      </c>
      <c r="D1011" s="231" t="s">
        <v>109</v>
      </c>
      <c r="E1011" s="81">
        <v>1.75</v>
      </c>
      <c r="F1011" s="81">
        <v>0.0</v>
      </c>
      <c r="G1011" s="81">
        <v>23.8</v>
      </c>
      <c r="H1011" s="81">
        <v>9.8</v>
      </c>
      <c r="I1011" s="81">
        <v>0.0</v>
      </c>
      <c r="J1011" s="81">
        <v>0.756</v>
      </c>
      <c r="K1011" s="81">
        <v>4.2</v>
      </c>
      <c r="L1011" s="81">
        <v>3.36</v>
      </c>
    </row>
    <row r="1012" ht="15.75" customHeight="1">
      <c r="A1012" s="228" t="s">
        <v>561</v>
      </c>
      <c r="B1012" s="230" t="s">
        <v>338</v>
      </c>
      <c r="C1012" s="61">
        <v>45.0</v>
      </c>
      <c r="D1012" s="231" t="s">
        <v>109</v>
      </c>
      <c r="E1012" s="81">
        <v>1.89</v>
      </c>
      <c r="F1012" s="81">
        <v>0.0</v>
      </c>
      <c r="G1012" s="81">
        <v>11.700000000000001</v>
      </c>
      <c r="H1012" s="81">
        <v>32.4</v>
      </c>
      <c r="I1012" s="81">
        <v>0.0</v>
      </c>
      <c r="J1012" s="81">
        <v>2.745</v>
      </c>
      <c r="K1012" s="81">
        <v>17.55</v>
      </c>
      <c r="L1012" s="81">
        <v>12.600000000000001</v>
      </c>
    </row>
    <row r="1013" ht="15.75" customHeight="1">
      <c r="A1013" s="228" t="s">
        <v>561</v>
      </c>
      <c r="B1013" s="230" t="s">
        <v>103</v>
      </c>
      <c r="C1013" s="61">
        <v>145.0</v>
      </c>
      <c r="D1013" s="231" t="s">
        <v>109</v>
      </c>
      <c r="E1013" s="81">
        <v>5.17505</v>
      </c>
      <c r="F1013" s="81">
        <v>35.525</v>
      </c>
      <c r="G1013" s="81">
        <v>0.0</v>
      </c>
      <c r="H1013" s="81">
        <v>0.0</v>
      </c>
      <c r="I1013" s="81">
        <v>104.1825</v>
      </c>
      <c r="J1013" s="81">
        <v>55.085499999999996</v>
      </c>
      <c r="K1013" s="81">
        <v>171.67999999999998</v>
      </c>
      <c r="L1013" s="81">
        <v>0.0</v>
      </c>
    </row>
    <row r="1014" ht="15.75" customHeight="1">
      <c r="A1014" s="228" t="s">
        <v>561</v>
      </c>
      <c r="B1014" s="230" t="s">
        <v>105</v>
      </c>
      <c r="C1014" s="61">
        <v>240.0</v>
      </c>
      <c r="D1014" s="231" t="s">
        <v>109</v>
      </c>
      <c r="E1014" s="81">
        <v>0.0</v>
      </c>
      <c r="F1014" s="81">
        <v>38.4</v>
      </c>
      <c r="G1014" s="81">
        <v>0.0</v>
      </c>
      <c r="H1014" s="81">
        <v>0.0</v>
      </c>
      <c r="I1014" s="81">
        <v>16.8</v>
      </c>
      <c r="J1014" s="81">
        <v>45.6</v>
      </c>
      <c r="K1014" s="81">
        <v>55.2</v>
      </c>
      <c r="L1014" s="81">
        <v>2.4</v>
      </c>
    </row>
    <row r="1015" ht="15.75" customHeight="1">
      <c r="A1015" s="228" t="s">
        <v>562</v>
      </c>
      <c r="B1015" s="230" t="s">
        <v>58</v>
      </c>
      <c r="C1015" s="61">
        <v>245.0</v>
      </c>
      <c r="D1015" s="231" t="s">
        <v>109</v>
      </c>
      <c r="E1015" s="81">
        <v>1.127</v>
      </c>
      <c r="F1015" s="81">
        <v>0.0</v>
      </c>
      <c r="G1015" s="81">
        <v>8.575000000000001</v>
      </c>
      <c r="H1015" s="81">
        <v>22.05</v>
      </c>
      <c r="I1015" s="81">
        <v>0.0</v>
      </c>
      <c r="J1015" s="81">
        <v>1.9109999999999998</v>
      </c>
      <c r="K1015" s="81">
        <v>9.8</v>
      </c>
      <c r="L1015" s="81">
        <v>8.575000000000001</v>
      </c>
    </row>
    <row r="1016" ht="15.75" customHeight="1">
      <c r="A1016" s="228" t="s">
        <v>562</v>
      </c>
      <c r="B1016" s="230" t="s">
        <v>99</v>
      </c>
      <c r="C1016" s="61">
        <v>205.0</v>
      </c>
      <c r="D1016" s="231" t="s">
        <v>109</v>
      </c>
      <c r="E1016" s="81">
        <v>2.5625</v>
      </c>
      <c r="F1016" s="81">
        <v>0.0</v>
      </c>
      <c r="G1016" s="81">
        <v>34.85</v>
      </c>
      <c r="H1016" s="81">
        <v>14.350000000000001</v>
      </c>
      <c r="I1016" s="81">
        <v>0.0</v>
      </c>
      <c r="J1016" s="81">
        <v>1.107</v>
      </c>
      <c r="K1016" s="81">
        <v>6.1499999999999995</v>
      </c>
      <c r="L1016" s="81">
        <v>4.92</v>
      </c>
    </row>
    <row r="1017" ht="15.75" customHeight="1">
      <c r="A1017" s="228" t="s">
        <v>562</v>
      </c>
      <c r="B1017" s="230" t="s">
        <v>338</v>
      </c>
      <c r="C1017" s="61">
        <v>50.0</v>
      </c>
      <c r="D1017" s="231" t="s">
        <v>109</v>
      </c>
      <c r="E1017" s="81">
        <v>2.1</v>
      </c>
      <c r="F1017" s="81">
        <v>0.0</v>
      </c>
      <c r="G1017" s="81">
        <v>13.0</v>
      </c>
      <c r="H1017" s="81">
        <v>36.0</v>
      </c>
      <c r="I1017" s="81">
        <v>0.0</v>
      </c>
      <c r="J1017" s="81">
        <v>3.05</v>
      </c>
      <c r="K1017" s="81">
        <v>19.5</v>
      </c>
      <c r="L1017" s="81">
        <v>14.000000000000002</v>
      </c>
    </row>
    <row r="1018" ht="15.75" customHeight="1">
      <c r="A1018" s="228" t="s">
        <v>562</v>
      </c>
      <c r="B1018" s="230" t="s">
        <v>103</v>
      </c>
      <c r="C1018" s="61">
        <v>145.0</v>
      </c>
      <c r="D1018" s="231" t="s">
        <v>109</v>
      </c>
      <c r="E1018" s="81">
        <v>5.17505</v>
      </c>
      <c r="F1018" s="81">
        <v>35.525</v>
      </c>
      <c r="G1018" s="81">
        <v>0.0</v>
      </c>
      <c r="H1018" s="81">
        <v>0.0</v>
      </c>
      <c r="I1018" s="81">
        <v>104.1825</v>
      </c>
      <c r="J1018" s="81">
        <v>55.085499999999996</v>
      </c>
      <c r="K1018" s="81">
        <v>171.67999999999998</v>
      </c>
      <c r="L1018" s="81">
        <v>0.0</v>
      </c>
    </row>
    <row r="1019" ht="15.75" customHeight="1">
      <c r="A1019" s="228" t="s">
        <v>562</v>
      </c>
      <c r="B1019" s="230" t="s">
        <v>351</v>
      </c>
      <c r="C1019" s="61">
        <v>155.0</v>
      </c>
      <c r="D1019" s="231" t="s">
        <v>109</v>
      </c>
      <c r="E1019" s="81">
        <v>0.0</v>
      </c>
      <c r="F1019" s="81">
        <v>10.850000000000001</v>
      </c>
      <c r="G1019" s="81">
        <v>0.0</v>
      </c>
      <c r="H1019" s="81">
        <v>0.0</v>
      </c>
      <c r="I1019" s="81">
        <v>6.2</v>
      </c>
      <c r="J1019" s="81">
        <v>10.850000000000001</v>
      </c>
      <c r="K1019" s="81">
        <v>24.8</v>
      </c>
      <c r="L1019" s="81">
        <v>0.465</v>
      </c>
    </row>
    <row r="1020" ht="15.75" customHeight="1">
      <c r="A1020" s="228" t="s">
        <v>563</v>
      </c>
      <c r="B1020" s="230" t="s">
        <v>58</v>
      </c>
      <c r="C1020" s="61">
        <v>230.0</v>
      </c>
      <c r="D1020" s="231" t="s">
        <v>109</v>
      </c>
      <c r="E1020" s="81">
        <v>1.058</v>
      </c>
      <c r="F1020" s="81">
        <v>0.0</v>
      </c>
      <c r="G1020" s="81">
        <v>8.05</v>
      </c>
      <c r="H1020" s="81">
        <v>20.7</v>
      </c>
      <c r="I1020" s="81">
        <v>0.0</v>
      </c>
      <c r="J1020" s="81">
        <v>1.7939999999999998</v>
      </c>
      <c r="K1020" s="81">
        <v>9.200000000000001</v>
      </c>
      <c r="L1020" s="81">
        <v>8.05</v>
      </c>
    </row>
    <row r="1021" ht="15.75" customHeight="1">
      <c r="A1021" s="228" t="s">
        <v>563</v>
      </c>
      <c r="B1021" s="230" t="s">
        <v>99</v>
      </c>
      <c r="C1021" s="61">
        <v>140.0</v>
      </c>
      <c r="D1021" s="231" t="s">
        <v>109</v>
      </c>
      <c r="E1021" s="81">
        <v>1.75</v>
      </c>
      <c r="F1021" s="81">
        <v>0.0</v>
      </c>
      <c r="G1021" s="81">
        <v>23.8</v>
      </c>
      <c r="H1021" s="81">
        <v>9.8</v>
      </c>
      <c r="I1021" s="81">
        <v>0.0</v>
      </c>
      <c r="J1021" s="81">
        <v>0.756</v>
      </c>
      <c r="K1021" s="81">
        <v>4.2</v>
      </c>
      <c r="L1021" s="81">
        <v>3.36</v>
      </c>
    </row>
    <row r="1022" ht="15.75" customHeight="1">
      <c r="A1022" s="228" t="s">
        <v>563</v>
      </c>
      <c r="B1022" s="230" t="s">
        <v>338</v>
      </c>
      <c r="C1022" s="61">
        <v>45.0</v>
      </c>
      <c r="D1022" s="231" t="s">
        <v>109</v>
      </c>
      <c r="E1022" s="81">
        <v>1.89</v>
      </c>
      <c r="F1022" s="81">
        <v>0.0</v>
      </c>
      <c r="G1022" s="81">
        <v>11.700000000000001</v>
      </c>
      <c r="H1022" s="81">
        <v>32.4</v>
      </c>
      <c r="I1022" s="81">
        <v>0.0</v>
      </c>
      <c r="J1022" s="81">
        <v>2.745</v>
      </c>
      <c r="K1022" s="81">
        <v>17.55</v>
      </c>
      <c r="L1022" s="81">
        <v>12.600000000000001</v>
      </c>
    </row>
    <row r="1023" ht="15.75" customHeight="1">
      <c r="A1023" s="228" t="s">
        <v>563</v>
      </c>
      <c r="B1023" s="230" t="s">
        <v>103</v>
      </c>
      <c r="C1023" s="61">
        <v>145.0</v>
      </c>
      <c r="D1023" s="231" t="s">
        <v>109</v>
      </c>
      <c r="E1023" s="81">
        <v>5.17505</v>
      </c>
      <c r="F1023" s="81">
        <v>35.525</v>
      </c>
      <c r="G1023" s="81">
        <v>0.0</v>
      </c>
      <c r="H1023" s="81">
        <v>0.0</v>
      </c>
      <c r="I1023" s="81">
        <v>104.1825</v>
      </c>
      <c r="J1023" s="81">
        <v>55.085499999999996</v>
      </c>
      <c r="K1023" s="81">
        <v>171.67999999999998</v>
      </c>
      <c r="L1023" s="81">
        <v>0.0</v>
      </c>
    </row>
    <row r="1024" ht="15.75" customHeight="1">
      <c r="A1024" s="228" t="s">
        <v>563</v>
      </c>
      <c r="B1024" s="230" t="s">
        <v>345</v>
      </c>
      <c r="C1024" s="61">
        <v>240.0</v>
      </c>
      <c r="D1024" s="231" t="s">
        <v>109</v>
      </c>
      <c r="E1024" s="81">
        <v>0.0</v>
      </c>
      <c r="F1024" s="81">
        <v>24.0</v>
      </c>
      <c r="G1024" s="81">
        <v>0.0</v>
      </c>
      <c r="H1024" s="81">
        <v>0.0</v>
      </c>
      <c r="I1024" s="81">
        <v>12.0</v>
      </c>
      <c r="J1024" s="81">
        <v>31.200000000000003</v>
      </c>
      <c r="K1024" s="81">
        <v>38.4</v>
      </c>
      <c r="L1024" s="81">
        <v>0.0</v>
      </c>
    </row>
    <row r="1025" ht="15.75" customHeight="1">
      <c r="A1025" s="228" t="s">
        <v>564</v>
      </c>
      <c r="B1025" s="230" t="s">
        <v>58</v>
      </c>
      <c r="C1025" s="61">
        <v>65.0</v>
      </c>
      <c r="D1025" s="231" t="s">
        <v>109</v>
      </c>
      <c r="E1025" s="81">
        <v>0.299</v>
      </c>
      <c r="F1025" s="81">
        <v>0.0</v>
      </c>
      <c r="G1025" s="81">
        <v>2.2750000000000004</v>
      </c>
      <c r="H1025" s="81">
        <v>5.85</v>
      </c>
      <c r="I1025" s="81">
        <v>0.0</v>
      </c>
      <c r="J1025" s="81">
        <v>0.507</v>
      </c>
      <c r="K1025" s="81">
        <v>2.6</v>
      </c>
      <c r="L1025" s="81">
        <v>2.2750000000000004</v>
      </c>
    </row>
    <row r="1026" ht="15.75" customHeight="1">
      <c r="A1026" s="228" t="s">
        <v>564</v>
      </c>
      <c r="B1026" s="230" t="s">
        <v>99</v>
      </c>
      <c r="C1026" s="61">
        <v>140.0</v>
      </c>
      <c r="D1026" s="231" t="s">
        <v>109</v>
      </c>
      <c r="E1026" s="81">
        <v>1.75</v>
      </c>
      <c r="F1026" s="81">
        <v>0.0</v>
      </c>
      <c r="G1026" s="81">
        <v>23.8</v>
      </c>
      <c r="H1026" s="81">
        <v>9.8</v>
      </c>
      <c r="I1026" s="81">
        <v>0.0</v>
      </c>
      <c r="J1026" s="81">
        <v>0.756</v>
      </c>
      <c r="K1026" s="81">
        <v>4.2</v>
      </c>
      <c r="L1026" s="81">
        <v>3.36</v>
      </c>
    </row>
    <row r="1027" ht="15.75" customHeight="1">
      <c r="A1027" s="228" t="s">
        <v>564</v>
      </c>
      <c r="B1027" s="230" t="s">
        <v>338</v>
      </c>
      <c r="C1027" s="61">
        <v>80.0</v>
      </c>
      <c r="D1027" s="231" t="s">
        <v>109</v>
      </c>
      <c r="E1027" s="81">
        <v>3.36</v>
      </c>
      <c r="F1027" s="81">
        <v>0.0</v>
      </c>
      <c r="G1027" s="81">
        <v>20.8</v>
      </c>
      <c r="H1027" s="81">
        <v>57.599999999999994</v>
      </c>
      <c r="I1027" s="81">
        <v>0.0</v>
      </c>
      <c r="J1027" s="81">
        <v>4.88</v>
      </c>
      <c r="K1027" s="81">
        <v>31.200000000000003</v>
      </c>
      <c r="L1027" s="81">
        <v>22.400000000000002</v>
      </c>
    </row>
    <row r="1028" ht="15.75" customHeight="1">
      <c r="A1028" s="228" t="s">
        <v>564</v>
      </c>
      <c r="B1028" s="230" t="s">
        <v>103</v>
      </c>
      <c r="C1028" s="61">
        <v>140.0</v>
      </c>
      <c r="D1028" s="231" t="s">
        <v>109</v>
      </c>
      <c r="E1028" s="81">
        <v>4.996599999999999</v>
      </c>
      <c r="F1028" s="81">
        <v>34.3</v>
      </c>
      <c r="G1028" s="81">
        <v>0.0</v>
      </c>
      <c r="H1028" s="81">
        <v>0.0</v>
      </c>
      <c r="I1028" s="81">
        <v>100.59</v>
      </c>
      <c r="J1028" s="81">
        <v>53.18599999999999</v>
      </c>
      <c r="K1028" s="81">
        <v>165.76</v>
      </c>
      <c r="L1028" s="81">
        <v>0.0</v>
      </c>
    </row>
    <row r="1029" ht="15.75" customHeight="1">
      <c r="A1029" s="228" t="s">
        <v>564</v>
      </c>
      <c r="B1029" s="230" t="s">
        <v>358</v>
      </c>
      <c r="C1029" s="61">
        <v>375.0</v>
      </c>
      <c r="D1029" s="231" t="s">
        <v>109</v>
      </c>
      <c r="E1029" s="81">
        <v>9.375</v>
      </c>
      <c r="F1029" s="81">
        <v>18.75</v>
      </c>
      <c r="G1029" s="81">
        <v>0.0</v>
      </c>
      <c r="H1029" s="81">
        <v>0.0</v>
      </c>
      <c r="I1029" s="81">
        <v>15.0</v>
      </c>
      <c r="J1029" s="81">
        <v>36.0</v>
      </c>
      <c r="K1029" s="81">
        <v>43.5</v>
      </c>
      <c r="L1029" s="81">
        <v>3.75</v>
      </c>
    </row>
    <row r="1030" ht="15.75" customHeight="1">
      <c r="A1030" s="228" t="s">
        <v>565</v>
      </c>
      <c r="B1030" s="230" t="s">
        <v>14</v>
      </c>
      <c r="C1030" s="61">
        <v>230.0</v>
      </c>
      <c r="D1030" s="231" t="s">
        <v>109</v>
      </c>
      <c r="E1030" s="81">
        <v>0.0</v>
      </c>
      <c r="F1030" s="81">
        <v>0.0</v>
      </c>
      <c r="G1030" s="81">
        <v>0.0</v>
      </c>
      <c r="H1030" s="81">
        <v>0.0</v>
      </c>
      <c r="I1030" s="81">
        <v>0.0</v>
      </c>
      <c r="J1030" s="81">
        <v>0.0</v>
      </c>
      <c r="K1030" s="81">
        <v>0.0</v>
      </c>
      <c r="L1030" s="81">
        <v>0.0</v>
      </c>
    </row>
    <row r="1031" ht="15.75" customHeight="1">
      <c r="A1031" s="228" t="s">
        <v>565</v>
      </c>
      <c r="B1031" s="230" t="s">
        <v>103</v>
      </c>
      <c r="C1031" s="61">
        <v>270.0</v>
      </c>
      <c r="D1031" s="231" t="s">
        <v>109</v>
      </c>
      <c r="E1031" s="81">
        <v>9.636299999999999</v>
      </c>
      <c r="F1031" s="81">
        <v>66.15</v>
      </c>
      <c r="G1031" s="81">
        <v>0.0</v>
      </c>
      <c r="H1031" s="81">
        <v>0.0</v>
      </c>
      <c r="I1031" s="81">
        <v>193.995</v>
      </c>
      <c r="J1031" s="81">
        <v>102.573</v>
      </c>
      <c r="K1031" s="81">
        <v>319.68</v>
      </c>
      <c r="L1031" s="81">
        <v>0.0</v>
      </c>
    </row>
    <row r="1032" ht="15.75" customHeight="1">
      <c r="A1032" s="228" t="s">
        <v>565</v>
      </c>
      <c r="B1032" s="230" t="s">
        <v>419</v>
      </c>
      <c r="C1032" s="61">
        <v>500.0</v>
      </c>
      <c r="D1032" s="231" t="s">
        <v>109</v>
      </c>
      <c r="E1032" s="81">
        <v>15.0</v>
      </c>
      <c r="F1032" s="81">
        <v>30.0</v>
      </c>
      <c r="G1032" s="81">
        <v>5.0</v>
      </c>
      <c r="H1032" s="81">
        <v>0.0</v>
      </c>
      <c r="I1032" s="81">
        <v>20.0</v>
      </c>
      <c r="J1032" s="81">
        <v>40.0</v>
      </c>
      <c r="K1032" s="81">
        <v>50.0</v>
      </c>
      <c r="L1032" s="81">
        <v>5.0</v>
      </c>
    </row>
    <row r="1033" ht="15.75" customHeight="1">
      <c r="A1033" s="228" t="s">
        <v>566</v>
      </c>
      <c r="B1033" s="230" t="s">
        <v>14</v>
      </c>
      <c r="C1033" s="61">
        <v>230.0</v>
      </c>
      <c r="D1033" s="231" t="s">
        <v>109</v>
      </c>
      <c r="E1033" s="81">
        <v>0.0</v>
      </c>
      <c r="F1033" s="81">
        <v>0.0</v>
      </c>
      <c r="G1033" s="81">
        <v>0.0</v>
      </c>
      <c r="H1033" s="81">
        <v>0.0</v>
      </c>
      <c r="I1033" s="81">
        <v>0.0</v>
      </c>
      <c r="J1033" s="81">
        <v>0.0</v>
      </c>
      <c r="K1033" s="81">
        <v>0.0</v>
      </c>
      <c r="L1033" s="81">
        <v>0.0</v>
      </c>
    </row>
    <row r="1034" ht="15.75" customHeight="1">
      <c r="A1034" s="228" t="s">
        <v>566</v>
      </c>
      <c r="B1034" s="230" t="s">
        <v>103</v>
      </c>
      <c r="C1034" s="61">
        <v>270.0</v>
      </c>
      <c r="D1034" s="231" t="s">
        <v>109</v>
      </c>
      <c r="E1034" s="81">
        <v>9.636299999999999</v>
      </c>
      <c r="F1034" s="81">
        <v>66.15</v>
      </c>
      <c r="G1034" s="81">
        <v>0.0</v>
      </c>
      <c r="H1034" s="81">
        <v>0.0</v>
      </c>
      <c r="I1034" s="81">
        <v>193.995</v>
      </c>
      <c r="J1034" s="81">
        <v>102.573</v>
      </c>
      <c r="K1034" s="81">
        <v>319.68</v>
      </c>
      <c r="L1034" s="81">
        <v>0.0</v>
      </c>
    </row>
    <row r="1035" ht="15.75" customHeight="1">
      <c r="A1035" s="228" t="s">
        <v>566</v>
      </c>
      <c r="B1035" s="230" t="s">
        <v>342</v>
      </c>
      <c r="C1035" s="61">
        <v>500.0</v>
      </c>
      <c r="D1035" s="231" t="s">
        <v>109</v>
      </c>
      <c r="E1035" s="81">
        <v>0.0</v>
      </c>
      <c r="F1035" s="81">
        <v>20.0</v>
      </c>
      <c r="G1035" s="81">
        <v>0.0</v>
      </c>
      <c r="H1035" s="81">
        <v>0.0</v>
      </c>
      <c r="I1035" s="81">
        <v>22.5</v>
      </c>
      <c r="J1035" s="81">
        <v>24.0</v>
      </c>
      <c r="K1035" s="81">
        <v>29.0</v>
      </c>
      <c r="L1035" s="81">
        <v>0.0</v>
      </c>
    </row>
    <row r="1036" ht="15.75" customHeight="1">
      <c r="A1036" s="228" t="s">
        <v>567</v>
      </c>
      <c r="B1036" s="230" t="s">
        <v>14</v>
      </c>
      <c r="C1036" s="61">
        <v>160.0</v>
      </c>
      <c r="D1036" s="231" t="s">
        <v>109</v>
      </c>
      <c r="E1036" s="81">
        <v>0.0</v>
      </c>
      <c r="F1036" s="81">
        <v>0.0</v>
      </c>
      <c r="G1036" s="81">
        <v>0.0</v>
      </c>
      <c r="H1036" s="81">
        <v>0.0</v>
      </c>
      <c r="I1036" s="81">
        <v>0.0</v>
      </c>
      <c r="J1036" s="81">
        <v>0.0</v>
      </c>
      <c r="K1036" s="81">
        <v>0.0</v>
      </c>
      <c r="L1036" s="81">
        <v>0.0</v>
      </c>
    </row>
    <row r="1037" ht="15.75" customHeight="1">
      <c r="A1037" s="228" t="s">
        <v>567</v>
      </c>
      <c r="B1037" s="230" t="s">
        <v>103</v>
      </c>
      <c r="C1037" s="61">
        <v>240.0</v>
      </c>
      <c r="D1037" s="231" t="s">
        <v>109</v>
      </c>
      <c r="E1037" s="81">
        <v>8.565599999999998</v>
      </c>
      <c r="F1037" s="81">
        <v>58.8</v>
      </c>
      <c r="G1037" s="81">
        <v>0.0</v>
      </c>
      <c r="H1037" s="81">
        <v>0.0</v>
      </c>
      <c r="I1037" s="81">
        <v>172.44</v>
      </c>
      <c r="J1037" s="81">
        <v>91.17599999999999</v>
      </c>
      <c r="K1037" s="81">
        <v>284.15999999999997</v>
      </c>
      <c r="L1037" s="81">
        <v>0.0</v>
      </c>
    </row>
    <row r="1038" ht="15.75" customHeight="1">
      <c r="A1038" s="228" t="s">
        <v>567</v>
      </c>
      <c r="B1038" s="230" t="s">
        <v>348</v>
      </c>
      <c r="C1038" s="61">
        <v>400.0</v>
      </c>
      <c r="D1038" s="231" t="s">
        <v>109</v>
      </c>
      <c r="E1038" s="81">
        <v>0.0</v>
      </c>
      <c r="F1038" s="81">
        <v>52.0</v>
      </c>
      <c r="G1038" s="81">
        <v>0.0</v>
      </c>
      <c r="H1038" s="81">
        <v>0.0</v>
      </c>
      <c r="I1038" s="81">
        <v>16.0</v>
      </c>
      <c r="J1038" s="81">
        <v>60.0</v>
      </c>
      <c r="K1038" s="81">
        <v>72.0</v>
      </c>
      <c r="L1038" s="81">
        <v>4.0</v>
      </c>
    </row>
    <row r="1039" ht="15.75" customHeight="1">
      <c r="A1039" s="228" t="s">
        <v>567</v>
      </c>
      <c r="B1039" s="230" t="s">
        <v>351</v>
      </c>
      <c r="C1039" s="61">
        <v>200.0</v>
      </c>
      <c r="D1039" s="231" t="s">
        <v>109</v>
      </c>
      <c r="E1039" s="81">
        <v>0.0</v>
      </c>
      <c r="F1039" s="81">
        <v>14.000000000000002</v>
      </c>
      <c r="G1039" s="81">
        <v>0.0</v>
      </c>
      <c r="H1039" s="81">
        <v>0.0</v>
      </c>
      <c r="I1039" s="81">
        <v>8.0</v>
      </c>
      <c r="J1039" s="81">
        <v>14.000000000000002</v>
      </c>
      <c r="K1039" s="81">
        <v>32.0</v>
      </c>
      <c r="L1039" s="81">
        <v>0.6</v>
      </c>
    </row>
    <row r="1040" ht="15.75" customHeight="1">
      <c r="A1040" s="228" t="s">
        <v>568</v>
      </c>
      <c r="B1040" s="230" t="s">
        <v>14</v>
      </c>
      <c r="C1040" s="61">
        <v>230.0</v>
      </c>
      <c r="D1040" s="231" t="s">
        <v>109</v>
      </c>
      <c r="E1040" s="81">
        <v>0.0</v>
      </c>
      <c r="F1040" s="81">
        <v>0.0</v>
      </c>
      <c r="G1040" s="81">
        <v>0.0</v>
      </c>
      <c r="H1040" s="81">
        <v>0.0</v>
      </c>
      <c r="I1040" s="81">
        <v>0.0</v>
      </c>
      <c r="J1040" s="81">
        <v>0.0</v>
      </c>
      <c r="K1040" s="81">
        <v>0.0</v>
      </c>
      <c r="L1040" s="81">
        <v>0.0</v>
      </c>
    </row>
    <row r="1041" ht="15.75" customHeight="1">
      <c r="A1041" s="228" t="s">
        <v>568</v>
      </c>
      <c r="B1041" s="230" t="s">
        <v>103</v>
      </c>
      <c r="C1041" s="61">
        <v>250.0</v>
      </c>
      <c r="D1041" s="231" t="s">
        <v>109</v>
      </c>
      <c r="E1041" s="81">
        <v>8.9225</v>
      </c>
      <c r="F1041" s="81">
        <v>61.25</v>
      </c>
      <c r="G1041" s="81">
        <v>0.0</v>
      </c>
      <c r="H1041" s="81">
        <v>0.0</v>
      </c>
      <c r="I1041" s="81">
        <v>179.625</v>
      </c>
      <c r="J1041" s="81">
        <v>94.975</v>
      </c>
      <c r="K1041" s="81">
        <v>296.0</v>
      </c>
      <c r="L1041" s="81">
        <v>0.0</v>
      </c>
    </row>
    <row r="1042" ht="15.75" customHeight="1">
      <c r="A1042" s="228" t="s">
        <v>568</v>
      </c>
      <c r="B1042" s="230" t="s">
        <v>380</v>
      </c>
      <c r="C1042" s="61">
        <v>500.0</v>
      </c>
      <c r="D1042" s="231" t="s">
        <v>109</v>
      </c>
      <c r="E1042" s="81">
        <v>20.0</v>
      </c>
      <c r="F1042" s="81">
        <v>20.0</v>
      </c>
      <c r="G1042" s="81">
        <v>35.0</v>
      </c>
      <c r="H1042" s="81">
        <v>0.0</v>
      </c>
      <c r="I1042" s="81">
        <v>20.0</v>
      </c>
      <c r="J1042" s="81">
        <v>24.0</v>
      </c>
      <c r="K1042" s="81">
        <v>38.0</v>
      </c>
      <c r="L1042" s="81">
        <v>4.5</v>
      </c>
    </row>
    <row r="1043" ht="15.75" customHeight="1">
      <c r="A1043" s="228" t="s">
        <v>568</v>
      </c>
      <c r="B1043" s="230" t="s">
        <v>162</v>
      </c>
      <c r="C1043" s="61">
        <v>20.0</v>
      </c>
      <c r="D1043" s="231" t="s">
        <v>109</v>
      </c>
      <c r="E1043" s="81">
        <v>0.26</v>
      </c>
      <c r="F1043" s="81">
        <v>0.4</v>
      </c>
      <c r="G1043" s="81">
        <v>0.0</v>
      </c>
      <c r="H1043" s="81">
        <v>0.0</v>
      </c>
      <c r="I1043" s="81">
        <v>1.2</v>
      </c>
      <c r="J1043" s="81">
        <v>0.6</v>
      </c>
      <c r="K1043" s="81">
        <v>0.64</v>
      </c>
      <c r="L1043" s="81">
        <v>0.0</v>
      </c>
    </row>
    <row r="1044" ht="15.75" customHeight="1">
      <c r="A1044" s="228" t="s">
        <v>569</v>
      </c>
      <c r="B1044" s="230" t="s">
        <v>14</v>
      </c>
      <c r="C1044" s="61">
        <v>160.0</v>
      </c>
      <c r="D1044" s="231" t="s">
        <v>109</v>
      </c>
      <c r="E1044" s="81">
        <v>0.0</v>
      </c>
      <c r="F1044" s="81">
        <v>0.0</v>
      </c>
      <c r="G1044" s="81">
        <v>0.0</v>
      </c>
      <c r="H1044" s="81">
        <v>0.0</v>
      </c>
      <c r="I1044" s="81">
        <v>0.0</v>
      </c>
      <c r="J1044" s="81">
        <v>0.0</v>
      </c>
      <c r="K1044" s="81">
        <v>0.0</v>
      </c>
      <c r="L1044" s="81">
        <v>0.0</v>
      </c>
    </row>
    <row r="1045" ht="15.75" customHeight="1">
      <c r="A1045" s="228" t="s">
        <v>569</v>
      </c>
      <c r="B1045" s="230" t="s">
        <v>103</v>
      </c>
      <c r="C1045" s="61">
        <v>220.0</v>
      </c>
      <c r="D1045" s="231" t="s">
        <v>109</v>
      </c>
      <c r="E1045" s="81">
        <v>7.851799999999999</v>
      </c>
      <c r="F1045" s="81">
        <v>53.9</v>
      </c>
      <c r="G1045" s="81">
        <v>0.0</v>
      </c>
      <c r="H1045" s="81">
        <v>0.0</v>
      </c>
      <c r="I1045" s="81">
        <v>158.07</v>
      </c>
      <c r="J1045" s="81">
        <v>83.57799999999999</v>
      </c>
      <c r="K1045" s="81">
        <v>260.47999999999996</v>
      </c>
      <c r="L1045" s="81">
        <v>0.0</v>
      </c>
    </row>
    <row r="1046" ht="15.75" customHeight="1">
      <c r="A1046" s="228" t="s">
        <v>569</v>
      </c>
      <c r="B1046" s="230" t="s">
        <v>380</v>
      </c>
      <c r="C1046" s="61">
        <v>400.0</v>
      </c>
      <c r="D1046" s="231" t="s">
        <v>109</v>
      </c>
      <c r="E1046" s="81">
        <v>16.0</v>
      </c>
      <c r="F1046" s="81">
        <v>16.0</v>
      </c>
      <c r="G1046" s="81">
        <v>28.000000000000004</v>
      </c>
      <c r="H1046" s="81">
        <v>0.0</v>
      </c>
      <c r="I1046" s="81">
        <v>16.0</v>
      </c>
      <c r="J1046" s="81">
        <v>19.2</v>
      </c>
      <c r="K1046" s="81">
        <v>30.4</v>
      </c>
      <c r="L1046" s="81">
        <v>3.5999999999999996</v>
      </c>
    </row>
    <row r="1047" ht="15.75" customHeight="1">
      <c r="A1047" s="228" t="s">
        <v>569</v>
      </c>
      <c r="B1047" s="230" t="s">
        <v>105</v>
      </c>
      <c r="C1047" s="61">
        <v>200.0</v>
      </c>
      <c r="D1047" s="231" t="s">
        <v>109</v>
      </c>
      <c r="E1047" s="81">
        <v>0.0</v>
      </c>
      <c r="F1047" s="81">
        <v>32.0</v>
      </c>
      <c r="G1047" s="81">
        <v>0.0</v>
      </c>
      <c r="H1047" s="81">
        <v>0.0</v>
      </c>
      <c r="I1047" s="81">
        <v>14.000000000000002</v>
      </c>
      <c r="J1047" s="81">
        <v>38.0</v>
      </c>
      <c r="K1047" s="81">
        <v>46.0</v>
      </c>
      <c r="L1047" s="81">
        <v>2.0</v>
      </c>
    </row>
    <row r="1048" ht="15.75" customHeight="1">
      <c r="A1048" s="228" t="s">
        <v>569</v>
      </c>
      <c r="B1048" s="230" t="s">
        <v>162</v>
      </c>
      <c r="C1048" s="61">
        <v>20.0</v>
      </c>
      <c r="D1048" s="231" t="s">
        <v>109</v>
      </c>
      <c r="E1048" s="81">
        <v>0.26</v>
      </c>
      <c r="F1048" s="81">
        <v>0.4</v>
      </c>
      <c r="G1048" s="81">
        <v>0.0</v>
      </c>
      <c r="H1048" s="81">
        <v>0.0</v>
      </c>
      <c r="I1048" s="81">
        <v>1.2</v>
      </c>
      <c r="J1048" s="81">
        <v>0.6</v>
      </c>
      <c r="K1048" s="81">
        <v>0.64</v>
      </c>
      <c r="L1048" s="81">
        <v>0.0</v>
      </c>
    </row>
    <row r="1049" ht="15.75" customHeight="1">
      <c r="A1049" s="228" t="s">
        <v>571</v>
      </c>
      <c r="B1049" s="230" t="s">
        <v>14</v>
      </c>
      <c r="C1049" s="61">
        <v>130.0</v>
      </c>
      <c r="D1049" s="231" t="s">
        <v>109</v>
      </c>
      <c r="E1049" s="81">
        <v>0.0</v>
      </c>
      <c r="F1049" s="81">
        <v>0.0</v>
      </c>
      <c r="G1049" s="81">
        <v>0.0</v>
      </c>
      <c r="H1049" s="81">
        <v>0.0</v>
      </c>
      <c r="I1049" s="81">
        <v>0.0</v>
      </c>
      <c r="J1049" s="81">
        <v>0.0</v>
      </c>
      <c r="K1049" s="81">
        <v>0.0</v>
      </c>
      <c r="L1049" s="81">
        <v>0.0</v>
      </c>
    </row>
    <row r="1050" ht="15.75" customHeight="1">
      <c r="A1050" s="228" t="s">
        <v>571</v>
      </c>
      <c r="B1050" s="230" t="s">
        <v>103</v>
      </c>
      <c r="C1050" s="61">
        <v>230.0</v>
      </c>
      <c r="D1050" s="231" t="s">
        <v>109</v>
      </c>
      <c r="E1050" s="81">
        <v>8.208699999999999</v>
      </c>
      <c r="F1050" s="81">
        <v>56.35</v>
      </c>
      <c r="G1050" s="81">
        <v>0.0</v>
      </c>
      <c r="H1050" s="81">
        <v>0.0</v>
      </c>
      <c r="I1050" s="81">
        <v>165.255</v>
      </c>
      <c r="J1050" s="81">
        <v>87.377</v>
      </c>
      <c r="K1050" s="81">
        <v>272.32</v>
      </c>
      <c r="L1050" s="81">
        <v>0.0</v>
      </c>
    </row>
    <row r="1051" ht="15.75" customHeight="1">
      <c r="A1051" s="228" t="s">
        <v>571</v>
      </c>
      <c r="B1051" s="230" t="s">
        <v>380</v>
      </c>
      <c r="C1051" s="61">
        <v>380.0</v>
      </c>
      <c r="D1051" s="231" t="s">
        <v>109</v>
      </c>
      <c r="E1051" s="81">
        <v>15.2</v>
      </c>
      <c r="F1051" s="81">
        <v>15.200000000000001</v>
      </c>
      <c r="G1051" s="81">
        <v>26.6</v>
      </c>
      <c r="H1051" s="81">
        <v>0.0</v>
      </c>
      <c r="I1051" s="81">
        <v>15.200000000000001</v>
      </c>
      <c r="J1051" s="81">
        <v>18.240000000000002</v>
      </c>
      <c r="K1051" s="81">
        <v>28.88</v>
      </c>
      <c r="L1051" s="81">
        <v>3.42</v>
      </c>
    </row>
    <row r="1052" ht="15.75" customHeight="1">
      <c r="A1052" s="228" t="s">
        <v>571</v>
      </c>
      <c r="B1052" s="230" t="s">
        <v>358</v>
      </c>
      <c r="C1052" s="61">
        <v>240.0</v>
      </c>
      <c r="D1052" s="231" t="s">
        <v>109</v>
      </c>
      <c r="E1052" s="81">
        <v>6.0</v>
      </c>
      <c r="F1052" s="81">
        <v>12.0</v>
      </c>
      <c r="G1052" s="81">
        <v>0.0</v>
      </c>
      <c r="H1052" s="81">
        <v>0.0</v>
      </c>
      <c r="I1052" s="81">
        <v>9.6</v>
      </c>
      <c r="J1052" s="81">
        <v>23.04</v>
      </c>
      <c r="K1052" s="81">
        <v>27.84</v>
      </c>
      <c r="L1052" s="81">
        <v>2.4</v>
      </c>
    </row>
    <row r="1053" ht="15.75" customHeight="1">
      <c r="A1053" s="228" t="s">
        <v>571</v>
      </c>
      <c r="B1053" s="230" t="s">
        <v>162</v>
      </c>
      <c r="C1053" s="61">
        <v>20.0</v>
      </c>
      <c r="D1053" s="231" t="s">
        <v>109</v>
      </c>
      <c r="E1053" s="81">
        <v>0.26</v>
      </c>
      <c r="F1053" s="81">
        <v>0.4</v>
      </c>
      <c r="G1053" s="81">
        <v>0.0</v>
      </c>
      <c r="H1053" s="81">
        <v>0.0</v>
      </c>
      <c r="I1053" s="81">
        <v>1.2</v>
      </c>
      <c r="J1053" s="81">
        <v>0.6</v>
      </c>
      <c r="K1053" s="81">
        <v>0.64</v>
      </c>
      <c r="L1053" s="81">
        <v>0.0</v>
      </c>
    </row>
    <row r="1054" ht="15.75" customHeight="1">
      <c r="A1054" s="228" t="s">
        <v>572</v>
      </c>
      <c r="B1054" s="230" t="s">
        <v>14</v>
      </c>
      <c r="C1054" s="61">
        <v>185.0</v>
      </c>
      <c r="D1054" s="231" t="s">
        <v>109</v>
      </c>
      <c r="E1054" s="81">
        <v>0.0</v>
      </c>
      <c r="F1054" s="81">
        <v>0.0</v>
      </c>
      <c r="G1054" s="81">
        <v>0.0</v>
      </c>
      <c r="H1054" s="81">
        <v>0.0</v>
      </c>
      <c r="I1054" s="81">
        <v>0.0</v>
      </c>
      <c r="J1054" s="81">
        <v>0.0</v>
      </c>
      <c r="K1054" s="81">
        <v>0.0</v>
      </c>
      <c r="L1054" s="81">
        <v>0.0</v>
      </c>
    </row>
    <row r="1055" ht="15.75" customHeight="1">
      <c r="A1055" s="228" t="s">
        <v>572</v>
      </c>
      <c r="B1055" s="230" t="s">
        <v>103</v>
      </c>
      <c r="C1055" s="61">
        <v>240.0</v>
      </c>
      <c r="D1055" s="231" t="s">
        <v>109</v>
      </c>
      <c r="E1055" s="81">
        <v>8.565599999999998</v>
      </c>
      <c r="F1055" s="81">
        <v>58.8</v>
      </c>
      <c r="G1055" s="81">
        <v>0.0</v>
      </c>
      <c r="H1055" s="81">
        <v>0.0</v>
      </c>
      <c r="I1055" s="81">
        <v>172.44</v>
      </c>
      <c r="J1055" s="81">
        <v>91.17599999999999</v>
      </c>
      <c r="K1055" s="81">
        <v>284.15999999999997</v>
      </c>
      <c r="L1055" s="81">
        <v>0.0</v>
      </c>
    </row>
    <row r="1056" ht="15.75" customHeight="1">
      <c r="A1056" s="228" t="s">
        <v>572</v>
      </c>
      <c r="B1056" s="230" t="s">
        <v>298</v>
      </c>
      <c r="C1056" s="61">
        <v>560.0</v>
      </c>
      <c r="D1056" s="231" t="s">
        <v>109</v>
      </c>
      <c r="E1056" s="81">
        <v>0.0</v>
      </c>
      <c r="F1056" s="81">
        <v>39.2</v>
      </c>
      <c r="G1056" s="81">
        <v>5.6000000000000005</v>
      </c>
      <c r="H1056" s="81">
        <v>0.0</v>
      </c>
      <c r="I1056" s="81">
        <v>44.800000000000004</v>
      </c>
      <c r="J1056" s="81">
        <v>47.6</v>
      </c>
      <c r="K1056" s="81">
        <v>58.8</v>
      </c>
      <c r="L1056" s="81">
        <v>5.6000000000000005</v>
      </c>
    </row>
    <row r="1057" ht="15.75" customHeight="1">
      <c r="A1057" s="228" t="s">
        <v>572</v>
      </c>
      <c r="B1057" s="230" t="s">
        <v>162</v>
      </c>
      <c r="C1057" s="61">
        <v>15.0</v>
      </c>
      <c r="D1057" s="231" t="s">
        <v>109</v>
      </c>
      <c r="E1057" s="81">
        <v>0.195</v>
      </c>
      <c r="F1057" s="81">
        <v>0.3</v>
      </c>
      <c r="G1057" s="81">
        <v>0.0</v>
      </c>
      <c r="H1057" s="81">
        <v>0.0</v>
      </c>
      <c r="I1057" s="81">
        <v>0.8999999999999999</v>
      </c>
      <c r="J1057" s="81">
        <v>0.44999999999999996</v>
      </c>
      <c r="K1057" s="81">
        <v>0.48</v>
      </c>
      <c r="L1057" s="81">
        <v>0.0</v>
      </c>
    </row>
    <row r="1058" ht="15.75" customHeight="1">
      <c r="A1058" s="228" t="s">
        <v>573</v>
      </c>
      <c r="B1058" s="230" t="s">
        <v>14</v>
      </c>
      <c r="C1058" s="61">
        <v>130.0</v>
      </c>
      <c r="D1058" s="231" t="s">
        <v>109</v>
      </c>
      <c r="E1058" s="81">
        <v>0.0</v>
      </c>
      <c r="F1058" s="81">
        <v>0.0</v>
      </c>
      <c r="G1058" s="81">
        <v>0.0</v>
      </c>
      <c r="H1058" s="81">
        <v>0.0</v>
      </c>
      <c r="I1058" s="81">
        <v>0.0</v>
      </c>
      <c r="J1058" s="81">
        <v>0.0</v>
      </c>
      <c r="K1058" s="81">
        <v>0.0</v>
      </c>
      <c r="L1058" s="81">
        <v>0.0</v>
      </c>
    </row>
    <row r="1059" ht="15.75" customHeight="1">
      <c r="A1059" s="228" t="s">
        <v>573</v>
      </c>
      <c r="B1059" s="230" t="s">
        <v>103</v>
      </c>
      <c r="C1059" s="61">
        <v>250.0</v>
      </c>
      <c r="D1059" s="231" t="s">
        <v>109</v>
      </c>
      <c r="E1059" s="81">
        <v>8.9225</v>
      </c>
      <c r="F1059" s="81">
        <v>61.25</v>
      </c>
      <c r="G1059" s="81">
        <v>0.0</v>
      </c>
      <c r="H1059" s="81">
        <v>0.0</v>
      </c>
      <c r="I1059" s="81">
        <v>179.625</v>
      </c>
      <c r="J1059" s="81">
        <v>94.975</v>
      </c>
      <c r="K1059" s="81">
        <v>296.0</v>
      </c>
      <c r="L1059" s="81">
        <v>0.0</v>
      </c>
    </row>
    <row r="1060" ht="15.75" customHeight="1">
      <c r="A1060" s="228" t="s">
        <v>573</v>
      </c>
      <c r="B1060" s="230" t="s">
        <v>358</v>
      </c>
      <c r="C1060" s="61">
        <v>600.0</v>
      </c>
      <c r="D1060" s="231" t="s">
        <v>109</v>
      </c>
      <c r="E1060" s="81">
        <v>15.0</v>
      </c>
      <c r="F1060" s="81">
        <v>30.0</v>
      </c>
      <c r="G1060" s="81">
        <v>0.0</v>
      </c>
      <c r="H1060" s="81">
        <v>0.0</v>
      </c>
      <c r="I1060" s="81">
        <v>24.0</v>
      </c>
      <c r="J1060" s="81">
        <v>57.6</v>
      </c>
      <c r="K1060" s="81">
        <v>69.60000000000001</v>
      </c>
      <c r="L1060" s="81">
        <v>6.0</v>
      </c>
    </row>
    <row r="1061" ht="15.75" customHeight="1">
      <c r="A1061" s="228" t="s">
        <v>573</v>
      </c>
      <c r="B1061" s="230" t="s">
        <v>162</v>
      </c>
      <c r="C1061" s="61">
        <v>20.0</v>
      </c>
      <c r="D1061" s="231" t="s">
        <v>109</v>
      </c>
      <c r="E1061" s="81">
        <v>0.26</v>
      </c>
      <c r="F1061" s="81">
        <v>0.4</v>
      </c>
      <c r="G1061" s="81">
        <v>0.0</v>
      </c>
      <c r="H1061" s="81">
        <v>0.0</v>
      </c>
      <c r="I1061" s="81">
        <v>1.2</v>
      </c>
      <c r="J1061" s="81">
        <v>0.6</v>
      </c>
      <c r="K1061" s="81">
        <v>0.64</v>
      </c>
      <c r="L1061" s="81">
        <v>0.0</v>
      </c>
    </row>
    <row r="1062" ht="15.75" customHeight="1">
      <c r="A1062" s="228" t="s">
        <v>574</v>
      </c>
      <c r="B1062" s="230" t="s">
        <v>14</v>
      </c>
      <c r="C1062" s="61">
        <v>150.0</v>
      </c>
      <c r="D1062" s="231" t="s">
        <v>109</v>
      </c>
      <c r="E1062" s="81">
        <v>0.0</v>
      </c>
      <c r="F1062" s="81">
        <v>0.0</v>
      </c>
      <c r="G1062" s="81">
        <v>0.0</v>
      </c>
      <c r="H1062" s="81">
        <v>0.0</v>
      </c>
      <c r="I1062" s="81">
        <v>0.0</v>
      </c>
      <c r="J1062" s="81">
        <v>0.0</v>
      </c>
      <c r="K1062" s="81">
        <v>0.0</v>
      </c>
      <c r="L1062" s="81">
        <v>0.0</v>
      </c>
    </row>
    <row r="1063" ht="15.75" customHeight="1">
      <c r="A1063" s="228" t="s">
        <v>574</v>
      </c>
      <c r="B1063" s="230" t="s">
        <v>103</v>
      </c>
      <c r="C1063" s="61">
        <v>230.0</v>
      </c>
      <c r="D1063" s="231" t="s">
        <v>109</v>
      </c>
      <c r="E1063" s="81">
        <v>8.208699999999999</v>
      </c>
      <c r="F1063" s="81">
        <v>56.35</v>
      </c>
      <c r="G1063" s="81">
        <v>0.0</v>
      </c>
      <c r="H1063" s="81">
        <v>0.0</v>
      </c>
      <c r="I1063" s="81">
        <v>165.255</v>
      </c>
      <c r="J1063" s="81">
        <v>87.377</v>
      </c>
      <c r="K1063" s="81">
        <v>272.32</v>
      </c>
      <c r="L1063" s="81">
        <v>0.0</v>
      </c>
    </row>
    <row r="1064" ht="15.75" customHeight="1">
      <c r="A1064" s="228" t="s">
        <v>574</v>
      </c>
      <c r="B1064" s="230" t="s">
        <v>348</v>
      </c>
      <c r="C1064" s="61">
        <v>600.0</v>
      </c>
      <c r="D1064" s="231" t="s">
        <v>109</v>
      </c>
      <c r="E1064" s="81">
        <v>0.0</v>
      </c>
      <c r="F1064" s="81">
        <v>78.0</v>
      </c>
      <c r="G1064" s="81">
        <v>0.0</v>
      </c>
      <c r="H1064" s="81">
        <v>0.0</v>
      </c>
      <c r="I1064" s="81">
        <v>24.0</v>
      </c>
      <c r="J1064" s="81">
        <v>90.0</v>
      </c>
      <c r="K1064" s="81">
        <v>108.0</v>
      </c>
      <c r="L1064" s="81">
        <v>6.0</v>
      </c>
    </row>
    <row r="1065" ht="15.75" customHeight="1">
      <c r="A1065" s="228" t="s">
        <v>574</v>
      </c>
      <c r="B1065" s="230" t="s">
        <v>162</v>
      </c>
      <c r="C1065" s="61">
        <v>20.0</v>
      </c>
      <c r="D1065" s="231" t="s">
        <v>109</v>
      </c>
      <c r="E1065" s="81">
        <v>0.26</v>
      </c>
      <c r="F1065" s="81">
        <v>0.4</v>
      </c>
      <c r="G1065" s="81">
        <v>0.0</v>
      </c>
      <c r="H1065" s="81">
        <v>0.0</v>
      </c>
      <c r="I1065" s="81">
        <v>1.2</v>
      </c>
      <c r="J1065" s="81">
        <v>0.6</v>
      </c>
      <c r="K1065" s="81">
        <v>0.64</v>
      </c>
      <c r="L1065" s="81">
        <v>0.0</v>
      </c>
    </row>
    <row r="1066" ht="15.75" customHeight="1">
      <c r="A1066" s="228" t="s">
        <v>576</v>
      </c>
      <c r="B1066" s="230" t="s">
        <v>14</v>
      </c>
      <c r="C1066" s="61">
        <v>160.0</v>
      </c>
      <c r="D1066" s="231" t="s">
        <v>109</v>
      </c>
      <c r="E1066" s="81">
        <v>0.0</v>
      </c>
      <c r="F1066" s="81">
        <v>0.0</v>
      </c>
      <c r="G1066" s="81">
        <v>0.0</v>
      </c>
      <c r="H1066" s="81">
        <v>0.0</v>
      </c>
      <c r="I1066" s="81">
        <v>0.0</v>
      </c>
      <c r="J1066" s="81">
        <v>0.0</v>
      </c>
      <c r="K1066" s="81">
        <v>0.0</v>
      </c>
      <c r="L1066" s="81">
        <v>0.0</v>
      </c>
    </row>
    <row r="1067" ht="15.75" customHeight="1">
      <c r="A1067" s="228" t="s">
        <v>576</v>
      </c>
      <c r="B1067" s="230" t="s">
        <v>103</v>
      </c>
      <c r="C1067" s="61">
        <v>240.0</v>
      </c>
      <c r="D1067" s="231" t="s">
        <v>109</v>
      </c>
      <c r="E1067" s="81">
        <v>8.565599999999998</v>
      </c>
      <c r="F1067" s="81">
        <v>58.8</v>
      </c>
      <c r="G1067" s="81">
        <v>0.0</v>
      </c>
      <c r="H1067" s="81">
        <v>0.0</v>
      </c>
      <c r="I1067" s="81">
        <v>172.44</v>
      </c>
      <c r="J1067" s="81">
        <v>91.17599999999999</v>
      </c>
      <c r="K1067" s="81">
        <v>284.15999999999997</v>
      </c>
      <c r="L1067" s="81">
        <v>0.0</v>
      </c>
    </row>
    <row r="1068" ht="15.75" customHeight="1">
      <c r="A1068" s="228" t="s">
        <v>576</v>
      </c>
      <c r="B1068" s="230" t="s">
        <v>298</v>
      </c>
      <c r="C1068" s="61">
        <v>250.0</v>
      </c>
      <c r="D1068" s="231" t="s">
        <v>109</v>
      </c>
      <c r="E1068" s="81">
        <v>0.0</v>
      </c>
      <c r="F1068" s="81">
        <v>17.5</v>
      </c>
      <c r="G1068" s="81">
        <v>2.5</v>
      </c>
      <c r="H1068" s="81">
        <v>0.0</v>
      </c>
      <c r="I1068" s="81">
        <v>20.0</v>
      </c>
      <c r="J1068" s="81">
        <v>21.25</v>
      </c>
      <c r="K1068" s="81">
        <v>26.25</v>
      </c>
      <c r="L1068" s="81">
        <v>2.5</v>
      </c>
    </row>
    <row r="1069" ht="15.75" customHeight="1">
      <c r="A1069" s="228" t="s">
        <v>576</v>
      </c>
      <c r="B1069" s="230" t="s">
        <v>358</v>
      </c>
      <c r="C1069" s="61">
        <v>250.0</v>
      </c>
      <c r="D1069" s="231" t="s">
        <v>109</v>
      </c>
      <c r="E1069" s="81">
        <v>6.25</v>
      </c>
      <c r="F1069" s="81">
        <v>12.5</v>
      </c>
      <c r="G1069" s="81">
        <v>0.0</v>
      </c>
      <c r="H1069" s="81">
        <v>0.0</v>
      </c>
      <c r="I1069" s="81">
        <v>10.0</v>
      </c>
      <c r="J1069" s="81">
        <v>24.0</v>
      </c>
      <c r="K1069" s="81">
        <v>29.0</v>
      </c>
      <c r="L1069" s="81">
        <v>2.5</v>
      </c>
    </row>
    <row r="1070" ht="15.75" customHeight="1">
      <c r="A1070" s="228" t="s">
        <v>576</v>
      </c>
      <c r="B1070" s="230" t="s">
        <v>357</v>
      </c>
      <c r="C1070" s="61">
        <v>100.0</v>
      </c>
      <c r="D1070" s="231" t="s">
        <v>109</v>
      </c>
      <c r="E1070" s="81">
        <v>0.0</v>
      </c>
      <c r="F1070" s="81">
        <v>5.0</v>
      </c>
      <c r="G1070" s="81">
        <v>0.0</v>
      </c>
      <c r="H1070" s="81">
        <v>0.0</v>
      </c>
      <c r="I1070" s="81">
        <v>10.0</v>
      </c>
      <c r="J1070" s="81">
        <v>16.0</v>
      </c>
      <c r="K1070" s="81">
        <v>19.0</v>
      </c>
      <c r="L1070" s="81">
        <v>1.0</v>
      </c>
    </row>
    <row r="1071" ht="15.75" customHeight="1">
      <c r="A1071" s="228" t="s">
        <v>577</v>
      </c>
      <c r="B1071" s="230" t="s">
        <v>14</v>
      </c>
      <c r="C1071" s="61">
        <v>350.0</v>
      </c>
      <c r="D1071" s="231" t="s">
        <v>109</v>
      </c>
      <c r="E1071" s="81">
        <v>0.0</v>
      </c>
      <c r="F1071" s="81">
        <v>0.0</v>
      </c>
      <c r="G1071" s="81">
        <v>0.0</v>
      </c>
      <c r="H1071" s="81">
        <v>0.0</v>
      </c>
      <c r="I1071" s="81">
        <v>0.0</v>
      </c>
      <c r="J1071" s="81">
        <v>0.0</v>
      </c>
      <c r="K1071" s="81">
        <v>0.0</v>
      </c>
      <c r="L1071" s="81">
        <v>0.0</v>
      </c>
    </row>
    <row r="1072" ht="15.75" customHeight="1">
      <c r="A1072" s="228" t="s">
        <v>577</v>
      </c>
      <c r="B1072" s="230" t="s">
        <v>103</v>
      </c>
      <c r="C1072" s="61">
        <v>250.0</v>
      </c>
      <c r="D1072" s="231" t="s">
        <v>109</v>
      </c>
      <c r="E1072" s="81">
        <v>8.9225</v>
      </c>
      <c r="F1072" s="81">
        <v>61.25</v>
      </c>
      <c r="G1072" s="81">
        <v>0.0</v>
      </c>
      <c r="H1072" s="81">
        <v>0.0</v>
      </c>
      <c r="I1072" s="81">
        <v>179.625</v>
      </c>
      <c r="J1072" s="81">
        <v>94.975</v>
      </c>
      <c r="K1072" s="81">
        <v>296.0</v>
      </c>
      <c r="L1072" s="81">
        <v>0.0</v>
      </c>
    </row>
    <row r="1073" ht="15.75" customHeight="1">
      <c r="A1073" s="228" t="s">
        <v>577</v>
      </c>
      <c r="B1073" s="230" t="s">
        <v>343</v>
      </c>
      <c r="C1073" s="61">
        <v>350.0</v>
      </c>
      <c r="D1073" s="231" t="s">
        <v>109</v>
      </c>
      <c r="E1073" s="81">
        <v>6.65</v>
      </c>
      <c r="F1073" s="81">
        <v>7.0</v>
      </c>
      <c r="G1073" s="81">
        <v>0.0</v>
      </c>
      <c r="H1073" s="81">
        <v>0.0</v>
      </c>
      <c r="I1073" s="81">
        <v>21.0</v>
      </c>
      <c r="J1073" s="81">
        <v>17.5</v>
      </c>
      <c r="K1073" s="81">
        <v>21.0</v>
      </c>
      <c r="L1073" s="81">
        <v>0.0</v>
      </c>
    </row>
    <row r="1074" ht="15.75" customHeight="1">
      <c r="A1074" s="228" t="s">
        <v>577</v>
      </c>
      <c r="B1074" s="230" t="s">
        <v>166</v>
      </c>
      <c r="C1074" s="61">
        <v>2.0</v>
      </c>
      <c r="D1074" s="231" t="s">
        <v>109</v>
      </c>
      <c r="E1074" s="81">
        <v>0.0</v>
      </c>
      <c r="F1074" s="81">
        <v>0.0</v>
      </c>
      <c r="G1074" s="81">
        <v>0.0</v>
      </c>
      <c r="H1074" s="81">
        <v>0.0</v>
      </c>
      <c r="I1074" s="81">
        <v>0.36</v>
      </c>
      <c r="J1074" s="81">
        <v>0.1</v>
      </c>
      <c r="K1074" s="81">
        <v>0.14</v>
      </c>
      <c r="L1074" s="81">
        <v>0.0</v>
      </c>
    </row>
    <row r="1075" ht="15.75" customHeight="1">
      <c r="A1075" s="228" t="s">
        <v>578</v>
      </c>
      <c r="B1075" s="230" t="s">
        <v>14</v>
      </c>
      <c r="C1075" s="61">
        <v>247.0</v>
      </c>
      <c r="D1075" s="231" t="s">
        <v>109</v>
      </c>
      <c r="E1075" s="81">
        <v>0.0</v>
      </c>
      <c r="F1075" s="81">
        <v>0.0</v>
      </c>
      <c r="G1075" s="81">
        <v>0.0</v>
      </c>
      <c r="H1075" s="81">
        <v>0.0</v>
      </c>
      <c r="I1075" s="81">
        <v>0.0</v>
      </c>
      <c r="J1075" s="81">
        <v>0.0</v>
      </c>
      <c r="K1075" s="81">
        <v>0.0</v>
      </c>
      <c r="L1075" s="81">
        <v>0.0</v>
      </c>
    </row>
    <row r="1076" ht="15.75" customHeight="1">
      <c r="A1076" s="228" t="s">
        <v>578</v>
      </c>
      <c r="B1076" s="230" t="s">
        <v>346</v>
      </c>
      <c r="C1076" s="61">
        <v>166.0</v>
      </c>
      <c r="D1076" s="231" t="s">
        <v>109</v>
      </c>
      <c r="E1076" s="81">
        <v>4.15</v>
      </c>
      <c r="F1076" s="81">
        <v>166.0</v>
      </c>
      <c r="G1076" s="81">
        <v>0.0</v>
      </c>
      <c r="H1076" s="81">
        <v>0.0</v>
      </c>
      <c r="I1076" s="81">
        <v>0.0</v>
      </c>
      <c r="J1076" s="81">
        <v>116.19999999999999</v>
      </c>
      <c r="K1076" s="81">
        <v>166.0</v>
      </c>
      <c r="L1076" s="81">
        <v>0.0</v>
      </c>
    </row>
    <row r="1077" ht="15.75" customHeight="1">
      <c r="A1077" s="228" t="s">
        <v>578</v>
      </c>
      <c r="B1077" s="230" t="s">
        <v>131</v>
      </c>
      <c r="C1077" s="61">
        <v>40.0</v>
      </c>
      <c r="D1077" s="231" t="s">
        <v>109</v>
      </c>
      <c r="E1077" s="81">
        <v>1.2</v>
      </c>
      <c r="F1077" s="81">
        <v>40.0</v>
      </c>
      <c r="G1077" s="81">
        <v>0.0</v>
      </c>
      <c r="H1077" s="81">
        <v>0.0</v>
      </c>
      <c r="I1077" s="81">
        <v>0.0</v>
      </c>
      <c r="J1077" s="81">
        <v>28.0</v>
      </c>
      <c r="K1077" s="81">
        <v>112.0</v>
      </c>
      <c r="L1077" s="81">
        <v>0.0</v>
      </c>
    </row>
    <row r="1078" ht="15.75" customHeight="1">
      <c r="A1078" s="228" t="s">
        <v>578</v>
      </c>
      <c r="B1078" s="230" t="s">
        <v>170</v>
      </c>
      <c r="C1078" s="61">
        <v>20.0</v>
      </c>
      <c r="D1078" s="231" t="s">
        <v>109</v>
      </c>
      <c r="E1078" s="81">
        <v>1.9</v>
      </c>
      <c r="F1078" s="81">
        <v>0.0</v>
      </c>
      <c r="G1078" s="81">
        <v>0.0</v>
      </c>
      <c r="H1078" s="81">
        <v>0.0</v>
      </c>
      <c r="I1078" s="81">
        <v>19.0</v>
      </c>
      <c r="J1078" s="81">
        <v>0.0</v>
      </c>
      <c r="K1078" s="81">
        <v>4.0</v>
      </c>
      <c r="L1078" s="81">
        <v>0.0</v>
      </c>
    </row>
    <row r="1079" ht="15.75" customHeight="1">
      <c r="A1079" s="228" t="s">
        <v>578</v>
      </c>
      <c r="B1079" s="230" t="s">
        <v>139</v>
      </c>
      <c r="C1079" s="61">
        <v>5.0</v>
      </c>
      <c r="D1079" s="231" t="s">
        <v>109</v>
      </c>
      <c r="E1079" s="81">
        <v>1.0</v>
      </c>
      <c r="F1079" s="81">
        <v>0.0</v>
      </c>
      <c r="G1079" s="81">
        <v>0.0</v>
      </c>
      <c r="H1079" s="81">
        <v>0.0</v>
      </c>
      <c r="I1079" s="81">
        <v>5.0</v>
      </c>
      <c r="J1079" s="81">
        <v>0.0</v>
      </c>
      <c r="K1079" s="81">
        <v>0.0</v>
      </c>
      <c r="L1079" s="81">
        <v>0.0</v>
      </c>
    </row>
    <row r="1080" ht="15.75" customHeight="1">
      <c r="A1080" s="228" t="s">
        <v>578</v>
      </c>
      <c r="B1080" s="230" t="s">
        <v>358</v>
      </c>
      <c r="C1080" s="61">
        <v>500.0</v>
      </c>
      <c r="D1080" s="231" t="s">
        <v>109</v>
      </c>
      <c r="E1080" s="81">
        <v>12.5</v>
      </c>
      <c r="F1080" s="81">
        <v>25.0</v>
      </c>
      <c r="G1080" s="81">
        <v>0.0</v>
      </c>
      <c r="H1080" s="81">
        <v>0.0</v>
      </c>
      <c r="I1080" s="81">
        <v>20.0</v>
      </c>
      <c r="J1080" s="81">
        <v>48.0</v>
      </c>
      <c r="K1080" s="81">
        <v>58.0</v>
      </c>
      <c r="L1080" s="81">
        <v>5.0</v>
      </c>
    </row>
    <row r="1081" ht="15.75" customHeight="1">
      <c r="A1081" s="228" t="s">
        <v>578</v>
      </c>
      <c r="B1081" s="230" t="s">
        <v>162</v>
      </c>
      <c r="C1081" s="61">
        <v>20.0</v>
      </c>
      <c r="D1081" s="231" t="s">
        <v>109</v>
      </c>
      <c r="E1081" s="81">
        <v>0.26</v>
      </c>
      <c r="F1081" s="81">
        <v>0.4</v>
      </c>
      <c r="G1081" s="81">
        <v>0.0</v>
      </c>
      <c r="H1081" s="81">
        <v>0.0</v>
      </c>
      <c r="I1081" s="81">
        <v>1.2</v>
      </c>
      <c r="J1081" s="81">
        <v>0.6</v>
      </c>
      <c r="K1081" s="81">
        <v>0.64</v>
      </c>
      <c r="L1081" s="81">
        <v>0.0</v>
      </c>
    </row>
    <row r="1082" ht="15.75" customHeight="1">
      <c r="A1082" s="228" t="s">
        <v>578</v>
      </c>
      <c r="B1082" s="230" t="s">
        <v>311</v>
      </c>
      <c r="C1082" s="61">
        <v>6.0</v>
      </c>
      <c r="D1082" s="231" t="s">
        <v>109</v>
      </c>
      <c r="E1082" s="81">
        <v>0.0</v>
      </c>
      <c r="F1082" s="81">
        <v>0.012</v>
      </c>
      <c r="G1082" s="81">
        <v>0.0</v>
      </c>
      <c r="H1082" s="81">
        <v>0.0</v>
      </c>
      <c r="I1082" s="81">
        <v>0.63</v>
      </c>
      <c r="J1082" s="81">
        <v>0.0</v>
      </c>
      <c r="K1082" s="81">
        <v>0.0</v>
      </c>
      <c r="L1082" s="81">
        <v>0.198</v>
      </c>
    </row>
    <row r="1083" ht="15.75" customHeight="1">
      <c r="A1083" s="228" t="s">
        <v>579</v>
      </c>
      <c r="B1083" s="230" t="s">
        <v>58</v>
      </c>
      <c r="C1083" s="61">
        <v>454.0</v>
      </c>
      <c r="D1083" s="231" t="s">
        <v>109</v>
      </c>
      <c r="E1083" s="81">
        <v>2.0883999999999996</v>
      </c>
      <c r="F1083" s="81">
        <v>0.0</v>
      </c>
      <c r="G1083" s="81">
        <v>15.890000000000002</v>
      </c>
      <c r="H1083" s="81">
        <v>40.86</v>
      </c>
      <c r="I1083" s="81">
        <v>0.0</v>
      </c>
      <c r="J1083" s="81">
        <v>3.5412</v>
      </c>
      <c r="K1083" s="81">
        <v>18.16</v>
      </c>
      <c r="L1083" s="81">
        <v>15.890000000000002</v>
      </c>
    </row>
    <row r="1084" ht="15.75" customHeight="1">
      <c r="A1084" s="228" t="s">
        <v>579</v>
      </c>
      <c r="B1084" s="230" t="s">
        <v>195</v>
      </c>
      <c r="C1084" s="61">
        <v>100.0</v>
      </c>
      <c r="D1084" s="231" t="s">
        <v>109</v>
      </c>
      <c r="E1084" s="81">
        <v>0.0</v>
      </c>
      <c r="F1084" s="81">
        <v>8.4</v>
      </c>
      <c r="G1084" s="81">
        <v>5.0</v>
      </c>
      <c r="H1084" s="81">
        <v>0.0</v>
      </c>
      <c r="I1084" s="81">
        <v>3.5000000000000004</v>
      </c>
      <c r="J1084" s="81">
        <v>13.0</v>
      </c>
      <c r="K1084" s="81">
        <v>8.4</v>
      </c>
      <c r="L1084" s="81">
        <v>0.0</v>
      </c>
    </row>
    <row r="1085" ht="15.75" customHeight="1">
      <c r="A1085" s="228" t="s">
        <v>579</v>
      </c>
      <c r="B1085" s="230" t="s">
        <v>134</v>
      </c>
      <c r="C1085" s="61">
        <v>80.0</v>
      </c>
      <c r="D1085" s="231" t="s">
        <v>109</v>
      </c>
      <c r="E1085" s="81">
        <v>1.52</v>
      </c>
      <c r="F1085" s="81">
        <v>0.0</v>
      </c>
      <c r="G1085" s="81">
        <v>28.0</v>
      </c>
      <c r="H1085" s="81">
        <v>4.8</v>
      </c>
      <c r="I1085" s="81">
        <v>0.0</v>
      </c>
      <c r="J1085" s="81">
        <v>0.43200000000000005</v>
      </c>
      <c r="K1085" s="81">
        <v>2.4</v>
      </c>
      <c r="L1085" s="81">
        <v>1.92</v>
      </c>
    </row>
    <row r="1086" ht="15.75" customHeight="1">
      <c r="A1086" s="228" t="s">
        <v>579</v>
      </c>
      <c r="B1086" s="230" t="s">
        <v>346</v>
      </c>
      <c r="C1086" s="61">
        <v>166.0</v>
      </c>
      <c r="D1086" s="231" t="s">
        <v>109</v>
      </c>
      <c r="E1086" s="81">
        <v>4.15</v>
      </c>
      <c r="F1086" s="81">
        <v>166.0</v>
      </c>
      <c r="G1086" s="81">
        <v>0.0</v>
      </c>
      <c r="H1086" s="81">
        <v>0.0</v>
      </c>
      <c r="I1086" s="81">
        <v>0.0</v>
      </c>
      <c r="J1086" s="81">
        <v>116.19999999999999</v>
      </c>
      <c r="K1086" s="81">
        <v>166.0</v>
      </c>
      <c r="L1086" s="81">
        <v>0.0</v>
      </c>
    </row>
    <row r="1087" ht="15.75" customHeight="1">
      <c r="A1087" s="228" t="s">
        <v>579</v>
      </c>
      <c r="B1087" s="230" t="s">
        <v>131</v>
      </c>
      <c r="C1087" s="61">
        <v>20.0</v>
      </c>
      <c r="D1087" s="231" t="s">
        <v>109</v>
      </c>
      <c r="E1087" s="81">
        <v>0.6</v>
      </c>
      <c r="F1087" s="81">
        <v>20.0</v>
      </c>
      <c r="G1087" s="81">
        <v>0.0</v>
      </c>
      <c r="H1087" s="81">
        <v>0.0</v>
      </c>
      <c r="I1087" s="81">
        <v>0.0</v>
      </c>
      <c r="J1087" s="81">
        <v>14.0</v>
      </c>
      <c r="K1087" s="81">
        <v>56.0</v>
      </c>
      <c r="L1087" s="81">
        <v>0.0</v>
      </c>
    </row>
    <row r="1088" ht="15.75" customHeight="1">
      <c r="A1088" s="228" t="s">
        <v>579</v>
      </c>
      <c r="B1088" s="230" t="s">
        <v>135</v>
      </c>
      <c r="C1088" s="61">
        <v>38.0</v>
      </c>
      <c r="D1088" s="231" t="s">
        <v>109</v>
      </c>
      <c r="E1088" s="81">
        <v>2.052</v>
      </c>
      <c r="F1088" s="81">
        <v>0.0</v>
      </c>
      <c r="G1088" s="81">
        <v>0.0</v>
      </c>
      <c r="H1088" s="81">
        <v>36.86</v>
      </c>
      <c r="I1088" s="81">
        <v>0.0</v>
      </c>
      <c r="J1088" s="81">
        <v>3.04</v>
      </c>
      <c r="K1088" s="81">
        <v>19.0</v>
      </c>
      <c r="L1088" s="81">
        <v>13.68</v>
      </c>
    </row>
    <row r="1089" ht="15.75" customHeight="1">
      <c r="A1089" s="228" t="s">
        <v>579</v>
      </c>
      <c r="B1089" s="230" t="s">
        <v>139</v>
      </c>
      <c r="C1089" s="61">
        <v>4.0</v>
      </c>
      <c r="D1089" s="231" t="s">
        <v>109</v>
      </c>
      <c r="E1089" s="81">
        <v>0.8</v>
      </c>
      <c r="F1089" s="81">
        <v>0.0</v>
      </c>
      <c r="G1089" s="81">
        <v>0.0</v>
      </c>
      <c r="H1089" s="81">
        <v>0.0</v>
      </c>
      <c r="I1089" s="81">
        <v>4.0</v>
      </c>
      <c r="J1089" s="81">
        <v>0.0</v>
      </c>
      <c r="K1089" s="81">
        <v>0.0</v>
      </c>
      <c r="L1089" s="81">
        <v>0.0</v>
      </c>
    </row>
    <row r="1090" ht="15.75" customHeight="1">
      <c r="A1090" s="55" t="s">
        <v>580</v>
      </c>
      <c r="B1090" s="261" t="s">
        <v>298</v>
      </c>
      <c r="C1090" s="149">
        <v>450.0</v>
      </c>
      <c r="D1090" s="66" t="s">
        <v>109</v>
      </c>
      <c r="E1090" s="81">
        <v>0.0</v>
      </c>
      <c r="F1090" s="81">
        <v>31.500000000000004</v>
      </c>
      <c r="G1090" s="81">
        <v>4.5</v>
      </c>
      <c r="H1090" s="81">
        <v>0.0</v>
      </c>
      <c r="I1090" s="81">
        <v>36.0</v>
      </c>
      <c r="J1090" s="81">
        <v>38.25</v>
      </c>
      <c r="K1090" s="81">
        <v>47.25</v>
      </c>
      <c r="L1090" s="81">
        <v>4.5</v>
      </c>
    </row>
    <row r="1091" ht="15.75" customHeight="1">
      <c r="A1091" s="55" t="s">
        <v>580</v>
      </c>
      <c r="B1091" s="261" t="s">
        <v>14</v>
      </c>
      <c r="C1091" s="149">
        <v>280.0</v>
      </c>
      <c r="D1091" s="66" t="s">
        <v>109</v>
      </c>
      <c r="E1091" s="81">
        <v>0.0</v>
      </c>
      <c r="F1091" s="81">
        <v>0.0</v>
      </c>
      <c r="G1091" s="81">
        <v>0.0</v>
      </c>
      <c r="H1091" s="81">
        <v>0.0</v>
      </c>
      <c r="I1091" s="81">
        <v>0.0</v>
      </c>
      <c r="J1091" s="81">
        <v>0.0</v>
      </c>
      <c r="K1091" s="81">
        <v>0.0</v>
      </c>
      <c r="L1091" s="81">
        <v>0.0</v>
      </c>
    </row>
    <row r="1092" ht="15.75" customHeight="1">
      <c r="A1092" s="55" t="s">
        <v>580</v>
      </c>
      <c r="B1092" s="261" t="s">
        <v>346</v>
      </c>
      <c r="C1092" s="149">
        <v>170.0</v>
      </c>
      <c r="D1092" s="66" t="s">
        <v>109</v>
      </c>
      <c r="E1092" s="81">
        <v>4.25</v>
      </c>
      <c r="F1092" s="81">
        <v>170.0</v>
      </c>
      <c r="G1092" s="81">
        <v>0.0</v>
      </c>
      <c r="H1092" s="81">
        <v>0.0</v>
      </c>
      <c r="I1092" s="81">
        <v>0.0</v>
      </c>
      <c r="J1092" s="81">
        <v>118.99999999999999</v>
      </c>
      <c r="K1092" s="81">
        <v>170.0</v>
      </c>
      <c r="L1092" s="81">
        <v>0.0</v>
      </c>
    </row>
    <row r="1093" ht="15.75" customHeight="1">
      <c r="A1093" s="55" t="s">
        <v>580</v>
      </c>
      <c r="B1093" s="261" t="s">
        <v>131</v>
      </c>
      <c r="C1093" s="149">
        <v>30.0</v>
      </c>
      <c r="D1093" s="66" t="s">
        <v>109</v>
      </c>
      <c r="E1093" s="81">
        <v>0.9</v>
      </c>
      <c r="F1093" s="81">
        <v>30.0</v>
      </c>
      <c r="G1093" s="81">
        <v>0.0</v>
      </c>
      <c r="H1093" s="81">
        <v>0.0</v>
      </c>
      <c r="I1093" s="81">
        <v>0.0</v>
      </c>
      <c r="J1093" s="81">
        <v>21.0</v>
      </c>
      <c r="K1093" s="81">
        <v>84.0</v>
      </c>
      <c r="L1093" s="81">
        <v>0.0</v>
      </c>
    </row>
    <row r="1094" ht="15.75" customHeight="1">
      <c r="A1094" s="55" t="s">
        <v>580</v>
      </c>
      <c r="B1094" s="261" t="s">
        <v>170</v>
      </c>
      <c r="C1094" s="149">
        <v>50.0</v>
      </c>
      <c r="D1094" s="66" t="s">
        <v>109</v>
      </c>
      <c r="E1094" s="81">
        <v>4.75</v>
      </c>
      <c r="F1094" s="81">
        <v>0.0</v>
      </c>
      <c r="G1094" s="81">
        <v>0.0</v>
      </c>
      <c r="H1094" s="81">
        <v>0.0</v>
      </c>
      <c r="I1094" s="81">
        <v>47.5</v>
      </c>
      <c r="J1094" s="81">
        <v>0.0</v>
      </c>
      <c r="K1094" s="81">
        <v>10.0</v>
      </c>
      <c r="L1094" s="81">
        <v>0.0</v>
      </c>
    </row>
    <row r="1095" ht="15.75" customHeight="1">
      <c r="A1095" s="55" t="s">
        <v>580</v>
      </c>
      <c r="B1095" s="261" t="s">
        <v>113</v>
      </c>
      <c r="C1095" s="149">
        <v>20.0</v>
      </c>
      <c r="D1095" s="66" t="s">
        <v>109</v>
      </c>
      <c r="E1095" s="81">
        <v>0.76</v>
      </c>
      <c r="F1095" s="81">
        <v>0.0</v>
      </c>
      <c r="G1095" s="81">
        <v>0.0</v>
      </c>
      <c r="H1095" s="81">
        <v>0.0</v>
      </c>
      <c r="I1095" s="81">
        <v>19.0</v>
      </c>
      <c r="J1095" s="81">
        <v>1.6</v>
      </c>
      <c r="K1095" s="81">
        <v>12.0</v>
      </c>
      <c r="L1095" s="81">
        <v>0.0</v>
      </c>
    </row>
    <row r="1096" ht="15.75" customHeight="1">
      <c r="A1096" s="55" t="s">
        <v>580</v>
      </c>
      <c r="B1096" s="261" t="s">
        <v>139</v>
      </c>
      <c r="C1096" s="149">
        <v>4.0</v>
      </c>
      <c r="D1096" s="66" t="s">
        <v>109</v>
      </c>
      <c r="E1096" s="81">
        <v>0.8</v>
      </c>
      <c r="F1096" s="81">
        <v>0.0</v>
      </c>
      <c r="G1096" s="81">
        <v>0.0</v>
      </c>
      <c r="H1096" s="81">
        <v>0.0</v>
      </c>
      <c r="I1096" s="81">
        <v>4.0</v>
      </c>
      <c r="J1096" s="81">
        <v>0.0</v>
      </c>
      <c r="K1096" s="81">
        <v>0.0</v>
      </c>
      <c r="L1096" s="81">
        <v>0.0</v>
      </c>
    </row>
    <row r="1097" ht="15.75" customHeight="1">
      <c r="A1097" s="55" t="s">
        <v>580</v>
      </c>
      <c r="B1097" s="261" t="s">
        <v>162</v>
      </c>
      <c r="C1097" s="149">
        <v>20.0</v>
      </c>
      <c r="D1097" s="66" t="s">
        <v>109</v>
      </c>
      <c r="E1097" s="81">
        <v>0.26</v>
      </c>
      <c r="F1097" s="81">
        <v>0.4</v>
      </c>
      <c r="G1097" s="81">
        <v>0.0</v>
      </c>
      <c r="H1097" s="81">
        <v>0.0</v>
      </c>
      <c r="I1097" s="81">
        <v>1.2</v>
      </c>
      <c r="J1097" s="81">
        <v>0.6</v>
      </c>
      <c r="K1097" s="81">
        <v>0.64</v>
      </c>
      <c r="L1097" s="81">
        <v>0.0</v>
      </c>
    </row>
    <row r="1098" ht="15.75" customHeight="1">
      <c r="A1098" s="55" t="s">
        <v>581</v>
      </c>
      <c r="B1098" s="261" t="s">
        <v>298</v>
      </c>
      <c r="C1098" s="149">
        <v>500.0</v>
      </c>
      <c r="D1098" s="66" t="s">
        <v>109</v>
      </c>
      <c r="E1098" s="81">
        <v>0.0</v>
      </c>
      <c r="F1098" s="81">
        <v>35.0</v>
      </c>
      <c r="G1098" s="81">
        <v>5.0</v>
      </c>
      <c r="H1098" s="81">
        <v>0.0</v>
      </c>
      <c r="I1098" s="81">
        <v>40.0</v>
      </c>
      <c r="J1098" s="81">
        <v>42.5</v>
      </c>
      <c r="K1098" s="81">
        <v>52.5</v>
      </c>
      <c r="L1098" s="81">
        <v>5.0</v>
      </c>
    </row>
    <row r="1099" ht="15.75" customHeight="1">
      <c r="A1099" s="55" t="s">
        <v>581</v>
      </c>
      <c r="B1099" s="261" t="s">
        <v>14</v>
      </c>
      <c r="C1099" s="149">
        <v>230.0</v>
      </c>
      <c r="D1099" s="66" t="s">
        <v>109</v>
      </c>
      <c r="E1099" s="81">
        <v>0.0</v>
      </c>
      <c r="F1099" s="81">
        <v>0.0</v>
      </c>
      <c r="G1099" s="81">
        <v>0.0</v>
      </c>
      <c r="H1099" s="81">
        <v>0.0</v>
      </c>
      <c r="I1099" s="81">
        <v>0.0</v>
      </c>
      <c r="J1099" s="81">
        <v>0.0</v>
      </c>
      <c r="K1099" s="81">
        <v>0.0</v>
      </c>
      <c r="L1099" s="81">
        <v>0.0</v>
      </c>
    </row>
    <row r="1100" ht="15.75" customHeight="1">
      <c r="A1100" s="55" t="s">
        <v>581</v>
      </c>
      <c r="B1100" s="261" t="s">
        <v>113</v>
      </c>
      <c r="C1100" s="149">
        <v>150.0</v>
      </c>
      <c r="D1100" s="66" t="s">
        <v>109</v>
      </c>
      <c r="E1100" s="81">
        <v>5.7</v>
      </c>
      <c r="F1100" s="81">
        <v>0.0</v>
      </c>
      <c r="G1100" s="81">
        <v>0.0</v>
      </c>
      <c r="H1100" s="81">
        <v>0.0</v>
      </c>
      <c r="I1100" s="81">
        <v>142.5</v>
      </c>
      <c r="J1100" s="81">
        <v>12.0</v>
      </c>
      <c r="K1100" s="81">
        <v>90.0</v>
      </c>
      <c r="L1100" s="81">
        <v>0.0</v>
      </c>
    </row>
    <row r="1101" ht="15.75" customHeight="1">
      <c r="A1101" s="55" t="s">
        <v>581</v>
      </c>
      <c r="B1101" s="261" t="s">
        <v>131</v>
      </c>
      <c r="C1101" s="149">
        <v>55.0</v>
      </c>
      <c r="D1101" s="66" t="s">
        <v>109</v>
      </c>
      <c r="E1101" s="81">
        <v>1.65</v>
      </c>
      <c r="F1101" s="81">
        <v>55.0</v>
      </c>
      <c r="G1101" s="81">
        <v>0.0</v>
      </c>
      <c r="H1101" s="81">
        <v>0.0</v>
      </c>
      <c r="I1101" s="81">
        <v>0.0</v>
      </c>
      <c r="J1101" s="81">
        <v>38.5</v>
      </c>
      <c r="K1101" s="81">
        <v>154.0</v>
      </c>
      <c r="L1101" s="81">
        <v>0.0</v>
      </c>
    </row>
    <row r="1102" ht="15.75" customHeight="1">
      <c r="A1102" s="55" t="s">
        <v>581</v>
      </c>
      <c r="B1102" s="261" t="s">
        <v>170</v>
      </c>
      <c r="C1102" s="149">
        <v>40.0</v>
      </c>
      <c r="D1102" s="66" t="s">
        <v>109</v>
      </c>
      <c r="E1102" s="81">
        <v>3.8</v>
      </c>
      <c r="F1102" s="81">
        <v>0.0</v>
      </c>
      <c r="G1102" s="81">
        <v>0.0</v>
      </c>
      <c r="H1102" s="81">
        <v>0.0</v>
      </c>
      <c r="I1102" s="81">
        <v>38.0</v>
      </c>
      <c r="J1102" s="81">
        <v>0.0</v>
      </c>
      <c r="K1102" s="81">
        <v>8.0</v>
      </c>
      <c r="L1102" s="81">
        <v>0.0</v>
      </c>
    </row>
    <row r="1103" ht="15.75" customHeight="1">
      <c r="A1103" s="55" t="s">
        <v>581</v>
      </c>
      <c r="B1103" s="261" t="s">
        <v>140</v>
      </c>
      <c r="C1103" s="149">
        <v>2.0</v>
      </c>
      <c r="D1103" s="66" t="s">
        <v>109</v>
      </c>
      <c r="E1103" s="81">
        <v>0.24</v>
      </c>
      <c r="F1103" s="81">
        <v>0.0</v>
      </c>
      <c r="G1103" s="81">
        <v>0.0</v>
      </c>
      <c r="H1103" s="81">
        <v>0.0</v>
      </c>
      <c r="I1103" s="81">
        <v>2.0</v>
      </c>
      <c r="J1103" s="81">
        <v>60.0</v>
      </c>
      <c r="K1103" s="81">
        <v>0.0</v>
      </c>
      <c r="L1103" s="81">
        <v>0.0</v>
      </c>
    </row>
    <row r="1104" ht="15.75" customHeight="1">
      <c r="A1104" s="55" t="s">
        <v>581</v>
      </c>
      <c r="B1104" s="261" t="s">
        <v>139</v>
      </c>
      <c r="C1104" s="149">
        <v>4.0</v>
      </c>
      <c r="D1104" s="66" t="s">
        <v>109</v>
      </c>
      <c r="E1104" s="81">
        <v>0.8</v>
      </c>
      <c r="F1104" s="81">
        <v>0.0</v>
      </c>
      <c r="G1104" s="81">
        <v>0.0</v>
      </c>
      <c r="H1104" s="81">
        <v>0.0</v>
      </c>
      <c r="I1104" s="81">
        <v>4.0</v>
      </c>
      <c r="J1104" s="81">
        <v>0.0</v>
      </c>
      <c r="K1104" s="81">
        <v>0.0</v>
      </c>
      <c r="L1104" s="81">
        <v>0.0</v>
      </c>
    </row>
    <row r="1105" ht="15.75" customHeight="1">
      <c r="A1105" s="55" t="s">
        <v>581</v>
      </c>
      <c r="B1105" s="261" t="s">
        <v>162</v>
      </c>
      <c r="C1105" s="149">
        <v>20.0</v>
      </c>
      <c r="D1105" s="66" t="s">
        <v>109</v>
      </c>
      <c r="E1105" s="81">
        <v>0.26</v>
      </c>
      <c r="F1105" s="81">
        <v>0.4</v>
      </c>
      <c r="G1105" s="81">
        <v>0.0</v>
      </c>
      <c r="H1105" s="81">
        <v>0.0</v>
      </c>
      <c r="I1105" s="81">
        <v>1.2</v>
      </c>
      <c r="J1105" s="81">
        <v>0.6</v>
      </c>
      <c r="K1105" s="81">
        <v>0.64</v>
      </c>
      <c r="L1105" s="81">
        <v>0.0</v>
      </c>
    </row>
    <row r="1106" ht="15.75" customHeight="1">
      <c r="A1106" s="55" t="s">
        <v>582</v>
      </c>
      <c r="B1106" s="261" t="s">
        <v>58</v>
      </c>
      <c r="C1106" s="149">
        <v>350.0</v>
      </c>
      <c r="D1106" s="66" t="s">
        <v>109</v>
      </c>
      <c r="E1106" s="81">
        <v>1.6099999999999999</v>
      </c>
      <c r="F1106" s="81">
        <v>0.0</v>
      </c>
      <c r="G1106" s="81">
        <v>12.250000000000002</v>
      </c>
      <c r="H1106" s="81">
        <v>31.5</v>
      </c>
      <c r="I1106" s="81">
        <v>0.0</v>
      </c>
      <c r="J1106" s="81">
        <v>2.73</v>
      </c>
      <c r="K1106" s="81">
        <v>14.0</v>
      </c>
      <c r="L1106" s="81">
        <v>12.250000000000002</v>
      </c>
    </row>
    <row r="1107" ht="15.75" customHeight="1">
      <c r="A1107" s="55" t="s">
        <v>582</v>
      </c>
      <c r="B1107" s="261" t="s">
        <v>99</v>
      </c>
      <c r="C1107" s="149">
        <v>350.0</v>
      </c>
      <c r="D1107" s="66" t="s">
        <v>109</v>
      </c>
      <c r="E1107" s="81">
        <v>4.375</v>
      </c>
      <c r="F1107" s="81">
        <v>0.0</v>
      </c>
      <c r="G1107" s="81">
        <v>59.50000000000001</v>
      </c>
      <c r="H1107" s="81">
        <v>24.500000000000004</v>
      </c>
      <c r="I1107" s="81">
        <v>0.0</v>
      </c>
      <c r="J1107" s="81">
        <v>1.8900000000000001</v>
      </c>
      <c r="K1107" s="81">
        <v>10.5</v>
      </c>
      <c r="L1107" s="81">
        <v>8.4</v>
      </c>
    </row>
    <row r="1108" ht="15.75" customHeight="1">
      <c r="A1108" s="55" t="s">
        <v>582</v>
      </c>
      <c r="B1108" s="261" t="s">
        <v>346</v>
      </c>
      <c r="C1108" s="149">
        <v>110.0</v>
      </c>
      <c r="D1108" s="66" t="s">
        <v>109</v>
      </c>
      <c r="E1108" s="81">
        <v>2.75</v>
      </c>
      <c r="F1108" s="81">
        <v>110.0</v>
      </c>
      <c r="G1108" s="81">
        <v>0.0</v>
      </c>
      <c r="H1108" s="81">
        <v>0.0</v>
      </c>
      <c r="I1108" s="81">
        <v>0.0</v>
      </c>
      <c r="J1108" s="81">
        <v>77.0</v>
      </c>
      <c r="K1108" s="81">
        <v>110.0</v>
      </c>
      <c r="L1108" s="81">
        <v>0.0</v>
      </c>
    </row>
    <row r="1109" ht="15.75" customHeight="1">
      <c r="A1109" s="55" t="s">
        <v>582</v>
      </c>
      <c r="B1109" s="261" t="s">
        <v>131</v>
      </c>
      <c r="C1109" s="149">
        <v>25.0</v>
      </c>
      <c r="D1109" s="66" t="s">
        <v>109</v>
      </c>
      <c r="E1109" s="81">
        <v>0.75</v>
      </c>
      <c r="F1109" s="81">
        <v>25.0</v>
      </c>
      <c r="G1109" s="81">
        <v>0.0</v>
      </c>
      <c r="H1109" s="81">
        <v>0.0</v>
      </c>
      <c r="I1109" s="81">
        <v>0.0</v>
      </c>
      <c r="J1109" s="81">
        <v>17.5</v>
      </c>
      <c r="K1109" s="81">
        <v>70.0</v>
      </c>
      <c r="L1109" s="81">
        <v>0.0</v>
      </c>
    </row>
    <row r="1110" ht="15.75" customHeight="1">
      <c r="A1110" s="55" t="s">
        <v>582</v>
      </c>
      <c r="B1110" s="261" t="s">
        <v>139</v>
      </c>
      <c r="C1110" s="149">
        <v>4.0</v>
      </c>
      <c r="D1110" s="66" t="s">
        <v>109</v>
      </c>
      <c r="E1110" s="81">
        <v>0.8</v>
      </c>
      <c r="F1110" s="81">
        <v>0.0</v>
      </c>
      <c r="G1110" s="81">
        <v>0.0</v>
      </c>
      <c r="H1110" s="81">
        <v>0.0</v>
      </c>
      <c r="I1110" s="81">
        <v>4.0</v>
      </c>
      <c r="J1110" s="81">
        <v>0.0</v>
      </c>
      <c r="K1110" s="81">
        <v>0.0</v>
      </c>
      <c r="L1110" s="81">
        <v>0.0</v>
      </c>
    </row>
    <row r="1111" ht="15.75" customHeight="1">
      <c r="A1111" s="55" t="s">
        <v>582</v>
      </c>
      <c r="B1111" s="261" t="s">
        <v>135</v>
      </c>
      <c r="C1111" s="149">
        <v>40.0</v>
      </c>
      <c r="D1111" s="66" t="s">
        <v>109</v>
      </c>
      <c r="E1111" s="81">
        <v>2.16</v>
      </c>
      <c r="F1111" s="81">
        <v>0.0</v>
      </c>
      <c r="G1111" s="81">
        <v>0.0</v>
      </c>
      <c r="H1111" s="81">
        <v>38.8</v>
      </c>
      <c r="I1111" s="81">
        <v>0.0</v>
      </c>
      <c r="J1111" s="81">
        <v>3.2</v>
      </c>
      <c r="K1111" s="81">
        <v>20.0</v>
      </c>
      <c r="L1111" s="81">
        <v>14.399999999999999</v>
      </c>
    </row>
    <row r="1112" ht="15.75" customHeight="1">
      <c r="A1112" s="55" t="s">
        <v>582</v>
      </c>
      <c r="B1112" s="261" t="s">
        <v>141</v>
      </c>
      <c r="C1112" s="149">
        <v>1.0</v>
      </c>
      <c r="D1112" s="66" t="s">
        <v>109</v>
      </c>
      <c r="E1112" s="81">
        <v>0.0035</v>
      </c>
      <c r="F1112" s="81">
        <v>0.0</v>
      </c>
      <c r="G1112" s="81">
        <v>0.0</v>
      </c>
      <c r="H1112" s="81">
        <v>0.0</v>
      </c>
      <c r="I1112" s="81">
        <v>1.0</v>
      </c>
      <c r="J1112" s="81">
        <v>0.0</v>
      </c>
      <c r="K1112" s="81">
        <v>3.0</v>
      </c>
      <c r="L1112" s="81">
        <v>0.0</v>
      </c>
    </row>
    <row r="1113" ht="15.75" customHeight="1">
      <c r="A1113" s="55" t="s">
        <v>583</v>
      </c>
      <c r="B1113" s="261" t="s">
        <v>58</v>
      </c>
      <c r="C1113" s="149">
        <v>350.0</v>
      </c>
      <c r="D1113" s="66" t="s">
        <v>109</v>
      </c>
      <c r="E1113" s="81">
        <v>1.6099999999999999</v>
      </c>
      <c r="F1113" s="81">
        <v>0.0</v>
      </c>
      <c r="G1113" s="81">
        <v>12.250000000000002</v>
      </c>
      <c r="H1113" s="81">
        <v>31.5</v>
      </c>
      <c r="I1113" s="81">
        <v>0.0</v>
      </c>
      <c r="J1113" s="81">
        <v>2.73</v>
      </c>
      <c r="K1113" s="81">
        <v>14.0</v>
      </c>
      <c r="L1113" s="81">
        <v>12.250000000000002</v>
      </c>
    </row>
    <row r="1114" ht="15.75" customHeight="1">
      <c r="A1114" s="55" t="s">
        <v>583</v>
      </c>
      <c r="B1114" s="261" t="s">
        <v>99</v>
      </c>
      <c r="C1114" s="149">
        <v>350.0</v>
      </c>
      <c r="D1114" s="66" t="s">
        <v>109</v>
      </c>
      <c r="E1114" s="81">
        <v>4.375</v>
      </c>
      <c r="F1114" s="81">
        <v>0.0</v>
      </c>
      <c r="G1114" s="81">
        <v>59.50000000000001</v>
      </c>
      <c r="H1114" s="81">
        <v>24.500000000000004</v>
      </c>
      <c r="I1114" s="81">
        <v>0.0</v>
      </c>
      <c r="J1114" s="81">
        <v>1.8900000000000001</v>
      </c>
      <c r="K1114" s="81">
        <v>10.5</v>
      </c>
      <c r="L1114" s="81">
        <v>8.4</v>
      </c>
    </row>
    <row r="1115" ht="15.75" customHeight="1">
      <c r="A1115" s="55" t="s">
        <v>583</v>
      </c>
      <c r="B1115" s="261" t="s">
        <v>113</v>
      </c>
      <c r="C1115" s="149">
        <v>100.0</v>
      </c>
      <c r="D1115" s="66" t="s">
        <v>109</v>
      </c>
      <c r="E1115" s="81">
        <v>3.8</v>
      </c>
      <c r="F1115" s="81">
        <v>0.0</v>
      </c>
      <c r="G1115" s="81">
        <v>0.0</v>
      </c>
      <c r="H1115" s="81">
        <v>0.0</v>
      </c>
      <c r="I1115" s="81">
        <v>95.0</v>
      </c>
      <c r="J1115" s="81">
        <v>8.0</v>
      </c>
      <c r="K1115" s="81">
        <v>60.0</v>
      </c>
      <c r="L1115" s="81">
        <v>0.0</v>
      </c>
    </row>
    <row r="1116" ht="15.75" customHeight="1">
      <c r="A1116" s="55" t="s">
        <v>583</v>
      </c>
      <c r="B1116" s="261" t="s">
        <v>131</v>
      </c>
      <c r="C1116" s="149">
        <v>45.0</v>
      </c>
      <c r="D1116" s="66" t="s">
        <v>109</v>
      </c>
      <c r="E1116" s="81">
        <v>1.35</v>
      </c>
      <c r="F1116" s="81">
        <v>45.0</v>
      </c>
      <c r="G1116" s="81">
        <v>0.0</v>
      </c>
      <c r="H1116" s="81">
        <v>0.0</v>
      </c>
      <c r="I1116" s="81">
        <v>0.0</v>
      </c>
      <c r="J1116" s="81">
        <v>31.499999999999996</v>
      </c>
      <c r="K1116" s="81">
        <v>125.99999999999999</v>
      </c>
      <c r="L1116" s="81">
        <v>0.0</v>
      </c>
    </row>
    <row r="1117" ht="15.75" customHeight="1">
      <c r="A1117" s="55" t="s">
        <v>583</v>
      </c>
      <c r="B1117" s="261" t="s">
        <v>139</v>
      </c>
      <c r="C1117" s="149">
        <v>4.0</v>
      </c>
      <c r="D1117" s="66" t="s">
        <v>109</v>
      </c>
      <c r="E1117" s="81">
        <v>0.8</v>
      </c>
      <c r="F1117" s="81">
        <v>0.0</v>
      </c>
      <c r="G1117" s="81">
        <v>0.0</v>
      </c>
      <c r="H1117" s="81">
        <v>0.0</v>
      </c>
      <c r="I1117" s="81">
        <v>4.0</v>
      </c>
      <c r="J1117" s="81">
        <v>0.0</v>
      </c>
      <c r="K1117" s="81">
        <v>0.0</v>
      </c>
      <c r="L1117" s="81">
        <v>0.0</v>
      </c>
    </row>
    <row r="1118" ht="15.75" customHeight="1">
      <c r="A1118" s="55" t="s">
        <v>583</v>
      </c>
      <c r="B1118" s="261" t="s">
        <v>135</v>
      </c>
      <c r="C1118" s="149">
        <v>40.0</v>
      </c>
      <c r="D1118" s="66" t="s">
        <v>109</v>
      </c>
      <c r="E1118" s="81">
        <v>2.16</v>
      </c>
      <c r="F1118" s="81">
        <v>0.0</v>
      </c>
      <c r="G1118" s="81">
        <v>0.0</v>
      </c>
      <c r="H1118" s="81">
        <v>38.8</v>
      </c>
      <c r="I1118" s="81">
        <v>0.0</v>
      </c>
      <c r="J1118" s="81">
        <v>3.2</v>
      </c>
      <c r="K1118" s="81">
        <v>20.0</v>
      </c>
      <c r="L1118" s="81">
        <v>14.399999999999999</v>
      </c>
    </row>
    <row r="1119" ht="15.75" customHeight="1">
      <c r="A1119" s="55" t="s">
        <v>583</v>
      </c>
      <c r="B1119" s="261" t="s">
        <v>140</v>
      </c>
      <c r="C1119" s="149">
        <v>2.0</v>
      </c>
      <c r="D1119" s="66" t="s">
        <v>109</v>
      </c>
      <c r="E1119" s="81">
        <v>0.24</v>
      </c>
      <c r="F1119" s="81">
        <v>0.0</v>
      </c>
      <c r="G1119" s="81">
        <v>0.0</v>
      </c>
      <c r="H1119" s="81">
        <v>0.0</v>
      </c>
      <c r="I1119" s="81">
        <v>2.0</v>
      </c>
      <c r="J1119" s="81">
        <v>60.0</v>
      </c>
      <c r="K1119" s="81">
        <v>0.0</v>
      </c>
      <c r="L1119" s="81">
        <v>0.0</v>
      </c>
    </row>
    <row r="1120" ht="15.75" customHeight="1">
      <c r="A1120" s="55" t="s">
        <v>583</v>
      </c>
      <c r="B1120" s="261" t="s">
        <v>141</v>
      </c>
      <c r="C1120" s="149">
        <v>1.0</v>
      </c>
      <c r="D1120" s="66" t="s">
        <v>109</v>
      </c>
      <c r="E1120" s="81">
        <v>0.0035</v>
      </c>
      <c r="F1120" s="81">
        <v>0.0</v>
      </c>
      <c r="G1120" s="81">
        <v>0.0</v>
      </c>
      <c r="H1120" s="81">
        <v>0.0</v>
      </c>
      <c r="I1120" s="81">
        <v>1.0</v>
      </c>
      <c r="J1120" s="81">
        <v>0.0</v>
      </c>
      <c r="K1120" s="81">
        <v>3.0</v>
      </c>
      <c r="L1120" s="81">
        <v>0.0</v>
      </c>
    </row>
    <row r="1121" ht="15.75" customHeight="1">
      <c r="A1121" s="55" t="s">
        <v>584</v>
      </c>
      <c r="B1121" s="261" t="s">
        <v>58</v>
      </c>
      <c r="C1121" s="149">
        <v>430.0</v>
      </c>
      <c r="D1121" s="66" t="s">
        <v>109</v>
      </c>
      <c r="E1121" s="81">
        <v>1.9779999999999998</v>
      </c>
      <c r="F1121" s="81">
        <v>0.0</v>
      </c>
      <c r="G1121" s="81">
        <v>15.05</v>
      </c>
      <c r="H1121" s="81">
        <v>38.699999999999996</v>
      </c>
      <c r="I1121" s="81">
        <v>0.0</v>
      </c>
      <c r="J1121" s="81">
        <v>3.3539999999999996</v>
      </c>
      <c r="K1121" s="81">
        <v>17.2</v>
      </c>
      <c r="L1121" s="81">
        <v>15.05</v>
      </c>
    </row>
    <row r="1122" ht="15.75" customHeight="1">
      <c r="A1122" s="55" t="s">
        <v>584</v>
      </c>
      <c r="B1122" s="261" t="s">
        <v>99</v>
      </c>
      <c r="C1122" s="149">
        <v>200.0</v>
      </c>
      <c r="D1122" s="66" t="s">
        <v>109</v>
      </c>
      <c r="E1122" s="81">
        <v>2.5</v>
      </c>
      <c r="F1122" s="81">
        <v>0.0</v>
      </c>
      <c r="G1122" s="81">
        <v>34.0</v>
      </c>
      <c r="H1122" s="81">
        <v>14.000000000000002</v>
      </c>
      <c r="I1122" s="81">
        <v>0.0</v>
      </c>
      <c r="J1122" s="81">
        <v>1.08</v>
      </c>
      <c r="K1122" s="81">
        <v>6.0</v>
      </c>
      <c r="L1122" s="81">
        <v>4.8</v>
      </c>
    </row>
    <row r="1123" ht="15.75" customHeight="1">
      <c r="A1123" s="55" t="s">
        <v>584</v>
      </c>
      <c r="B1123" s="261" t="s">
        <v>14</v>
      </c>
      <c r="C1123" s="149">
        <v>75.0</v>
      </c>
      <c r="D1123" s="66" t="s">
        <v>109</v>
      </c>
      <c r="E1123" s="81">
        <v>0.0</v>
      </c>
      <c r="F1123" s="81">
        <v>0.0</v>
      </c>
      <c r="G1123" s="81">
        <v>0.0</v>
      </c>
      <c r="H1123" s="81">
        <v>0.0</v>
      </c>
      <c r="I1123" s="81">
        <v>0.0</v>
      </c>
      <c r="J1123" s="81">
        <v>0.0</v>
      </c>
      <c r="K1123" s="81">
        <v>0.0</v>
      </c>
      <c r="L1123" s="81">
        <v>0.0</v>
      </c>
    </row>
    <row r="1124" ht="15.75" customHeight="1">
      <c r="A1124" s="55" t="s">
        <v>584</v>
      </c>
      <c r="B1124" s="261" t="s">
        <v>346</v>
      </c>
      <c r="C1124" s="149">
        <v>110.0</v>
      </c>
      <c r="D1124" s="66" t="s">
        <v>109</v>
      </c>
      <c r="E1124" s="81">
        <v>2.75</v>
      </c>
      <c r="F1124" s="81">
        <v>110.0</v>
      </c>
      <c r="G1124" s="81">
        <v>0.0</v>
      </c>
      <c r="H1124" s="81">
        <v>0.0</v>
      </c>
      <c r="I1124" s="81">
        <v>0.0</v>
      </c>
      <c r="J1124" s="81">
        <v>77.0</v>
      </c>
      <c r="K1124" s="81">
        <v>110.0</v>
      </c>
      <c r="L1124" s="81">
        <v>0.0</v>
      </c>
    </row>
    <row r="1125" ht="15.75" customHeight="1">
      <c r="A1125" s="55" t="s">
        <v>584</v>
      </c>
      <c r="B1125" s="261" t="s">
        <v>131</v>
      </c>
      <c r="C1125" s="149">
        <v>35.0</v>
      </c>
      <c r="D1125" s="66" t="s">
        <v>109</v>
      </c>
      <c r="E1125" s="81">
        <v>1.05</v>
      </c>
      <c r="F1125" s="81">
        <v>35.0</v>
      </c>
      <c r="G1125" s="81">
        <v>0.0</v>
      </c>
      <c r="H1125" s="81">
        <v>0.0</v>
      </c>
      <c r="I1125" s="81">
        <v>0.0</v>
      </c>
      <c r="J1125" s="81">
        <v>24.5</v>
      </c>
      <c r="K1125" s="81">
        <v>98.0</v>
      </c>
      <c r="L1125" s="81">
        <v>0.0</v>
      </c>
    </row>
    <row r="1126" ht="15.75" customHeight="1">
      <c r="A1126" s="55" t="s">
        <v>584</v>
      </c>
      <c r="B1126" s="261" t="s">
        <v>111</v>
      </c>
      <c r="C1126" s="149">
        <v>45.0</v>
      </c>
      <c r="D1126" s="66" t="s">
        <v>109</v>
      </c>
      <c r="E1126" s="81">
        <v>1.89</v>
      </c>
      <c r="F1126" s="81">
        <v>0.0</v>
      </c>
      <c r="G1126" s="81">
        <v>4.95</v>
      </c>
      <c r="H1126" s="81">
        <v>0.0</v>
      </c>
      <c r="I1126" s="81">
        <v>37.8</v>
      </c>
      <c r="J1126" s="81">
        <v>0.0</v>
      </c>
      <c r="K1126" s="81">
        <v>0.0</v>
      </c>
      <c r="L1126" s="81">
        <v>8.1</v>
      </c>
    </row>
    <row r="1127" ht="15.75" customHeight="1">
      <c r="A1127" s="55" t="s">
        <v>584</v>
      </c>
      <c r="B1127" s="261" t="s">
        <v>158</v>
      </c>
      <c r="C1127" s="149">
        <v>45.0</v>
      </c>
      <c r="D1127" s="66" t="s">
        <v>109</v>
      </c>
      <c r="E1127" s="81">
        <v>1.125</v>
      </c>
      <c r="F1127" s="81">
        <v>0.0</v>
      </c>
      <c r="G1127" s="81">
        <v>14.4</v>
      </c>
      <c r="H1127" s="81">
        <v>0.0</v>
      </c>
      <c r="I1127" s="81">
        <v>8.1</v>
      </c>
      <c r="J1127" s="81">
        <v>0.0</v>
      </c>
      <c r="K1127" s="81">
        <v>0.0</v>
      </c>
      <c r="L1127" s="81">
        <v>7.2</v>
      </c>
    </row>
    <row r="1128" ht="15.75" customHeight="1">
      <c r="A1128" s="55" t="s">
        <v>584</v>
      </c>
      <c r="B1128" s="261" t="s">
        <v>135</v>
      </c>
      <c r="C1128" s="149">
        <v>20.0</v>
      </c>
      <c r="D1128" s="66" t="s">
        <v>109</v>
      </c>
      <c r="E1128" s="81">
        <v>1.08</v>
      </c>
      <c r="F1128" s="81">
        <v>0.0</v>
      </c>
      <c r="G1128" s="81">
        <v>0.0</v>
      </c>
      <c r="H1128" s="81">
        <v>19.4</v>
      </c>
      <c r="I1128" s="81">
        <v>0.0</v>
      </c>
      <c r="J1128" s="81">
        <v>1.6</v>
      </c>
      <c r="K1128" s="81">
        <v>10.0</v>
      </c>
      <c r="L1128" s="81">
        <v>7.199999999999999</v>
      </c>
    </row>
    <row r="1129" ht="15.75" customHeight="1">
      <c r="A1129" s="55" t="s">
        <v>584</v>
      </c>
      <c r="B1129" s="261" t="s">
        <v>139</v>
      </c>
      <c r="C1129" s="149">
        <v>3.0</v>
      </c>
      <c r="D1129" s="66" t="s">
        <v>109</v>
      </c>
      <c r="E1129" s="81">
        <v>0.6</v>
      </c>
      <c r="F1129" s="81">
        <v>0.0</v>
      </c>
      <c r="G1129" s="81">
        <v>0.0</v>
      </c>
      <c r="H1129" s="81">
        <v>0.0</v>
      </c>
      <c r="I1129" s="81">
        <v>3.0</v>
      </c>
      <c r="J1129" s="81">
        <v>0.0</v>
      </c>
      <c r="K1129" s="81">
        <v>0.0</v>
      </c>
      <c r="L1129" s="81">
        <v>0.0</v>
      </c>
    </row>
    <row r="1130" ht="15.75" customHeight="1">
      <c r="A1130" s="55" t="s">
        <v>584</v>
      </c>
      <c r="B1130" s="261" t="s">
        <v>141</v>
      </c>
      <c r="C1130" s="149">
        <v>1.0</v>
      </c>
      <c r="D1130" s="66" t="s">
        <v>109</v>
      </c>
      <c r="E1130" s="81">
        <v>0.0035</v>
      </c>
      <c r="F1130" s="81">
        <v>0.0</v>
      </c>
      <c r="G1130" s="81">
        <v>0.0</v>
      </c>
      <c r="H1130" s="81">
        <v>0.0</v>
      </c>
      <c r="I1130" s="81">
        <v>1.0</v>
      </c>
      <c r="J1130" s="81">
        <v>0.0</v>
      </c>
      <c r="K1130" s="81">
        <v>3.0</v>
      </c>
      <c r="L1130" s="81">
        <v>0.0</v>
      </c>
    </row>
    <row r="1131" ht="15.75" customHeight="1">
      <c r="A1131" s="55" t="s">
        <v>585</v>
      </c>
      <c r="B1131" s="261" t="s">
        <v>58</v>
      </c>
      <c r="C1131" s="149">
        <v>430.0</v>
      </c>
      <c r="D1131" s="66" t="s">
        <v>109</v>
      </c>
      <c r="E1131" s="81">
        <v>1.9779999999999998</v>
      </c>
      <c r="F1131" s="81">
        <v>0.0</v>
      </c>
      <c r="G1131" s="81">
        <v>15.05</v>
      </c>
      <c r="H1131" s="81">
        <v>38.699999999999996</v>
      </c>
      <c r="I1131" s="81">
        <v>0.0</v>
      </c>
      <c r="J1131" s="81">
        <v>3.3539999999999996</v>
      </c>
      <c r="K1131" s="81">
        <v>17.2</v>
      </c>
      <c r="L1131" s="81">
        <v>15.05</v>
      </c>
    </row>
    <row r="1132" ht="15.75" customHeight="1">
      <c r="A1132" s="55" t="s">
        <v>585</v>
      </c>
      <c r="B1132" s="261" t="s">
        <v>99</v>
      </c>
      <c r="C1132" s="149">
        <v>200.0</v>
      </c>
      <c r="D1132" s="66" t="s">
        <v>109</v>
      </c>
      <c r="E1132" s="81">
        <v>2.5</v>
      </c>
      <c r="F1132" s="81">
        <v>0.0</v>
      </c>
      <c r="G1132" s="81">
        <v>34.0</v>
      </c>
      <c r="H1132" s="81">
        <v>14.000000000000002</v>
      </c>
      <c r="I1132" s="81">
        <v>0.0</v>
      </c>
      <c r="J1132" s="81">
        <v>1.08</v>
      </c>
      <c r="K1132" s="81">
        <v>6.0</v>
      </c>
      <c r="L1132" s="81">
        <v>4.8</v>
      </c>
    </row>
    <row r="1133" ht="15.75" customHeight="1">
      <c r="A1133" s="55" t="s">
        <v>585</v>
      </c>
      <c r="B1133" s="261" t="s">
        <v>14</v>
      </c>
      <c r="C1133" s="149">
        <v>75.0</v>
      </c>
      <c r="D1133" s="66" t="s">
        <v>109</v>
      </c>
      <c r="E1133" s="81">
        <v>0.0</v>
      </c>
      <c r="F1133" s="81">
        <v>0.0</v>
      </c>
      <c r="G1133" s="81">
        <v>0.0</v>
      </c>
      <c r="H1133" s="81">
        <v>0.0</v>
      </c>
      <c r="I1133" s="81">
        <v>0.0</v>
      </c>
      <c r="J1133" s="81">
        <v>0.0</v>
      </c>
      <c r="K1133" s="81">
        <v>0.0</v>
      </c>
      <c r="L1133" s="81">
        <v>0.0</v>
      </c>
    </row>
    <row r="1134" ht="15.75" customHeight="1">
      <c r="A1134" s="55" t="s">
        <v>585</v>
      </c>
      <c r="B1134" s="261" t="s">
        <v>113</v>
      </c>
      <c r="C1134" s="149">
        <v>90.0</v>
      </c>
      <c r="D1134" s="66" t="s">
        <v>109</v>
      </c>
      <c r="E1134" s="81">
        <v>3.42</v>
      </c>
      <c r="F1134" s="81">
        <v>0.0</v>
      </c>
      <c r="G1134" s="81">
        <v>0.0</v>
      </c>
      <c r="H1134" s="81">
        <v>0.0</v>
      </c>
      <c r="I1134" s="81">
        <v>85.5</v>
      </c>
      <c r="J1134" s="81">
        <v>7.2</v>
      </c>
      <c r="K1134" s="81">
        <v>54.0</v>
      </c>
      <c r="L1134" s="81">
        <v>0.0</v>
      </c>
    </row>
    <row r="1135" ht="15.75" customHeight="1">
      <c r="A1135" s="55" t="s">
        <v>585</v>
      </c>
      <c r="B1135" s="261" t="s">
        <v>131</v>
      </c>
      <c r="C1135" s="149">
        <v>55.0</v>
      </c>
      <c r="D1135" s="66" t="s">
        <v>109</v>
      </c>
      <c r="E1135" s="81">
        <v>1.65</v>
      </c>
      <c r="F1135" s="81">
        <v>55.0</v>
      </c>
      <c r="G1135" s="81">
        <v>0.0</v>
      </c>
      <c r="H1135" s="81">
        <v>0.0</v>
      </c>
      <c r="I1135" s="81">
        <v>0.0</v>
      </c>
      <c r="J1135" s="81">
        <v>38.5</v>
      </c>
      <c r="K1135" s="81">
        <v>154.0</v>
      </c>
      <c r="L1135" s="81">
        <v>0.0</v>
      </c>
    </row>
    <row r="1136" ht="15.75" customHeight="1">
      <c r="A1136" s="55" t="s">
        <v>585</v>
      </c>
      <c r="B1136" s="261" t="s">
        <v>111</v>
      </c>
      <c r="C1136" s="149">
        <v>45.0</v>
      </c>
      <c r="D1136" s="66" t="s">
        <v>109</v>
      </c>
      <c r="E1136" s="81">
        <v>1.89</v>
      </c>
      <c r="F1136" s="81">
        <v>0.0</v>
      </c>
      <c r="G1136" s="81">
        <v>4.95</v>
      </c>
      <c r="H1136" s="81">
        <v>0.0</v>
      </c>
      <c r="I1136" s="81">
        <v>37.8</v>
      </c>
      <c r="J1136" s="81">
        <v>0.0</v>
      </c>
      <c r="K1136" s="81">
        <v>0.0</v>
      </c>
      <c r="L1136" s="81">
        <v>8.1</v>
      </c>
    </row>
    <row r="1137" ht="15.75" customHeight="1">
      <c r="A1137" s="55" t="s">
        <v>585</v>
      </c>
      <c r="B1137" s="261" t="s">
        <v>158</v>
      </c>
      <c r="C1137" s="149">
        <v>55.0</v>
      </c>
      <c r="D1137" s="66" t="s">
        <v>109</v>
      </c>
      <c r="E1137" s="81">
        <v>1.375</v>
      </c>
      <c r="F1137" s="81">
        <v>0.0</v>
      </c>
      <c r="G1137" s="81">
        <v>17.6</v>
      </c>
      <c r="H1137" s="81">
        <v>0.0</v>
      </c>
      <c r="I1137" s="81">
        <v>9.9</v>
      </c>
      <c r="J1137" s="81">
        <v>0.0</v>
      </c>
      <c r="K1137" s="81">
        <v>0.0</v>
      </c>
      <c r="L1137" s="81">
        <v>8.8</v>
      </c>
    </row>
    <row r="1138" ht="15.75" customHeight="1">
      <c r="A1138" s="55" t="s">
        <v>585</v>
      </c>
      <c r="B1138" s="261" t="s">
        <v>135</v>
      </c>
      <c r="C1138" s="149">
        <v>20.0</v>
      </c>
      <c r="D1138" s="66" t="s">
        <v>109</v>
      </c>
      <c r="E1138" s="81">
        <v>1.08</v>
      </c>
      <c r="F1138" s="81">
        <v>0.0</v>
      </c>
      <c r="G1138" s="81">
        <v>0.0</v>
      </c>
      <c r="H1138" s="81">
        <v>19.4</v>
      </c>
      <c r="I1138" s="81">
        <v>0.0</v>
      </c>
      <c r="J1138" s="81">
        <v>1.6</v>
      </c>
      <c r="K1138" s="81">
        <v>10.0</v>
      </c>
      <c r="L1138" s="81">
        <v>7.199999999999999</v>
      </c>
    </row>
    <row r="1139" ht="15.75" customHeight="1">
      <c r="A1139" s="55" t="s">
        <v>585</v>
      </c>
      <c r="B1139" s="261" t="s">
        <v>139</v>
      </c>
      <c r="C1139" s="149">
        <v>3.0</v>
      </c>
      <c r="D1139" s="66" t="s">
        <v>109</v>
      </c>
      <c r="E1139" s="81">
        <v>0.6</v>
      </c>
      <c r="F1139" s="81">
        <v>0.0</v>
      </c>
      <c r="G1139" s="81">
        <v>0.0</v>
      </c>
      <c r="H1139" s="81">
        <v>0.0</v>
      </c>
      <c r="I1139" s="81">
        <v>3.0</v>
      </c>
      <c r="J1139" s="81">
        <v>0.0</v>
      </c>
      <c r="K1139" s="81">
        <v>0.0</v>
      </c>
      <c r="L1139" s="81">
        <v>0.0</v>
      </c>
    </row>
    <row r="1140" ht="15.75" customHeight="1">
      <c r="A1140" s="55" t="s">
        <v>585</v>
      </c>
      <c r="B1140" s="261" t="s">
        <v>140</v>
      </c>
      <c r="C1140" s="149">
        <v>2.0</v>
      </c>
      <c r="D1140" s="66" t="s">
        <v>109</v>
      </c>
      <c r="E1140" s="81">
        <v>0.24</v>
      </c>
      <c r="F1140" s="81">
        <v>0.0</v>
      </c>
      <c r="G1140" s="81">
        <v>0.0</v>
      </c>
      <c r="H1140" s="81">
        <v>0.0</v>
      </c>
      <c r="I1140" s="81">
        <v>2.0</v>
      </c>
      <c r="J1140" s="81">
        <v>60.0</v>
      </c>
      <c r="K1140" s="81">
        <v>0.0</v>
      </c>
      <c r="L1140" s="81">
        <v>0.0</v>
      </c>
    </row>
    <row r="1141" ht="15.75" customHeight="1">
      <c r="A1141" s="55" t="s">
        <v>585</v>
      </c>
      <c r="B1141" s="261" t="s">
        <v>141</v>
      </c>
      <c r="C1141" s="149">
        <v>1.0</v>
      </c>
      <c r="D1141" s="66" t="s">
        <v>109</v>
      </c>
      <c r="E1141" s="81">
        <v>0.0035</v>
      </c>
      <c r="F1141" s="81">
        <v>0.0</v>
      </c>
      <c r="G1141" s="81">
        <v>0.0</v>
      </c>
      <c r="H1141" s="81">
        <v>0.0</v>
      </c>
      <c r="I1141" s="81">
        <v>1.0</v>
      </c>
      <c r="J1141" s="81">
        <v>0.0</v>
      </c>
      <c r="K1141" s="81">
        <v>3.0</v>
      </c>
      <c r="L1141" s="81">
        <v>0.0</v>
      </c>
    </row>
    <row r="1142" ht="15.75" customHeight="1">
      <c r="A1142" s="55" t="s">
        <v>586</v>
      </c>
      <c r="B1142" s="261" t="s">
        <v>358</v>
      </c>
      <c r="C1142" s="149">
        <v>400.0</v>
      </c>
      <c r="D1142" s="66" t="s">
        <v>109</v>
      </c>
      <c r="E1142" s="81">
        <v>10.0</v>
      </c>
      <c r="F1142" s="81">
        <v>20.0</v>
      </c>
      <c r="G1142" s="81">
        <v>0.0</v>
      </c>
      <c r="H1142" s="81">
        <v>0.0</v>
      </c>
      <c r="I1142" s="81">
        <v>16.0</v>
      </c>
      <c r="J1142" s="81">
        <v>38.4</v>
      </c>
      <c r="K1142" s="81">
        <v>46.400000000000006</v>
      </c>
      <c r="L1142" s="81">
        <v>4.0</v>
      </c>
    </row>
    <row r="1143" ht="15.75" customHeight="1">
      <c r="A1143" s="55" t="s">
        <v>586</v>
      </c>
      <c r="B1143" s="261" t="s">
        <v>58</v>
      </c>
      <c r="C1143" s="149">
        <v>100.0</v>
      </c>
      <c r="D1143" s="66" t="s">
        <v>109</v>
      </c>
      <c r="E1143" s="81">
        <v>0.45999999999999996</v>
      </c>
      <c r="F1143" s="81">
        <v>0.0</v>
      </c>
      <c r="G1143" s="81">
        <v>3.5000000000000004</v>
      </c>
      <c r="H1143" s="81">
        <v>9.0</v>
      </c>
      <c r="I1143" s="81">
        <v>0.0</v>
      </c>
      <c r="J1143" s="81">
        <v>0.7799999999999999</v>
      </c>
      <c r="K1143" s="81">
        <v>4.0</v>
      </c>
      <c r="L1143" s="81">
        <v>3.5000000000000004</v>
      </c>
    </row>
    <row r="1144" ht="15.75" customHeight="1">
      <c r="A1144" s="55" t="s">
        <v>586</v>
      </c>
      <c r="B1144" s="261" t="s">
        <v>99</v>
      </c>
      <c r="C1144" s="149">
        <v>300.0</v>
      </c>
      <c r="D1144" s="66" t="s">
        <v>109</v>
      </c>
      <c r="E1144" s="81">
        <v>3.75</v>
      </c>
      <c r="F1144" s="81">
        <v>0.0</v>
      </c>
      <c r="G1144" s="81">
        <v>51.00000000000001</v>
      </c>
      <c r="H1144" s="81">
        <v>21.000000000000004</v>
      </c>
      <c r="I1144" s="81">
        <v>0.0</v>
      </c>
      <c r="J1144" s="81">
        <v>1.62</v>
      </c>
      <c r="K1144" s="81">
        <v>9.0</v>
      </c>
      <c r="L1144" s="81">
        <v>7.2</v>
      </c>
    </row>
    <row r="1145" ht="15.75" customHeight="1">
      <c r="A1145" s="55" t="s">
        <v>586</v>
      </c>
      <c r="B1145" s="261" t="s">
        <v>346</v>
      </c>
      <c r="C1145" s="149">
        <v>110.0</v>
      </c>
      <c r="D1145" s="66" t="s">
        <v>109</v>
      </c>
      <c r="E1145" s="81">
        <v>2.75</v>
      </c>
      <c r="F1145" s="81">
        <v>110.0</v>
      </c>
      <c r="G1145" s="81">
        <v>0.0</v>
      </c>
      <c r="H1145" s="81">
        <v>0.0</v>
      </c>
      <c r="I1145" s="81">
        <v>0.0</v>
      </c>
      <c r="J1145" s="81">
        <v>77.0</v>
      </c>
      <c r="K1145" s="81">
        <v>110.0</v>
      </c>
      <c r="L1145" s="81">
        <v>0.0</v>
      </c>
    </row>
    <row r="1146" ht="15.75" customHeight="1">
      <c r="A1146" s="55" t="s">
        <v>586</v>
      </c>
      <c r="B1146" s="261" t="s">
        <v>131</v>
      </c>
      <c r="C1146" s="149">
        <v>45.0</v>
      </c>
      <c r="D1146" s="66" t="s">
        <v>109</v>
      </c>
      <c r="E1146" s="81">
        <v>1.35</v>
      </c>
      <c r="F1146" s="81">
        <v>45.0</v>
      </c>
      <c r="G1146" s="81">
        <v>0.0</v>
      </c>
      <c r="H1146" s="81">
        <v>0.0</v>
      </c>
      <c r="I1146" s="81">
        <v>0.0</v>
      </c>
      <c r="J1146" s="81">
        <v>31.499999999999996</v>
      </c>
      <c r="K1146" s="81">
        <v>125.99999999999999</v>
      </c>
      <c r="L1146" s="81">
        <v>0.0</v>
      </c>
    </row>
    <row r="1147" ht="15.75" customHeight="1">
      <c r="A1147" s="55" t="s">
        <v>586</v>
      </c>
      <c r="B1147" s="261" t="s">
        <v>135</v>
      </c>
      <c r="C1147" s="149">
        <v>40.0</v>
      </c>
      <c r="D1147" s="66" t="s">
        <v>109</v>
      </c>
      <c r="E1147" s="81">
        <v>2.16</v>
      </c>
      <c r="F1147" s="81">
        <v>0.0</v>
      </c>
      <c r="G1147" s="81">
        <v>0.0</v>
      </c>
      <c r="H1147" s="81">
        <v>38.8</v>
      </c>
      <c r="I1147" s="81">
        <v>0.0</v>
      </c>
      <c r="J1147" s="81">
        <v>3.2</v>
      </c>
      <c r="K1147" s="81">
        <v>20.0</v>
      </c>
      <c r="L1147" s="81">
        <v>14.399999999999999</v>
      </c>
    </row>
    <row r="1148" ht="15.75" customHeight="1">
      <c r="A1148" s="55" t="s">
        <v>586</v>
      </c>
      <c r="B1148" s="261" t="s">
        <v>139</v>
      </c>
      <c r="C1148" s="149">
        <v>3.0</v>
      </c>
      <c r="D1148" s="66" t="s">
        <v>109</v>
      </c>
      <c r="E1148" s="81">
        <v>0.6</v>
      </c>
      <c r="F1148" s="81">
        <v>0.0</v>
      </c>
      <c r="G1148" s="81">
        <v>0.0</v>
      </c>
      <c r="H1148" s="81">
        <v>0.0</v>
      </c>
      <c r="I1148" s="81">
        <v>3.0</v>
      </c>
      <c r="J1148" s="81">
        <v>0.0</v>
      </c>
      <c r="K1148" s="81">
        <v>0.0</v>
      </c>
      <c r="L1148" s="81">
        <v>0.0</v>
      </c>
    </row>
    <row r="1149" ht="15.75" customHeight="1">
      <c r="A1149" s="55" t="s">
        <v>586</v>
      </c>
      <c r="B1149" s="261" t="s">
        <v>141</v>
      </c>
      <c r="C1149" s="149">
        <v>1.0</v>
      </c>
      <c r="D1149" s="66" t="s">
        <v>109</v>
      </c>
      <c r="E1149" s="81">
        <v>0.0035</v>
      </c>
      <c r="F1149" s="81">
        <v>0.0</v>
      </c>
      <c r="G1149" s="81">
        <v>0.0</v>
      </c>
      <c r="H1149" s="81">
        <v>0.0</v>
      </c>
      <c r="I1149" s="81">
        <v>1.0</v>
      </c>
      <c r="J1149" s="81">
        <v>0.0</v>
      </c>
      <c r="K1149" s="81">
        <v>3.0</v>
      </c>
      <c r="L1149" s="81">
        <v>0.0</v>
      </c>
    </row>
    <row r="1150" ht="15.75" customHeight="1">
      <c r="A1150" s="55" t="s">
        <v>587</v>
      </c>
      <c r="B1150" s="261" t="s">
        <v>358</v>
      </c>
      <c r="C1150" s="149">
        <v>400.0</v>
      </c>
      <c r="D1150" s="66" t="s">
        <v>109</v>
      </c>
      <c r="E1150" s="81">
        <v>10.0</v>
      </c>
      <c r="F1150" s="81">
        <v>20.0</v>
      </c>
      <c r="G1150" s="81">
        <v>0.0</v>
      </c>
      <c r="H1150" s="81">
        <v>0.0</v>
      </c>
      <c r="I1150" s="81">
        <v>16.0</v>
      </c>
      <c r="J1150" s="81">
        <v>38.4</v>
      </c>
      <c r="K1150" s="81">
        <v>46.400000000000006</v>
      </c>
      <c r="L1150" s="81">
        <v>4.0</v>
      </c>
    </row>
    <row r="1151" ht="15.75" customHeight="1">
      <c r="A1151" s="55" t="s">
        <v>587</v>
      </c>
      <c r="B1151" s="261" t="s">
        <v>58</v>
      </c>
      <c r="C1151" s="149">
        <v>100.0</v>
      </c>
      <c r="D1151" s="66" t="s">
        <v>109</v>
      </c>
      <c r="E1151" s="81">
        <v>0.45999999999999996</v>
      </c>
      <c r="F1151" s="81">
        <v>0.0</v>
      </c>
      <c r="G1151" s="81">
        <v>3.5000000000000004</v>
      </c>
      <c r="H1151" s="81">
        <v>9.0</v>
      </c>
      <c r="I1151" s="81">
        <v>0.0</v>
      </c>
      <c r="J1151" s="81">
        <v>0.7799999999999999</v>
      </c>
      <c r="K1151" s="81">
        <v>4.0</v>
      </c>
      <c r="L1151" s="81">
        <v>3.5000000000000004</v>
      </c>
    </row>
    <row r="1152" ht="15.75" customHeight="1">
      <c r="A1152" s="55" t="s">
        <v>587</v>
      </c>
      <c r="B1152" s="261" t="s">
        <v>99</v>
      </c>
      <c r="C1152" s="149">
        <v>300.0</v>
      </c>
      <c r="D1152" s="66" t="s">
        <v>109</v>
      </c>
      <c r="E1152" s="81">
        <v>3.75</v>
      </c>
      <c r="F1152" s="81">
        <v>0.0</v>
      </c>
      <c r="G1152" s="81">
        <v>51.00000000000001</v>
      </c>
      <c r="H1152" s="81">
        <v>21.000000000000004</v>
      </c>
      <c r="I1152" s="81">
        <v>0.0</v>
      </c>
      <c r="J1152" s="81">
        <v>1.62</v>
      </c>
      <c r="K1152" s="81">
        <v>9.0</v>
      </c>
      <c r="L1152" s="81">
        <v>7.2</v>
      </c>
    </row>
    <row r="1153" ht="15.75" customHeight="1">
      <c r="A1153" s="55" t="s">
        <v>587</v>
      </c>
      <c r="B1153" s="261" t="s">
        <v>113</v>
      </c>
      <c r="C1153" s="149">
        <v>100.0</v>
      </c>
      <c r="D1153" s="66" t="s">
        <v>109</v>
      </c>
      <c r="E1153" s="81">
        <v>3.8</v>
      </c>
      <c r="F1153" s="81">
        <v>0.0</v>
      </c>
      <c r="G1153" s="81">
        <v>0.0</v>
      </c>
      <c r="H1153" s="81">
        <v>0.0</v>
      </c>
      <c r="I1153" s="81">
        <v>95.0</v>
      </c>
      <c r="J1153" s="81">
        <v>8.0</v>
      </c>
      <c r="K1153" s="81">
        <v>60.0</v>
      </c>
      <c r="L1153" s="81">
        <v>0.0</v>
      </c>
    </row>
    <row r="1154" ht="15.75" customHeight="1">
      <c r="A1154" s="55" t="s">
        <v>587</v>
      </c>
      <c r="B1154" s="261" t="s">
        <v>131</v>
      </c>
      <c r="C1154" s="149">
        <v>55.0</v>
      </c>
      <c r="D1154" s="66" t="s">
        <v>109</v>
      </c>
      <c r="E1154" s="81">
        <v>1.65</v>
      </c>
      <c r="F1154" s="81">
        <v>55.0</v>
      </c>
      <c r="G1154" s="81">
        <v>0.0</v>
      </c>
      <c r="H1154" s="81">
        <v>0.0</v>
      </c>
      <c r="I1154" s="81">
        <v>0.0</v>
      </c>
      <c r="J1154" s="81">
        <v>38.5</v>
      </c>
      <c r="K1154" s="81">
        <v>154.0</v>
      </c>
      <c r="L1154" s="81">
        <v>0.0</v>
      </c>
    </row>
    <row r="1155" ht="15.75" customHeight="1">
      <c r="A1155" s="55" t="s">
        <v>587</v>
      </c>
      <c r="B1155" s="261" t="s">
        <v>135</v>
      </c>
      <c r="C1155" s="149">
        <v>40.0</v>
      </c>
      <c r="D1155" s="66" t="s">
        <v>109</v>
      </c>
      <c r="E1155" s="81">
        <v>2.16</v>
      </c>
      <c r="F1155" s="81">
        <v>0.0</v>
      </c>
      <c r="G1155" s="81">
        <v>0.0</v>
      </c>
      <c r="H1155" s="81">
        <v>38.8</v>
      </c>
      <c r="I1155" s="81">
        <v>0.0</v>
      </c>
      <c r="J1155" s="81">
        <v>3.2</v>
      </c>
      <c r="K1155" s="81">
        <v>20.0</v>
      </c>
      <c r="L1155" s="81">
        <v>14.399999999999999</v>
      </c>
    </row>
    <row r="1156" ht="15.75" customHeight="1">
      <c r="A1156" s="55" t="s">
        <v>587</v>
      </c>
      <c r="B1156" s="261" t="s">
        <v>140</v>
      </c>
      <c r="C1156" s="149">
        <v>2.0</v>
      </c>
      <c r="D1156" s="66" t="s">
        <v>109</v>
      </c>
      <c r="E1156" s="81">
        <v>0.24</v>
      </c>
      <c r="F1156" s="81">
        <v>0.0</v>
      </c>
      <c r="G1156" s="81">
        <v>0.0</v>
      </c>
      <c r="H1156" s="81">
        <v>0.0</v>
      </c>
      <c r="I1156" s="81">
        <v>2.0</v>
      </c>
      <c r="J1156" s="81">
        <v>60.0</v>
      </c>
      <c r="K1156" s="81">
        <v>0.0</v>
      </c>
      <c r="L1156" s="81">
        <v>0.0</v>
      </c>
    </row>
    <row r="1157" ht="15.75" customHeight="1">
      <c r="A1157" s="55" t="s">
        <v>587</v>
      </c>
      <c r="B1157" s="261" t="s">
        <v>139</v>
      </c>
      <c r="C1157" s="149">
        <v>3.0</v>
      </c>
      <c r="D1157" s="66" t="s">
        <v>109</v>
      </c>
      <c r="E1157" s="81">
        <v>0.6</v>
      </c>
      <c r="F1157" s="81">
        <v>0.0</v>
      </c>
      <c r="G1157" s="81">
        <v>0.0</v>
      </c>
      <c r="H1157" s="81">
        <v>0.0</v>
      </c>
      <c r="I1157" s="81">
        <v>3.0</v>
      </c>
      <c r="J1157" s="81">
        <v>0.0</v>
      </c>
      <c r="K1157" s="81">
        <v>0.0</v>
      </c>
      <c r="L1157" s="81">
        <v>0.0</v>
      </c>
    </row>
    <row r="1158" ht="15.75" customHeight="1">
      <c r="A1158" s="55" t="s">
        <v>587</v>
      </c>
      <c r="B1158" s="261" t="s">
        <v>141</v>
      </c>
      <c r="C1158" s="149">
        <v>1.0</v>
      </c>
      <c r="D1158" s="66" t="s">
        <v>109</v>
      </c>
      <c r="E1158" s="81">
        <v>0.0035</v>
      </c>
      <c r="F1158" s="81">
        <v>0.0</v>
      </c>
      <c r="G1158" s="81">
        <v>0.0</v>
      </c>
      <c r="H1158" s="81">
        <v>0.0</v>
      </c>
      <c r="I1158" s="81">
        <v>1.0</v>
      </c>
      <c r="J1158" s="81">
        <v>0.0</v>
      </c>
      <c r="K1158" s="81">
        <v>3.0</v>
      </c>
      <c r="L1158" s="81">
        <v>0.0</v>
      </c>
    </row>
    <row r="1159" ht="15.75" customHeight="1">
      <c r="A1159" s="55" t="s">
        <v>588</v>
      </c>
      <c r="B1159" s="261" t="s">
        <v>58</v>
      </c>
      <c r="C1159" s="149">
        <v>350.0</v>
      </c>
      <c r="D1159" s="66" t="s">
        <v>109</v>
      </c>
      <c r="E1159" s="81">
        <v>1.6099999999999999</v>
      </c>
      <c r="F1159" s="81">
        <v>0.0</v>
      </c>
      <c r="G1159" s="81">
        <v>12.250000000000002</v>
      </c>
      <c r="H1159" s="81">
        <v>31.5</v>
      </c>
      <c r="I1159" s="81">
        <v>0.0</v>
      </c>
      <c r="J1159" s="81">
        <v>2.73</v>
      </c>
      <c r="K1159" s="81">
        <v>14.0</v>
      </c>
      <c r="L1159" s="81">
        <v>12.250000000000002</v>
      </c>
    </row>
    <row r="1160" ht="15.75" customHeight="1">
      <c r="A1160" s="55" t="s">
        <v>588</v>
      </c>
      <c r="B1160" s="261" t="s">
        <v>336</v>
      </c>
      <c r="C1160" s="149">
        <v>350.0</v>
      </c>
      <c r="D1160" s="66" t="s">
        <v>109</v>
      </c>
      <c r="E1160" s="81">
        <v>5.25</v>
      </c>
      <c r="F1160" s="81">
        <v>7.0</v>
      </c>
      <c r="G1160" s="81">
        <v>70.0</v>
      </c>
      <c r="H1160" s="81">
        <v>0.0</v>
      </c>
      <c r="I1160" s="81">
        <v>1.75</v>
      </c>
      <c r="J1160" s="81">
        <v>0.0</v>
      </c>
      <c r="K1160" s="81">
        <v>7.0</v>
      </c>
      <c r="L1160" s="81">
        <v>0.0</v>
      </c>
    </row>
    <row r="1161" ht="15.75" customHeight="1">
      <c r="A1161" s="55" t="s">
        <v>588</v>
      </c>
      <c r="B1161" s="261" t="s">
        <v>346</v>
      </c>
      <c r="C1161" s="149">
        <v>110.0</v>
      </c>
      <c r="D1161" s="66" t="s">
        <v>109</v>
      </c>
      <c r="E1161" s="81">
        <v>2.75</v>
      </c>
      <c r="F1161" s="81">
        <v>110.0</v>
      </c>
      <c r="G1161" s="81">
        <v>0.0</v>
      </c>
      <c r="H1161" s="81">
        <v>0.0</v>
      </c>
      <c r="I1161" s="81">
        <v>0.0</v>
      </c>
      <c r="J1161" s="81">
        <v>77.0</v>
      </c>
      <c r="K1161" s="81">
        <v>110.0</v>
      </c>
      <c r="L1161" s="81">
        <v>0.0</v>
      </c>
    </row>
    <row r="1162" ht="15.75" customHeight="1">
      <c r="A1162" s="55" t="s">
        <v>588</v>
      </c>
      <c r="B1162" s="261" t="s">
        <v>131</v>
      </c>
      <c r="C1162" s="149">
        <v>45.0</v>
      </c>
      <c r="D1162" s="66" t="s">
        <v>109</v>
      </c>
      <c r="E1162" s="81">
        <v>1.35</v>
      </c>
      <c r="F1162" s="81">
        <v>45.0</v>
      </c>
      <c r="G1162" s="81">
        <v>0.0</v>
      </c>
      <c r="H1162" s="81">
        <v>0.0</v>
      </c>
      <c r="I1162" s="81">
        <v>0.0</v>
      </c>
      <c r="J1162" s="81">
        <v>31.499999999999996</v>
      </c>
      <c r="K1162" s="81">
        <v>125.99999999999999</v>
      </c>
      <c r="L1162" s="81">
        <v>0.0</v>
      </c>
    </row>
    <row r="1163" ht="15.75" customHeight="1">
      <c r="A1163" s="55" t="s">
        <v>588</v>
      </c>
      <c r="B1163" s="261" t="s">
        <v>139</v>
      </c>
      <c r="C1163" s="149">
        <v>5.0</v>
      </c>
      <c r="D1163" s="66" t="s">
        <v>109</v>
      </c>
      <c r="E1163" s="81">
        <v>1.0</v>
      </c>
      <c r="F1163" s="81">
        <v>0.0</v>
      </c>
      <c r="G1163" s="81">
        <v>0.0</v>
      </c>
      <c r="H1163" s="81">
        <v>0.0</v>
      </c>
      <c r="I1163" s="81">
        <v>5.0</v>
      </c>
      <c r="J1163" s="81">
        <v>0.0</v>
      </c>
      <c r="K1163" s="81">
        <v>0.0</v>
      </c>
      <c r="L1163" s="81">
        <v>0.0</v>
      </c>
    </row>
    <row r="1164" ht="15.75" customHeight="1">
      <c r="A1164" s="55" t="s">
        <v>588</v>
      </c>
      <c r="B1164" s="261" t="s">
        <v>135</v>
      </c>
      <c r="C1164" s="149">
        <v>40.0</v>
      </c>
      <c r="D1164" s="66" t="s">
        <v>109</v>
      </c>
      <c r="E1164" s="81">
        <v>2.16</v>
      </c>
      <c r="F1164" s="81">
        <v>0.0</v>
      </c>
      <c r="G1164" s="81">
        <v>0.0</v>
      </c>
      <c r="H1164" s="81">
        <v>38.8</v>
      </c>
      <c r="I1164" s="81">
        <v>0.0</v>
      </c>
      <c r="J1164" s="81">
        <v>3.2</v>
      </c>
      <c r="K1164" s="81">
        <v>20.0</v>
      </c>
      <c r="L1164" s="81">
        <v>14.399999999999999</v>
      </c>
    </row>
    <row r="1165" ht="15.75" customHeight="1">
      <c r="A1165" s="55" t="s">
        <v>588</v>
      </c>
      <c r="B1165" s="261" t="s">
        <v>141</v>
      </c>
      <c r="C1165" s="149">
        <v>1.0</v>
      </c>
      <c r="D1165" s="66" t="s">
        <v>109</v>
      </c>
      <c r="E1165" s="81">
        <v>0.0035</v>
      </c>
      <c r="F1165" s="81">
        <v>0.0</v>
      </c>
      <c r="G1165" s="81">
        <v>0.0</v>
      </c>
      <c r="H1165" s="81">
        <v>0.0</v>
      </c>
      <c r="I1165" s="81">
        <v>1.0</v>
      </c>
      <c r="J1165" s="81">
        <v>0.0</v>
      </c>
      <c r="K1165" s="81">
        <v>3.0</v>
      </c>
      <c r="L1165" s="81">
        <v>0.0</v>
      </c>
    </row>
    <row r="1166" ht="15.75" customHeight="1">
      <c r="A1166" s="55" t="s">
        <v>589</v>
      </c>
      <c r="B1166" s="261" t="s">
        <v>58</v>
      </c>
      <c r="C1166" s="149">
        <v>350.0</v>
      </c>
      <c r="D1166" s="66" t="s">
        <v>109</v>
      </c>
      <c r="E1166" s="81">
        <v>1.6099999999999999</v>
      </c>
      <c r="F1166" s="81">
        <v>0.0</v>
      </c>
      <c r="G1166" s="81">
        <v>12.250000000000002</v>
      </c>
      <c r="H1166" s="81">
        <v>31.5</v>
      </c>
      <c r="I1166" s="81">
        <v>0.0</v>
      </c>
      <c r="J1166" s="81">
        <v>2.73</v>
      </c>
      <c r="K1166" s="81">
        <v>14.0</v>
      </c>
      <c r="L1166" s="81">
        <v>12.250000000000002</v>
      </c>
    </row>
    <row r="1167" ht="15.75" customHeight="1">
      <c r="A1167" s="55" t="s">
        <v>589</v>
      </c>
      <c r="B1167" s="261" t="s">
        <v>336</v>
      </c>
      <c r="C1167" s="149">
        <v>350.0</v>
      </c>
      <c r="D1167" s="66" t="s">
        <v>109</v>
      </c>
      <c r="E1167" s="81">
        <v>5.25</v>
      </c>
      <c r="F1167" s="81">
        <v>7.0</v>
      </c>
      <c r="G1167" s="81">
        <v>70.0</v>
      </c>
      <c r="H1167" s="81">
        <v>0.0</v>
      </c>
      <c r="I1167" s="81">
        <v>1.75</v>
      </c>
      <c r="J1167" s="81">
        <v>0.0</v>
      </c>
      <c r="K1167" s="81">
        <v>7.0</v>
      </c>
      <c r="L1167" s="81">
        <v>0.0</v>
      </c>
    </row>
    <row r="1168" ht="15.75" customHeight="1">
      <c r="A1168" s="55" t="s">
        <v>589</v>
      </c>
      <c r="B1168" s="261" t="s">
        <v>113</v>
      </c>
      <c r="C1168" s="149">
        <v>100.0</v>
      </c>
      <c r="D1168" s="66" t="s">
        <v>109</v>
      </c>
      <c r="E1168" s="81">
        <v>3.8</v>
      </c>
      <c r="F1168" s="81">
        <v>0.0</v>
      </c>
      <c r="G1168" s="81">
        <v>0.0</v>
      </c>
      <c r="H1168" s="81">
        <v>0.0</v>
      </c>
      <c r="I1168" s="81">
        <v>95.0</v>
      </c>
      <c r="J1168" s="81">
        <v>8.0</v>
      </c>
      <c r="K1168" s="81">
        <v>60.0</v>
      </c>
      <c r="L1168" s="81">
        <v>0.0</v>
      </c>
    </row>
    <row r="1169" ht="15.75" customHeight="1">
      <c r="A1169" s="55" t="s">
        <v>589</v>
      </c>
      <c r="B1169" s="261" t="s">
        <v>131</v>
      </c>
      <c r="C1169" s="149">
        <v>45.0</v>
      </c>
      <c r="D1169" s="66" t="s">
        <v>109</v>
      </c>
      <c r="E1169" s="81">
        <v>1.35</v>
      </c>
      <c r="F1169" s="81">
        <v>45.0</v>
      </c>
      <c r="G1169" s="81">
        <v>0.0</v>
      </c>
      <c r="H1169" s="81">
        <v>0.0</v>
      </c>
      <c r="I1169" s="81">
        <v>0.0</v>
      </c>
      <c r="J1169" s="81">
        <v>31.499999999999996</v>
      </c>
      <c r="K1169" s="81">
        <v>125.99999999999999</v>
      </c>
      <c r="L1169" s="81">
        <v>0.0</v>
      </c>
    </row>
    <row r="1170" ht="15.75" customHeight="1">
      <c r="A1170" s="55" t="s">
        <v>589</v>
      </c>
      <c r="B1170" s="261" t="s">
        <v>139</v>
      </c>
      <c r="C1170" s="149">
        <v>5.0</v>
      </c>
      <c r="D1170" s="66" t="s">
        <v>109</v>
      </c>
      <c r="E1170" s="81">
        <v>1.0</v>
      </c>
      <c r="F1170" s="81">
        <v>0.0</v>
      </c>
      <c r="G1170" s="81">
        <v>0.0</v>
      </c>
      <c r="H1170" s="81">
        <v>0.0</v>
      </c>
      <c r="I1170" s="81">
        <v>5.0</v>
      </c>
      <c r="J1170" s="81">
        <v>0.0</v>
      </c>
      <c r="K1170" s="81">
        <v>0.0</v>
      </c>
      <c r="L1170" s="81">
        <v>0.0</v>
      </c>
    </row>
    <row r="1171" ht="15.75" customHeight="1">
      <c r="A1171" s="55" t="s">
        <v>589</v>
      </c>
      <c r="B1171" s="261" t="s">
        <v>135</v>
      </c>
      <c r="C1171" s="149">
        <v>40.0</v>
      </c>
      <c r="D1171" s="66" t="s">
        <v>109</v>
      </c>
      <c r="E1171" s="81">
        <v>2.16</v>
      </c>
      <c r="F1171" s="81">
        <v>0.0</v>
      </c>
      <c r="G1171" s="81">
        <v>0.0</v>
      </c>
      <c r="H1171" s="81">
        <v>38.8</v>
      </c>
      <c r="I1171" s="81">
        <v>0.0</v>
      </c>
      <c r="J1171" s="81">
        <v>3.2</v>
      </c>
      <c r="K1171" s="81">
        <v>20.0</v>
      </c>
      <c r="L1171" s="81">
        <v>14.399999999999999</v>
      </c>
    </row>
    <row r="1172" ht="15.75" customHeight="1">
      <c r="A1172" s="55" t="s">
        <v>589</v>
      </c>
      <c r="B1172" s="261" t="s">
        <v>140</v>
      </c>
      <c r="C1172" s="149">
        <v>1.5</v>
      </c>
      <c r="D1172" s="66" t="s">
        <v>109</v>
      </c>
      <c r="E1172" s="81">
        <v>0.18</v>
      </c>
      <c r="F1172" s="81">
        <v>0.0</v>
      </c>
      <c r="G1172" s="81">
        <v>0.0</v>
      </c>
      <c r="H1172" s="81">
        <v>0.0</v>
      </c>
      <c r="I1172" s="81">
        <v>1.5</v>
      </c>
      <c r="J1172" s="81">
        <v>45.0</v>
      </c>
      <c r="K1172" s="81">
        <v>0.0</v>
      </c>
      <c r="L1172" s="81">
        <v>0.0</v>
      </c>
    </row>
    <row r="1173" ht="15.75" customHeight="1">
      <c r="A1173" s="55" t="s">
        <v>589</v>
      </c>
      <c r="B1173" s="261" t="s">
        <v>141</v>
      </c>
      <c r="C1173" s="149">
        <v>1.0</v>
      </c>
      <c r="D1173" s="66" t="s">
        <v>109</v>
      </c>
      <c r="E1173" s="81">
        <v>0.0035</v>
      </c>
      <c r="F1173" s="81">
        <v>0.0</v>
      </c>
      <c r="G1173" s="81">
        <v>0.0</v>
      </c>
      <c r="H1173" s="81">
        <v>0.0</v>
      </c>
      <c r="I1173" s="81">
        <v>1.0</v>
      </c>
      <c r="J1173" s="81">
        <v>0.0</v>
      </c>
      <c r="K1173" s="81">
        <v>3.0</v>
      </c>
      <c r="L1173" s="81">
        <v>0.0</v>
      </c>
    </row>
    <row r="1174" ht="15.75" customHeight="1">
      <c r="A1174" s="55" t="s">
        <v>590</v>
      </c>
      <c r="B1174" s="261" t="s">
        <v>14</v>
      </c>
      <c r="C1174" s="149">
        <v>350.0</v>
      </c>
      <c r="D1174" s="66" t="s">
        <v>109</v>
      </c>
      <c r="E1174" s="81">
        <v>0.0</v>
      </c>
      <c r="F1174" s="81">
        <v>0.0</v>
      </c>
      <c r="G1174" s="81">
        <v>0.0</v>
      </c>
      <c r="H1174" s="81">
        <v>0.0</v>
      </c>
      <c r="I1174" s="81">
        <v>0.0</v>
      </c>
      <c r="J1174" s="81">
        <v>0.0</v>
      </c>
      <c r="K1174" s="81">
        <v>0.0</v>
      </c>
      <c r="L1174" s="81">
        <v>0.0</v>
      </c>
    </row>
    <row r="1175" ht="15.75" customHeight="1">
      <c r="A1175" s="55" t="s">
        <v>590</v>
      </c>
      <c r="B1175" s="261" t="s">
        <v>336</v>
      </c>
      <c r="C1175" s="149">
        <v>350.0</v>
      </c>
      <c r="D1175" s="66" t="s">
        <v>109</v>
      </c>
      <c r="E1175" s="81">
        <v>5.25</v>
      </c>
      <c r="F1175" s="81">
        <v>7.0</v>
      </c>
      <c r="G1175" s="81">
        <v>70.0</v>
      </c>
      <c r="H1175" s="81">
        <v>0.0</v>
      </c>
      <c r="I1175" s="81">
        <v>1.75</v>
      </c>
      <c r="J1175" s="81">
        <v>0.0</v>
      </c>
      <c r="K1175" s="81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 <c r="C1176" s="149">
        <v>15.0</v>
      </c>
      <c r="D1176" s="66" t="s">
        <v>109</v>
      </c>
      <c r="E1176" s="81">
        <v>0.0</v>
      </c>
      <c r="F1176" s="81">
        <v>0.0</v>
      </c>
      <c r="G1176" s="81">
        <v>15.0</v>
      </c>
      <c r="H1176" s="81">
        <v>0.0</v>
      </c>
      <c r="I1176" s="81">
        <v>0.0</v>
      </c>
      <c r="J1176" s="81">
        <v>0.0</v>
      </c>
      <c r="K1176" s="81">
        <v>0.0</v>
      </c>
      <c r="L1176" s="81">
        <v>0.0</v>
      </c>
    </row>
    <row r="1177" ht="15.75" customHeight="1">
      <c r="A1177" s="55" t="s">
        <v>590</v>
      </c>
      <c r="B1177" s="261" t="s">
        <v>346</v>
      </c>
      <c r="C1177" s="149">
        <v>110.0</v>
      </c>
      <c r="D1177" s="66" t="s">
        <v>109</v>
      </c>
      <c r="E1177" s="81">
        <v>2.75</v>
      </c>
      <c r="F1177" s="81">
        <v>110.0</v>
      </c>
      <c r="G1177" s="81">
        <v>0.0</v>
      </c>
      <c r="H1177" s="81">
        <v>0.0</v>
      </c>
      <c r="I1177" s="81">
        <v>0.0</v>
      </c>
      <c r="J1177" s="81">
        <v>77.0</v>
      </c>
      <c r="K1177" s="81">
        <v>110.0</v>
      </c>
      <c r="L1177" s="81">
        <v>0.0</v>
      </c>
    </row>
    <row r="1178" ht="15.75" customHeight="1">
      <c r="A1178" s="55" t="s">
        <v>590</v>
      </c>
      <c r="B1178" s="261" t="s">
        <v>131</v>
      </c>
      <c r="C1178" s="149">
        <v>50.0</v>
      </c>
      <c r="D1178" s="66" t="s">
        <v>109</v>
      </c>
      <c r="E1178" s="81">
        <v>1.5</v>
      </c>
      <c r="F1178" s="81">
        <v>50.0</v>
      </c>
      <c r="G1178" s="81">
        <v>0.0</v>
      </c>
      <c r="H1178" s="81">
        <v>0.0</v>
      </c>
      <c r="I1178" s="81">
        <v>0.0</v>
      </c>
      <c r="J1178" s="81">
        <v>35.0</v>
      </c>
      <c r="K1178" s="81">
        <v>140.0</v>
      </c>
      <c r="L1178" s="81">
        <v>0.0</v>
      </c>
    </row>
    <row r="1179" ht="15.75" customHeight="1">
      <c r="A1179" s="55" t="s">
        <v>590</v>
      </c>
      <c r="B1179" s="261" t="s">
        <v>170</v>
      </c>
      <c r="C1179" s="149">
        <v>15.0</v>
      </c>
      <c r="D1179" s="66" t="s">
        <v>109</v>
      </c>
      <c r="E1179" s="81">
        <v>1.425</v>
      </c>
      <c r="F1179" s="81">
        <v>0.0</v>
      </c>
      <c r="G1179" s="81">
        <v>0.0</v>
      </c>
      <c r="H1179" s="81">
        <v>0.0</v>
      </c>
      <c r="I1179" s="81">
        <v>14.25</v>
      </c>
      <c r="J1179" s="81">
        <v>0.0</v>
      </c>
      <c r="K1179" s="81">
        <v>3.0</v>
      </c>
      <c r="L1179" s="81">
        <v>0.0</v>
      </c>
    </row>
    <row r="1180" ht="15.75" customHeight="1">
      <c r="A1180" s="55" t="s">
        <v>590</v>
      </c>
      <c r="B1180" s="261" t="s">
        <v>139</v>
      </c>
      <c r="C1180" s="149">
        <v>3.0</v>
      </c>
      <c r="D1180" s="66" t="s">
        <v>109</v>
      </c>
      <c r="E1180" s="81">
        <v>0.6</v>
      </c>
      <c r="F1180" s="81">
        <v>0.0</v>
      </c>
      <c r="G1180" s="81">
        <v>0.0</v>
      </c>
      <c r="H1180" s="81">
        <v>0.0</v>
      </c>
      <c r="I1180" s="81">
        <v>3.0</v>
      </c>
      <c r="J1180" s="81">
        <v>0.0</v>
      </c>
      <c r="K1180" s="81">
        <v>0.0</v>
      </c>
      <c r="L1180" s="81">
        <v>0.0</v>
      </c>
    </row>
    <row r="1181" ht="15.75" customHeight="1">
      <c r="A1181" s="55" t="s">
        <v>590</v>
      </c>
      <c r="B1181" s="261" t="s">
        <v>334</v>
      </c>
      <c r="C1181" s="149">
        <v>40.0</v>
      </c>
      <c r="D1181" s="66" t="s">
        <v>109</v>
      </c>
      <c r="E1181" s="81">
        <v>4.8</v>
      </c>
      <c r="F1181" s="81">
        <v>17.6</v>
      </c>
      <c r="G1181" s="81">
        <v>2.8000000000000003</v>
      </c>
      <c r="H1181" s="81">
        <v>0.0</v>
      </c>
      <c r="I1181" s="81">
        <v>17.6</v>
      </c>
      <c r="J1181" s="81">
        <v>0.0</v>
      </c>
      <c r="K1181" s="81">
        <v>1.7599999999999998</v>
      </c>
      <c r="L1181" s="81">
        <v>1.6</v>
      </c>
    </row>
    <row r="1182" ht="15.75" customHeight="1">
      <c r="A1182" s="55" t="s">
        <v>591</v>
      </c>
      <c r="B1182" s="261" t="s">
        <v>14</v>
      </c>
      <c r="C1182" s="149">
        <v>350.0</v>
      </c>
      <c r="D1182" s="66" t="s">
        <v>109</v>
      </c>
      <c r="E1182" s="81">
        <v>0.0</v>
      </c>
      <c r="F1182" s="81">
        <v>0.0</v>
      </c>
      <c r="G1182" s="81">
        <v>0.0</v>
      </c>
      <c r="H1182" s="81">
        <v>0.0</v>
      </c>
      <c r="I1182" s="81">
        <v>0.0</v>
      </c>
      <c r="J1182" s="81">
        <v>0.0</v>
      </c>
      <c r="K1182" s="81">
        <v>0.0</v>
      </c>
      <c r="L1182" s="81">
        <v>0.0</v>
      </c>
    </row>
    <row r="1183" ht="15.75" customHeight="1">
      <c r="A1183" s="55" t="s">
        <v>591</v>
      </c>
      <c r="B1183" s="261" t="s">
        <v>336</v>
      </c>
      <c r="C1183" s="149">
        <v>350.0</v>
      </c>
      <c r="D1183" s="66" t="s">
        <v>109</v>
      </c>
      <c r="E1183" s="81">
        <v>5.25</v>
      </c>
      <c r="F1183" s="81">
        <v>7.0</v>
      </c>
      <c r="G1183" s="81">
        <v>70.0</v>
      </c>
      <c r="H1183" s="81">
        <v>0.0</v>
      </c>
      <c r="I1183" s="81">
        <v>1.75</v>
      </c>
      <c r="J1183" s="81">
        <v>0.0</v>
      </c>
      <c r="K1183" s="81">
        <v>7.0</v>
      </c>
      <c r="L1183" s="81">
        <v>0.0</v>
      </c>
    </row>
    <row r="1184" ht="15.75" customHeight="1">
      <c r="A1184" s="55" t="s">
        <v>591</v>
      </c>
      <c r="B1184" s="261" t="s">
        <v>167</v>
      </c>
      <c r="C1184" s="149">
        <v>15.0</v>
      </c>
      <c r="D1184" s="66" t="s">
        <v>109</v>
      </c>
      <c r="E1184" s="81">
        <v>0.0</v>
      </c>
      <c r="F1184" s="81">
        <v>0.0</v>
      </c>
      <c r="G1184" s="81">
        <v>15.0</v>
      </c>
      <c r="H1184" s="81">
        <v>0.0</v>
      </c>
      <c r="I1184" s="81">
        <v>0.0</v>
      </c>
      <c r="J1184" s="81">
        <v>0.0</v>
      </c>
      <c r="K1184" s="81">
        <v>0.0</v>
      </c>
      <c r="L1184" s="81">
        <v>0.0</v>
      </c>
    </row>
    <row r="1185" ht="15.75" customHeight="1">
      <c r="A1185" s="55" t="s">
        <v>591</v>
      </c>
      <c r="B1185" s="261" t="s">
        <v>113</v>
      </c>
      <c r="C1185" s="149">
        <v>115.0</v>
      </c>
      <c r="D1185" s="66" t="s">
        <v>109</v>
      </c>
      <c r="E1185" s="81">
        <v>4.37</v>
      </c>
      <c r="F1185" s="81">
        <v>0.0</v>
      </c>
      <c r="G1185" s="81">
        <v>0.0</v>
      </c>
      <c r="H1185" s="81">
        <v>0.0</v>
      </c>
      <c r="I1185" s="81">
        <v>109.25</v>
      </c>
      <c r="J1185" s="81">
        <v>9.200000000000001</v>
      </c>
      <c r="K1185" s="81">
        <v>69.0</v>
      </c>
      <c r="L1185" s="81">
        <v>0.0</v>
      </c>
    </row>
    <row r="1186" ht="15.75" customHeight="1">
      <c r="A1186" s="55" t="s">
        <v>591</v>
      </c>
      <c r="B1186" s="261" t="s">
        <v>131</v>
      </c>
      <c r="C1186" s="149">
        <v>50.0</v>
      </c>
      <c r="D1186" s="66" t="s">
        <v>109</v>
      </c>
      <c r="E1186" s="81">
        <v>1.5</v>
      </c>
      <c r="F1186" s="81">
        <v>50.0</v>
      </c>
      <c r="G1186" s="81">
        <v>0.0</v>
      </c>
      <c r="H1186" s="81">
        <v>0.0</v>
      </c>
      <c r="I1186" s="81">
        <v>0.0</v>
      </c>
      <c r="J1186" s="81">
        <v>35.0</v>
      </c>
      <c r="K1186" s="81">
        <v>140.0</v>
      </c>
      <c r="L1186" s="81">
        <v>0.0</v>
      </c>
    </row>
    <row r="1187" ht="15.75" customHeight="1">
      <c r="A1187" s="55" t="s">
        <v>591</v>
      </c>
      <c r="B1187" s="261" t="s">
        <v>139</v>
      </c>
      <c r="C1187" s="149">
        <v>3.0</v>
      </c>
      <c r="D1187" s="66" t="s">
        <v>109</v>
      </c>
      <c r="E1187" s="81">
        <v>0.6</v>
      </c>
      <c r="F1187" s="81">
        <v>0.0</v>
      </c>
      <c r="G1187" s="81">
        <v>0.0</v>
      </c>
      <c r="H1187" s="81">
        <v>0.0</v>
      </c>
      <c r="I1187" s="81">
        <v>3.0</v>
      </c>
      <c r="J1187" s="81">
        <v>0.0</v>
      </c>
      <c r="K1187" s="81">
        <v>0.0</v>
      </c>
      <c r="L1187" s="81">
        <v>0.0</v>
      </c>
    </row>
    <row r="1188" ht="15.75" customHeight="1">
      <c r="A1188" s="55" t="s">
        <v>591</v>
      </c>
      <c r="B1188" s="261" t="s">
        <v>334</v>
      </c>
      <c r="C1188" s="149">
        <v>40.0</v>
      </c>
      <c r="D1188" s="66" t="s">
        <v>109</v>
      </c>
      <c r="E1188" s="81">
        <v>4.8</v>
      </c>
      <c r="F1188" s="81">
        <v>17.6</v>
      </c>
      <c r="G1188" s="81">
        <v>2.8000000000000003</v>
      </c>
      <c r="H1188" s="81">
        <v>0.0</v>
      </c>
      <c r="I1188" s="81">
        <v>17.6</v>
      </c>
      <c r="J1188" s="81">
        <v>0.0</v>
      </c>
      <c r="K1188" s="81">
        <v>1.7599999999999998</v>
      </c>
      <c r="L1188" s="81">
        <v>1.6</v>
      </c>
    </row>
    <row r="1189" ht="15.75" customHeight="1">
      <c r="A1189" s="55" t="s">
        <v>591</v>
      </c>
      <c r="B1189" s="261" t="s">
        <v>140</v>
      </c>
      <c r="C1189" s="149">
        <v>1.5</v>
      </c>
      <c r="D1189" s="66" t="s">
        <v>109</v>
      </c>
      <c r="E1189" s="81">
        <v>0.18</v>
      </c>
      <c r="F1189" s="81">
        <v>0.0</v>
      </c>
      <c r="G1189" s="81">
        <v>0.0</v>
      </c>
      <c r="H1189" s="81">
        <v>0.0</v>
      </c>
      <c r="I1189" s="81">
        <v>1.5</v>
      </c>
      <c r="J1189" s="81">
        <v>45.0</v>
      </c>
      <c r="K1189" s="81">
        <v>0.0</v>
      </c>
      <c r="L1189" s="81">
        <v>0.0</v>
      </c>
    </row>
    <row r="1190" ht="15.75" customHeight="1">
      <c r="A1190" s="55" t="s">
        <v>592</v>
      </c>
      <c r="B1190" s="261" t="s">
        <v>58</v>
      </c>
      <c r="C1190" s="149">
        <v>585.5</v>
      </c>
      <c r="D1190" s="66" t="s">
        <v>109</v>
      </c>
      <c r="E1190" s="81">
        <v>2.6933</v>
      </c>
      <c r="F1190" s="81">
        <v>0.0</v>
      </c>
      <c r="G1190" s="81">
        <v>20.492500000000003</v>
      </c>
      <c r="H1190" s="81">
        <v>52.695</v>
      </c>
      <c r="I1190" s="81">
        <v>0.0</v>
      </c>
      <c r="J1190" s="81">
        <v>4.5668999999999995</v>
      </c>
      <c r="K1190" s="81">
        <v>23.42</v>
      </c>
      <c r="L1190" s="81">
        <v>20.492500000000003</v>
      </c>
    </row>
    <row r="1191" ht="15.75" customHeight="1">
      <c r="A1191" s="55" t="s">
        <v>592</v>
      </c>
      <c r="B1191" s="261" t="s">
        <v>134</v>
      </c>
      <c r="C1191" s="149">
        <v>40.0</v>
      </c>
      <c r="D1191" s="66" t="s">
        <v>109</v>
      </c>
      <c r="E1191" s="81">
        <v>0.76</v>
      </c>
      <c r="F1191" s="81">
        <v>0.0</v>
      </c>
      <c r="G1191" s="81">
        <v>14.0</v>
      </c>
      <c r="H1191" s="81">
        <v>2.4</v>
      </c>
      <c r="I1191" s="81">
        <v>0.0</v>
      </c>
      <c r="J1191" s="81">
        <v>0.21600000000000003</v>
      </c>
      <c r="K1191" s="81">
        <v>1.2</v>
      </c>
      <c r="L1191" s="81">
        <v>0.96</v>
      </c>
    </row>
    <row r="1192" ht="15.75" customHeight="1">
      <c r="A1192" s="55" t="s">
        <v>592</v>
      </c>
      <c r="B1192" s="261" t="s">
        <v>206</v>
      </c>
      <c r="C1192" s="149">
        <v>80.0</v>
      </c>
      <c r="D1192" s="66" t="s">
        <v>109</v>
      </c>
      <c r="E1192" s="81">
        <v>23.2</v>
      </c>
      <c r="F1192" s="81">
        <v>3.5999999999999996</v>
      </c>
      <c r="G1192" s="81">
        <v>44.800000000000004</v>
      </c>
      <c r="H1192" s="81">
        <v>0.0</v>
      </c>
      <c r="I1192" s="81">
        <v>31.6</v>
      </c>
      <c r="J1192" s="81">
        <v>0.0</v>
      </c>
      <c r="K1192" s="81">
        <v>0.0</v>
      </c>
      <c r="L1192" s="81">
        <v>10.4</v>
      </c>
    </row>
    <row r="1193" ht="15.75" customHeight="1">
      <c r="A1193" s="55" t="s">
        <v>592</v>
      </c>
      <c r="B1193" s="261" t="s">
        <v>346</v>
      </c>
      <c r="C1193" s="149">
        <v>100.0</v>
      </c>
      <c r="D1193" s="66" t="s">
        <v>109</v>
      </c>
      <c r="E1193" s="81">
        <v>2.5</v>
      </c>
      <c r="F1193" s="81">
        <v>100.0</v>
      </c>
      <c r="G1193" s="81">
        <v>0.0</v>
      </c>
      <c r="H1193" s="81">
        <v>0.0</v>
      </c>
      <c r="I1193" s="81">
        <v>0.0</v>
      </c>
      <c r="J1193" s="81">
        <v>70.0</v>
      </c>
      <c r="K1193" s="81">
        <v>100.0</v>
      </c>
      <c r="L1193" s="81">
        <v>0.0</v>
      </c>
    </row>
    <row r="1194" ht="15.75" customHeight="1">
      <c r="A1194" s="55" t="s">
        <v>592</v>
      </c>
      <c r="B1194" s="261" t="s">
        <v>131</v>
      </c>
      <c r="C1194" s="149">
        <v>45.0</v>
      </c>
      <c r="D1194" s="66" t="s">
        <v>109</v>
      </c>
      <c r="E1194" s="81">
        <v>1.35</v>
      </c>
      <c r="F1194" s="81">
        <v>45.0</v>
      </c>
      <c r="G1194" s="81">
        <v>0.0</v>
      </c>
      <c r="H1194" s="81">
        <v>0.0</v>
      </c>
      <c r="I1194" s="81">
        <v>0.0</v>
      </c>
      <c r="J1194" s="81">
        <v>31.499999999999996</v>
      </c>
      <c r="K1194" s="81">
        <v>125.99999999999999</v>
      </c>
      <c r="L1194" s="81">
        <v>0.0</v>
      </c>
    </row>
    <row r="1195" ht="15.75" customHeight="1">
      <c r="A1195" s="55" t="s">
        <v>592</v>
      </c>
      <c r="B1195" s="261" t="s">
        <v>139</v>
      </c>
      <c r="C1195" s="149">
        <v>5.0</v>
      </c>
      <c r="D1195" s="66" t="s">
        <v>109</v>
      </c>
      <c r="E1195" s="81">
        <v>1.0</v>
      </c>
      <c r="F1195" s="81">
        <v>0.0</v>
      </c>
      <c r="G1195" s="81">
        <v>0.0</v>
      </c>
      <c r="H1195" s="81">
        <v>0.0</v>
      </c>
      <c r="I1195" s="81">
        <v>5.0</v>
      </c>
      <c r="J1195" s="81">
        <v>0.0</v>
      </c>
      <c r="K1195" s="81">
        <v>0.0</v>
      </c>
      <c r="L1195" s="81">
        <v>0.0</v>
      </c>
    </row>
    <row r="1196" ht="15.75" customHeight="1">
      <c r="A1196" s="55" t="s">
        <v>592</v>
      </c>
      <c r="B1196" s="261" t="s">
        <v>135</v>
      </c>
      <c r="C1196" s="149">
        <v>40.0</v>
      </c>
      <c r="D1196" s="66" t="s">
        <v>109</v>
      </c>
      <c r="E1196" s="81">
        <v>2.16</v>
      </c>
      <c r="F1196" s="81">
        <v>0.0</v>
      </c>
      <c r="G1196" s="81">
        <v>0.0</v>
      </c>
      <c r="H1196" s="81">
        <v>38.8</v>
      </c>
      <c r="I1196" s="81">
        <v>0.0</v>
      </c>
      <c r="J1196" s="81">
        <v>3.2</v>
      </c>
      <c r="K1196" s="81">
        <v>20.0</v>
      </c>
      <c r="L1196" s="81">
        <v>14.399999999999999</v>
      </c>
    </row>
    <row r="1197" ht="15.75" customHeight="1">
      <c r="A1197" s="55" t="s">
        <v>592</v>
      </c>
      <c r="B1197" s="261" t="s">
        <v>141</v>
      </c>
      <c r="C1197" s="149">
        <v>2.0</v>
      </c>
      <c r="D1197" s="66" t="s">
        <v>109</v>
      </c>
      <c r="E1197" s="81">
        <v>0.007</v>
      </c>
      <c r="F1197" s="81">
        <v>0.0</v>
      </c>
      <c r="G1197" s="81">
        <v>0.0</v>
      </c>
      <c r="H1197" s="81">
        <v>0.0</v>
      </c>
      <c r="I1197" s="81">
        <v>2.0</v>
      </c>
      <c r="J1197" s="81">
        <v>0.0</v>
      </c>
      <c r="K1197" s="81">
        <v>6.0</v>
      </c>
      <c r="L1197" s="81">
        <v>0.0</v>
      </c>
    </row>
    <row r="1198" ht="15.75" customHeight="1">
      <c r="A1198" s="55" t="s">
        <v>593</v>
      </c>
      <c r="B1198" s="261" t="s">
        <v>58</v>
      </c>
      <c r="C1198" s="149">
        <v>545.5</v>
      </c>
      <c r="D1198" s="66" t="s">
        <v>109</v>
      </c>
      <c r="E1198" s="81">
        <v>2.5092999999999996</v>
      </c>
      <c r="F1198" s="81">
        <v>0.0</v>
      </c>
      <c r="G1198" s="81">
        <v>19.0925</v>
      </c>
      <c r="H1198" s="81">
        <v>49.095</v>
      </c>
      <c r="I1198" s="81">
        <v>0.0</v>
      </c>
      <c r="J1198" s="81">
        <v>4.2549</v>
      </c>
      <c r="K1198" s="81">
        <v>21.82</v>
      </c>
      <c r="L1198" s="81">
        <v>19.0925</v>
      </c>
    </row>
    <row r="1199" ht="15.75" customHeight="1">
      <c r="A1199" s="55" t="s">
        <v>593</v>
      </c>
      <c r="B1199" s="261" t="s">
        <v>134</v>
      </c>
      <c r="C1199" s="149">
        <v>80.0</v>
      </c>
      <c r="D1199" s="66" t="s">
        <v>109</v>
      </c>
      <c r="E1199" s="81">
        <v>1.52</v>
      </c>
      <c r="F1199" s="81">
        <v>0.0</v>
      </c>
      <c r="G1199" s="81">
        <v>28.0</v>
      </c>
      <c r="H1199" s="81">
        <v>4.8</v>
      </c>
      <c r="I1199" s="81">
        <v>0.0</v>
      </c>
      <c r="J1199" s="81">
        <v>0.43200000000000005</v>
      </c>
      <c r="K1199" s="81">
        <v>2.4</v>
      </c>
      <c r="L1199" s="81">
        <v>1.92</v>
      </c>
    </row>
    <row r="1200" ht="15.75" customHeight="1">
      <c r="A1200" s="55" t="s">
        <v>593</v>
      </c>
      <c r="B1200" s="261" t="s">
        <v>206</v>
      </c>
      <c r="C1200" s="149">
        <v>80.0</v>
      </c>
      <c r="D1200" s="66" t="s">
        <v>109</v>
      </c>
      <c r="E1200" s="81">
        <v>23.2</v>
      </c>
      <c r="F1200" s="81">
        <v>3.5999999999999996</v>
      </c>
      <c r="G1200" s="81">
        <v>44.800000000000004</v>
      </c>
      <c r="H1200" s="81">
        <v>0.0</v>
      </c>
      <c r="I1200" s="81">
        <v>31.6</v>
      </c>
      <c r="J1200" s="81">
        <v>0.0</v>
      </c>
      <c r="K1200" s="81">
        <v>0.0</v>
      </c>
      <c r="L1200" s="81">
        <v>10.4</v>
      </c>
    </row>
    <row r="1201" ht="15.75" customHeight="1">
      <c r="A1201" s="55" t="s">
        <v>593</v>
      </c>
      <c r="B1201" s="261" t="s">
        <v>113</v>
      </c>
      <c r="C1201" s="149">
        <v>80.0</v>
      </c>
      <c r="D1201" s="66" t="s">
        <v>109</v>
      </c>
      <c r="E1201" s="81">
        <v>3.04</v>
      </c>
      <c r="F1201" s="81">
        <v>0.0</v>
      </c>
      <c r="G1201" s="81">
        <v>0.0</v>
      </c>
      <c r="H1201" s="81">
        <v>0.0</v>
      </c>
      <c r="I1201" s="81">
        <v>76.0</v>
      </c>
      <c r="J1201" s="81">
        <v>6.4</v>
      </c>
      <c r="K1201" s="81">
        <v>48.0</v>
      </c>
      <c r="L1201" s="81">
        <v>0.0</v>
      </c>
    </row>
    <row r="1202" ht="15.75" customHeight="1">
      <c r="A1202" s="55" t="s">
        <v>593</v>
      </c>
      <c r="B1202" s="261" t="s">
        <v>131</v>
      </c>
      <c r="C1202" s="149">
        <v>45.0</v>
      </c>
      <c r="D1202" s="66" t="s">
        <v>109</v>
      </c>
      <c r="E1202" s="81">
        <v>1.35</v>
      </c>
      <c r="F1202" s="81">
        <v>45.0</v>
      </c>
      <c r="G1202" s="81">
        <v>0.0</v>
      </c>
      <c r="H1202" s="81">
        <v>0.0</v>
      </c>
      <c r="I1202" s="81">
        <v>0.0</v>
      </c>
      <c r="J1202" s="81">
        <v>31.499999999999996</v>
      </c>
      <c r="K1202" s="81">
        <v>125.99999999999999</v>
      </c>
      <c r="L1202" s="81">
        <v>0.0</v>
      </c>
    </row>
    <row r="1203" ht="15.75" customHeight="1">
      <c r="A1203" s="55" t="s">
        <v>593</v>
      </c>
      <c r="B1203" s="261" t="s">
        <v>139</v>
      </c>
      <c r="C1203" s="149">
        <v>5.0</v>
      </c>
      <c r="D1203" s="66" t="s">
        <v>109</v>
      </c>
      <c r="E1203" s="81">
        <v>1.0</v>
      </c>
      <c r="F1203" s="81">
        <v>0.0</v>
      </c>
      <c r="G1203" s="81">
        <v>0.0</v>
      </c>
      <c r="H1203" s="81">
        <v>0.0</v>
      </c>
      <c r="I1203" s="81">
        <v>5.0</v>
      </c>
      <c r="J1203" s="81">
        <v>0.0</v>
      </c>
      <c r="K1203" s="81">
        <v>0.0</v>
      </c>
      <c r="L1203" s="81">
        <v>0.0</v>
      </c>
    </row>
    <row r="1204" ht="15.75" customHeight="1">
      <c r="A1204" s="55" t="s">
        <v>593</v>
      </c>
      <c r="B1204" s="261" t="s">
        <v>135</v>
      </c>
      <c r="C1204" s="149">
        <v>35.0</v>
      </c>
      <c r="D1204" s="66" t="s">
        <v>109</v>
      </c>
      <c r="E1204" s="81">
        <v>1.89</v>
      </c>
      <c r="F1204" s="81">
        <v>0.0</v>
      </c>
      <c r="G1204" s="81">
        <v>0.0</v>
      </c>
      <c r="H1204" s="81">
        <v>33.949999999999996</v>
      </c>
      <c r="I1204" s="81">
        <v>0.0</v>
      </c>
      <c r="J1204" s="81">
        <v>2.8000000000000003</v>
      </c>
      <c r="K1204" s="81">
        <v>17.5</v>
      </c>
      <c r="L1204" s="81">
        <v>12.6</v>
      </c>
    </row>
    <row r="1205" ht="15.75" customHeight="1">
      <c r="A1205" s="55" t="s">
        <v>593</v>
      </c>
      <c r="B1205" s="261" t="s">
        <v>140</v>
      </c>
      <c r="C1205" s="149">
        <v>2.0</v>
      </c>
      <c r="D1205" s="66" t="s">
        <v>109</v>
      </c>
      <c r="E1205" s="81">
        <v>0.24</v>
      </c>
      <c r="F1205" s="81">
        <v>0.0</v>
      </c>
      <c r="G1205" s="81">
        <v>0.0</v>
      </c>
      <c r="H1205" s="81">
        <v>0.0</v>
      </c>
      <c r="I1205" s="81">
        <v>2.0</v>
      </c>
      <c r="J1205" s="81">
        <v>60.0</v>
      </c>
      <c r="K1205" s="81">
        <v>0.0</v>
      </c>
      <c r="L1205" s="81">
        <v>0.0</v>
      </c>
    </row>
    <row r="1206" ht="15.75" customHeight="1">
      <c r="A1206" s="55" t="s">
        <v>593</v>
      </c>
      <c r="B1206" s="261" t="s">
        <v>141</v>
      </c>
      <c r="C1206" s="149">
        <v>2.0</v>
      </c>
      <c r="D1206" s="66" t="s">
        <v>109</v>
      </c>
      <c r="E1206" s="81">
        <v>0.007</v>
      </c>
      <c r="F1206" s="81">
        <v>0.0</v>
      </c>
      <c r="G1206" s="81">
        <v>0.0</v>
      </c>
      <c r="H1206" s="81">
        <v>0.0</v>
      </c>
      <c r="I1206" s="81">
        <v>2.0</v>
      </c>
      <c r="J1206" s="81">
        <v>0.0</v>
      </c>
      <c r="K1206" s="81">
        <v>6.0</v>
      </c>
      <c r="L1206" s="81">
        <v>0.0</v>
      </c>
    </row>
    <row r="1207" ht="15.75" customHeight="1">
      <c r="A1207" s="55" t="s">
        <v>594</v>
      </c>
      <c r="B1207" s="261" t="s">
        <v>14</v>
      </c>
      <c r="C1207" s="149">
        <v>600.0</v>
      </c>
      <c r="D1207" s="66" t="s">
        <v>109</v>
      </c>
      <c r="E1207" s="81">
        <v>0.0</v>
      </c>
      <c r="F1207" s="81">
        <v>0.0</v>
      </c>
      <c r="G1207" s="81">
        <v>0.0</v>
      </c>
      <c r="H1207" s="81">
        <v>0.0</v>
      </c>
      <c r="I1207" s="81">
        <v>0.0</v>
      </c>
      <c r="J1207" s="81">
        <v>0.0</v>
      </c>
      <c r="K1207" s="81">
        <v>0.0</v>
      </c>
      <c r="L1207" s="81">
        <v>0.0</v>
      </c>
    </row>
    <row r="1208" ht="15.75" customHeight="1">
      <c r="A1208" s="55" t="s">
        <v>594</v>
      </c>
      <c r="B1208" s="261" t="s">
        <v>206</v>
      </c>
      <c r="C1208" s="149">
        <v>150.0</v>
      </c>
      <c r="D1208" s="66" t="s">
        <v>109</v>
      </c>
      <c r="E1208" s="81">
        <v>43.5</v>
      </c>
      <c r="F1208" s="81">
        <v>6.75</v>
      </c>
      <c r="G1208" s="81">
        <v>84.00000000000001</v>
      </c>
      <c r="H1208" s="81">
        <v>0.0</v>
      </c>
      <c r="I1208" s="81">
        <v>59.25</v>
      </c>
      <c r="J1208" s="81">
        <v>0.0</v>
      </c>
      <c r="K1208" s="81">
        <v>0.0</v>
      </c>
      <c r="L1208" s="81">
        <v>19.5</v>
      </c>
    </row>
    <row r="1209" ht="15.75" customHeight="1">
      <c r="A1209" s="55" t="s">
        <v>594</v>
      </c>
      <c r="B1209" s="261" t="s">
        <v>346</v>
      </c>
      <c r="C1209" s="149">
        <v>110.0</v>
      </c>
      <c r="D1209" s="66" t="s">
        <v>109</v>
      </c>
      <c r="E1209" s="81">
        <v>2.75</v>
      </c>
      <c r="F1209" s="81">
        <v>110.0</v>
      </c>
      <c r="G1209" s="81">
        <v>0.0</v>
      </c>
      <c r="H1209" s="81">
        <v>0.0</v>
      </c>
      <c r="I1209" s="81">
        <v>0.0</v>
      </c>
      <c r="J1209" s="81">
        <v>77.0</v>
      </c>
      <c r="K1209" s="81">
        <v>110.0</v>
      </c>
      <c r="L1209" s="81">
        <v>0.0</v>
      </c>
    </row>
    <row r="1210" ht="15.75" customHeight="1">
      <c r="A1210" s="55" t="s">
        <v>594</v>
      </c>
      <c r="B1210" s="261" t="s">
        <v>131</v>
      </c>
      <c r="C1210" s="149">
        <v>50.0</v>
      </c>
      <c r="D1210" s="66" t="s">
        <v>109</v>
      </c>
      <c r="E1210" s="81">
        <v>1.5</v>
      </c>
      <c r="F1210" s="81">
        <v>50.0</v>
      </c>
      <c r="G1210" s="81">
        <v>0.0</v>
      </c>
      <c r="H1210" s="81">
        <v>0.0</v>
      </c>
      <c r="I1210" s="81">
        <v>0.0</v>
      </c>
      <c r="J1210" s="81">
        <v>35.0</v>
      </c>
      <c r="K1210" s="81">
        <v>140.0</v>
      </c>
      <c r="L1210" s="81">
        <v>0.0</v>
      </c>
    </row>
    <row r="1211" ht="15.75" customHeight="1">
      <c r="A1211" s="55" t="s">
        <v>594</v>
      </c>
      <c r="B1211" s="261" t="s">
        <v>139</v>
      </c>
      <c r="C1211" s="149">
        <v>5.0</v>
      </c>
      <c r="D1211" s="66" t="s">
        <v>109</v>
      </c>
      <c r="E1211" s="81">
        <v>1.0</v>
      </c>
      <c r="F1211" s="81">
        <v>0.0</v>
      </c>
      <c r="G1211" s="81">
        <v>0.0</v>
      </c>
      <c r="H1211" s="81">
        <v>0.0</v>
      </c>
      <c r="I1211" s="81">
        <v>5.0</v>
      </c>
      <c r="J1211" s="81">
        <v>0.0</v>
      </c>
      <c r="K1211" s="81">
        <v>0.0</v>
      </c>
      <c r="L1211" s="81">
        <v>0.0</v>
      </c>
    </row>
    <row r="1212" ht="15.75" customHeight="1">
      <c r="A1212" s="55" t="s">
        <v>594</v>
      </c>
      <c r="B1212" s="261" t="s">
        <v>141</v>
      </c>
      <c r="C1212" s="149">
        <v>2.0</v>
      </c>
      <c r="D1212" s="66" t="s">
        <v>109</v>
      </c>
      <c r="E1212" s="81">
        <v>0.007</v>
      </c>
      <c r="F1212" s="81">
        <v>0.0</v>
      </c>
      <c r="G1212" s="81">
        <v>0.0</v>
      </c>
      <c r="H1212" s="81">
        <v>0.0</v>
      </c>
      <c r="I1212" s="81">
        <v>2.0</v>
      </c>
      <c r="J1212" s="81">
        <v>0.0</v>
      </c>
      <c r="K1212" s="81">
        <v>6.0</v>
      </c>
      <c r="L1212" s="81">
        <v>0.0</v>
      </c>
    </row>
    <row r="1213" ht="15.75" customHeight="1">
      <c r="A1213" s="55" t="s">
        <v>595</v>
      </c>
      <c r="B1213" s="261" t="s">
        <v>14</v>
      </c>
      <c r="C1213" s="149">
        <v>600.0</v>
      </c>
      <c r="D1213" s="66" t="s">
        <v>109</v>
      </c>
      <c r="E1213" s="81">
        <v>0.0</v>
      </c>
      <c r="F1213" s="81">
        <v>0.0</v>
      </c>
      <c r="G1213" s="81">
        <v>0.0</v>
      </c>
      <c r="H1213" s="81">
        <v>0.0</v>
      </c>
      <c r="I1213" s="81">
        <v>0.0</v>
      </c>
      <c r="J1213" s="81">
        <v>0.0</v>
      </c>
      <c r="K1213" s="81">
        <v>0.0</v>
      </c>
      <c r="L1213" s="81">
        <v>0.0</v>
      </c>
    </row>
    <row r="1214" ht="15.75" customHeight="1">
      <c r="A1214" s="55" t="s">
        <v>595</v>
      </c>
      <c r="B1214" s="261" t="s">
        <v>206</v>
      </c>
      <c r="C1214" s="149">
        <v>130.0</v>
      </c>
      <c r="D1214" s="66" t="s">
        <v>109</v>
      </c>
      <c r="E1214" s="81">
        <v>37.7</v>
      </c>
      <c r="F1214" s="81">
        <v>5.85</v>
      </c>
      <c r="G1214" s="81">
        <v>72.80000000000001</v>
      </c>
      <c r="H1214" s="81">
        <v>0.0</v>
      </c>
      <c r="I1214" s="81">
        <v>51.35</v>
      </c>
      <c r="J1214" s="81">
        <v>0.0</v>
      </c>
      <c r="K1214" s="81">
        <v>0.0</v>
      </c>
      <c r="L1214" s="81">
        <v>16.900000000000002</v>
      </c>
    </row>
    <row r="1215" ht="15.75" customHeight="1">
      <c r="A1215" s="55" t="s">
        <v>595</v>
      </c>
      <c r="B1215" s="261" t="s">
        <v>113</v>
      </c>
      <c r="C1215" s="149">
        <v>90.0</v>
      </c>
      <c r="D1215" s="66" t="s">
        <v>109</v>
      </c>
      <c r="E1215" s="81">
        <v>3.42</v>
      </c>
      <c r="F1215" s="81">
        <v>0.0</v>
      </c>
      <c r="G1215" s="81">
        <v>0.0</v>
      </c>
      <c r="H1215" s="81">
        <v>0.0</v>
      </c>
      <c r="I1215" s="81">
        <v>85.5</v>
      </c>
      <c r="J1215" s="81">
        <v>7.2</v>
      </c>
      <c r="K1215" s="81">
        <v>54.0</v>
      </c>
      <c r="L1215" s="81">
        <v>0.0</v>
      </c>
    </row>
    <row r="1216" ht="15.75" customHeight="1">
      <c r="A1216" s="55" t="s">
        <v>595</v>
      </c>
      <c r="B1216" s="261" t="s">
        <v>131</v>
      </c>
      <c r="C1216" s="149">
        <v>50.0</v>
      </c>
      <c r="D1216" s="66" t="s">
        <v>109</v>
      </c>
      <c r="E1216" s="81">
        <v>1.5</v>
      </c>
      <c r="F1216" s="81">
        <v>50.0</v>
      </c>
      <c r="G1216" s="81">
        <v>0.0</v>
      </c>
      <c r="H1216" s="81">
        <v>0.0</v>
      </c>
      <c r="I1216" s="81">
        <v>0.0</v>
      </c>
      <c r="J1216" s="81">
        <v>35.0</v>
      </c>
      <c r="K1216" s="81">
        <v>140.0</v>
      </c>
      <c r="L1216" s="81">
        <v>0.0</v>
      </c>
    </row>
    <row r="1217" ht="15.75" customHeight="1">
      <c r="A1217" s="55" t="s">
        <v>595</v>
      </c>
      <c r="B1217" s="261" t="s">
        <v>139</v>
      </c>
      <c r="C1217" s="149">
        <v>5.0</v>
      </c>
      <c r="D1217" s="66" t="s">
        <v>109</v>
      </c>
      <c r="E1217" s="81">
        <v>1.0</v>
      </c>
      <c r="F1217" s="81">
        <v>0.0</v>
      </c>
      <c r="G1217" s="81">
        <v>0.0</v>
      </c>
      <c r="H1217" s="81">
        <v>0.0</v>
      </c>
      <c r="I1217" s="81">
        <v>5.0</v>
      </c>
      <c r="J1217" s="81">
        <v>0.0</v>
      </c>
      <c r="K1217" s="81">
        <v>0.0</v>
      </c>
      <c r="L1217" s="81">
        <v>0.0</v>
      </c>
    </row>
    <row r="1218" ht="15.75" customHeight="1">
      <c r="A1218" s="55" t="s">
        <v>595</v>
      </c>
      <c r="B1218" s="261" t="s">
        <v>401</v>
      </c>
      <c r="C1218" s="149">
        <v>2.0</v>
      </c>
      <c r="D1218" s="66" t="s">
        <v>109</v>
      </c>
      <c r="E1218" s="81">
        <v>0.44</v>
      </c>
      <c r="F1218" s="81">
        <v>0.0</v>
      </c>
      <c r="G1218" s="81">
        <v>0.0</v>
      </c>
      <c r="H1218" s="81">
        <v>0.0</v>
      </c>
      <c r="I1218" s="81">
        <v>2.0</v>
      </c>
      <c r="J1218" s="81">
        <v>120.0</v>
      </c>
      <c r="K1218" s="81">
        <v>0.0</v>
      </c>
      <c r="L1218" s="81">
        <v>0.0</v>
      </c>
    </row>
    <row r="1219" ht="15.75" customHeight="1">
      <c r="A1219" s="55" t="s">
        <v>595</v>
      </c>
      <c r="B1219" s="261" t="s">
        <v>141</v>
      </c>
      <c r="C1219" s="149">
        <v>2.0</v>
      </c>
      <c r="D1219" s="66" t="s">
        <v>109</v>
      </c>
      <c r="E1219" s="81">
        <v>0.007</v>
      </c>
      <c r="F1219" s="81">
        <v>0.0</v>
      </c>
      <c r="G1219" s="81">
        <v>0.0</v>
      </c>
      <c r="H1219" s="81">
        <v>0.0</v>
      </c>
      <c r="I1219" s="81">
        <v>2.0</v>
      </c>
      <c r="J1219" s="81">
        <v>0.0</v>
      </c>
      <c r="K1219" s="81">
        <v>6.0</v>
      </c>
      <c r="L1219" s="81">
        <v>0.0</v>
      </c>
    </row>
    <row r="1220" ht="15.75" customHeight="1">
      <c r="A1220" s="55" t="s">
        <v>596</v>
      </c>
      <c r="B1220" s="261" t="s">
        <v>58</v>
      </c>
      <c r="C1220" s="149">
        <v>110.0</v>
      </c>
      <c r="D1220" s="66" t="s">
        <v>109</v>
      </c>
      <c r="E1220" s="81">
        <v>0.5059999999999999</v>
      </c>
      <c r="F1220" s="81">
        <v>0.0</v>
      </c>
      <c r="G1220" s="81">
        <v>3.8500000000000005</v>
      </c>
      <c r="H1220" s="81">
        <v>9.9</v>
      </c>
      <c r="I1220" s="81">
        <v>0.0</v>
      </c>
      <c r="J1220" s="81">
        <v>0.858</v>
      </c>
      <c r="K1220" s="81">
        <v>4.4</v>
      </c>
      <c r="L1220" s="81">
        <v>3.8500000000000005</v>
      </c>
    </row>
    <row r="1221" ht="15.75" customHeight="1">
      <c r="A1221" s="55" t="s">
        <v>596</v>
      </c>
      <c r="B1221" s="261" t="s">
        <v>99</v>
      </c>
      <c r="C1221" s="149">
        <v>110.0</v>
      </c>
      <c r="D1221" s="66" t="s">
        <v>109</v>
      </c>
      <c r="E1221" s="81">
        <v>1.375</v>
      </c>
      <c r="F1221" s="81">
        <v>0.0</v>
      </c>
      <c r="G1221" s="81">
        <v>18.700000000000003</v>
      </c>
      <c r="H1221" s="81">
        <v>7.700000000000001</v>
      </c>
      <c r="I1221" s="81">
        <v>0.0</v>
      </c>
      <c r="J1221" s="81">
        <v>0.5940000000000001</v>
      </c>
      <c r="K1221" s="81">
        <v>3.3</v>
      </c>
      <c r="L1221" s="81">
        <v>2.64</v>
      </c>
    </row>
    <row r="1222" ht="15.75" customHeight="1">
      <c r="A1222" s="55" t="s">
        <v>596</v>
      </c>
      <c r="B1222" s="261" t="s">
        <v>346</v>
      </c>
      <c r="C1222" s="149">
        <v>150.0</v>
      </c>
      <c r="D1222" s="66" t="s">
        <v>109</v>
      </c>
      <c r="E1222" s="81">
        <v>3.75</v>
      </c>
      <c r="F1222" s="81">
        <v>150.0</v>
      </c>
      <c r="G1222" s="81">
        <v>0.0</v>
      </c>
      <c r="H1222" s="81">
        <v>0.0</v>
      </c>
      <c r="I1222" s="81">
        <v>0.0</v>
      </c>
      <c r="J1222" s="81">
        <v>105.0</v>
      </c>
      <c r="K1222" s="81">
        <v>150.0</v>
      </c>
      <c r="L1222" s="81">
        <v>0.0</v>
      </c>
    </row>
    <row r="1223" ht="15.75" customHeight="1">
      <c r="A1223" s="55" t="s">
        <v>596</v>
      </c>
      <c r="B1223" s="261" t="s">
        <v>131</v>
      </c>
      <c r="C1223" s="149">
        <v>45.0</v>
      </c>
      <c r="D1223" s="66" t="s">
        <v>109</v>
      </c>
      <c r="E1223" s="81">
        <v>1.35</v>
      </c>
      <c r="F1223" s="81">
        <v>45.0</v>
      </c>
      <c r="G1223" s="81">
        <v>0.0</v>
      </c>
      <c r="H1223" s="81">
        <v>0.0</v>
      </c>
      <c r="I1223" s="81">
        <v>0.0</v>
      </c>
      <c r="J1223" s="81">
        <v>31.499999999999996</v>
      </c>
      <c r="K1223" s="81">
        <v>125.99999999999999</v>
      </c>
      <c r="L1223" s="81">
        <v>0.0</v>
      </c>
    </row>
    <row r="1224" ht="15.75" customHeight="1">
      <c r="A1224" s="55" t="s">
        <v>596</v>
      </c>
      <c r="B1224" s="261" t="s">
        <v>139</v>
      </c>
      <c r="C1224" s="149">
        <v>3.0</v>
      </c>
      <c r="D1224" s="66" t="s">
        <v>109</v>
      </c>
      <c r="E1224" s="81">
        <v>0.6</v>
      </c>
      <c r="F1224" s="81">
        <v>0.0</v>
      </c>
      <c r="G1224" s="81">
        <v>0.0</v>
      </c>
      <c r="H1224" s="81">
        <v>0.0</v>
      </c>
      <c r="I1224" s="81">
        <v>3.0</v>
      </c>
      <c r="J1224" s="81">
        <v>0.0</v>
      </c>
      <c r="K1224" s="81">
        <v>0.0</v>
      </c>
      <c r="L1224" s="81">
        <v>0.0</v>
      </c>
    </row>
    <row r="1225" ht="15.75" customHeight="1">
      <c r="A1225" s="55" t="s">
        <v>596</v>
      </c>
      <c r="B1225" s="261" t="s">
        <v>135</v>
      </c>
      <c r="C1225" s="149">
        <v>55.0</v>
      </c>
      <c r="D1225" s="66" t="s">
        <v>109</v>
      </c>
      <c r="E1225" s="81">
        <v>2.97</v>
      </c>
      <c r="F1225" s="81">
        <v>0.0</v>
      </c>
      <c r="G1225" s="81">
        <v>0.0</v>
      </c>
      <c r="H1225" s="81">
        <v>53.35</v>
      </c>
      <c r="I1225" s="81">
        <v>0.0</v>
      </c>
      <c r="J1225" s="81">
        <v>4.4</v>
      </c>
      <c r="K1225" s="81">
        <v>27.5</v>
      </c>
      <c r="L1225" s="81">
        <v>19.8</v>
      </c>
    </row>
    <row r="1226" ht="15.75" customHeight="1">
      <c r="A1226" s="55" t="s">
        <v>596</v>
      </c>
      <c r="B1226" s="261" t="s">
        <v>170</v>
      </c>
      <c r="C1226" s="149">
        <v>10.0</v>
      </c>
      <c r="D1226" s="66" t="s">
        <v>109</v>
      </c>
      <c r="E1226" s="81">
        <v>0.95</v>
      </c>
      <c r="F1226" s="81">
        <v>0.0</v>
      </c>
      <c r="G1226" s="81">
        <v>0.0</v>
      </c>
      <c r="H1226" s="81">
        <v>0.0</v>
      </c>
      <c r="I1226" s="81">
        <v>9.5</v>
      </c>
      <c r="J1226" s="81">
        <v>0.0</v>
      </c>
      <c r="K1226" s="81">
        <v>2.0</v>
      </c>
      <c r="L1226" s="81">
        <v>0.0</v>
      </c>
    </row>
    <row r="1227" ht="15.75" customHeight="1">
      <c r="A1227" s="55" t="s">
        <v>596</v>
      </c>
      <c r="B1227" s="261" t="s">
        <v>190</v>
      </c>
      <c r="C1227" s="149">
        <v>540.0</v>
      </c>
      <c r="D1227" s="66" t="s">
        <v>109</v>
      </c>
      <c r="E1227" s="81">
        <v>0.0</v>
      </c>
      <c r="F1227" s="81">
        <v>0.0</v>
      </c>
      <c r="G1227" s="81">
        <v>21.06</v>
      </c>
      <c r="H1227" s="81">
        <v>51.3</v>
      </c>
      <c r="I1227" s="81">
        <v>0.0</v>
      </c>
      <c r="J1227" s="81">
        <v>3.888</v>
      </c>
      <c r="K1227" s="81">
        <v>24.3</v>
      </c>
      <c r="L1227" s="81">
        <v>25.38</v>
      </c>
    </row>
    <row r="1228" ht="15.75" customHeight="1">
      <c r="A1228" s="55" t="s">
        <v>597</v>
      </c>
      <c r="B1228" s="261" t="s">
        <v>58</v>
      </c>
      <c r="C1228" s="149">
        <v>110.0</v>
      </c>
      <c r="D1228" s="66" t="s">
        <v>109</v>
      </c>
      <c r="E1228" s="81">
        <v>0.5059999999999999</v>
      </c>
      <c r="F1228" s="81">
        <v>0.0</v>
      </c>
      <c r="G1228" s="81">
        <v>3.8500000000000005</v>
      </c>
      <c r="H1228" s="81">
        <v>9.9</v>
      </c>
      <c r="I1228" s="81">
        <v>0.0</v>
      </c>
      <c r="J1228" s="81">
        <v>0.858</v>
      </c>
      <c r="K1228" s="81">
        <v>4.4</v>
      </c>
      <c r="L1228" s="81">
        <v>3.8500000000000005</v>
      </c>
    </row>
    <row r="1229" ht="15.75" customHeight="1">
      <c r="A1229" s="55" t="s">
        <v>597</v>
      </c>
      <c r="B1229" s="261" t="s">
        <v>99</v>
      </c>
      <c r="C1229" s="149">
        <v>110.0</v>
      </c>
      <c r="D1229" s="66" t="s">
        <v>109</v>
      </c>
      <c r="E1229" s="81">
        <v>1.375</v>
      </c>
      <c r="F1229" s="81">
        <v>0.0</v>
      </c>
      <c r="G1229" s="81">
        <v>18.700000000000003</v>
      </c>
      <c r="H1229" s="81">
        <v>7.700000000000001</v>
      </c>
      <c r="I1229" s="81">
        <v>0.0</v>
      </c>
      <c r="J1229" s="81">
        <v>0.5940000000000001</v>
      </c>
      <c r="K1229" s="81">
        <v>3.3</v>
      </c>
      <c r="L1229" s="81">
        <v>2.64</v>
      </c>
    </row>
    <row r="1230" ht="15.75" customHeight="1">
      <c r="A1230" s="55" t="s">
        <v>597</v>
      </c>
      <c r="B1230" s="261" t="s">
        <v>113</v>
      </c>
      <c r="C1230" s="149">
        <v>140.0</v>
      </c>
      <c r="D1230" s="66" t="s">
        <v>109</v>
      </c>
      <c r="E1230" s="81">
        <v>5.32</v>
      </c>
      <c r="F1230" s="81">
        <v>0.0</v>
      </c>
      <c r="G1230" s="81">
        <v>0.0</v>
      </c>
      <c r="H1230" s="81">
        <v>0.0</v>
      </c>
      <c r="I1230" s="81">
        <v>133.0</v>
      </c>
      <c r="J1230" s="81">
        <v>11.200000000000001</v>
      </c>
      <c r="K1230" s="81">
        <v>84.0</v>
      </c>
      <c r="L1230" s="81">
        <v>0.0</v>
      </c>
    </row>
    <row r="1231" ht="15.75" customHeight="1">
      <c r="A1231" s="55" t="s">
        <v>597</v>
      </c>
      <c r="B1231" s="261" t="s">
        <v>131</v>
      </c>
      <c r="C1231" s="149">
        <v>48.5</v>
      </c>
      <c r="D1231" s="66" t="s">
        <v>109</v>
      </c>
      <c r="E1231" s="81">
        <v>1.455</v>
      </c>
      <c r="F1231" s="81">
        <v>48.5</v>
      </c>
      <c r="G1231" s="81">
        <v>0.0</v>
      </c>
      <c r="H1231" s="81">
        <v>0.0</v>
      </c>
      <c r="I1231" s="81">
        <v>0.0</v>
      </c>
      <c r="J1231" s="81">
        <v>33.949999999999996</v>
      </c>
      <c r="K1231" s="81">
        <v>135.79999999999998</v>
      </c>
      <c r="L1231" s="81">
        <v>0.0</v>
      </c>
    </row>
    <row r="1232" ht="15.75" customHeight="1">
      <c r="A1232" s="55" t="s">
        <v>597</v>
      </c>
      <c r="B1232" s="261" t="s">
        <v>139</v>
      </c>
      <c r="C1232" s="149">
        <v>3.0</v>
      </c>
      <c r="D1232" s="66" t="s">
        <v>109</v>
      </c>
      <c r="E1232" s="81">
        <v>0.6</v>
      </c>
      <c r="F1232" s="81">
        <v>0.0</v>
      </c>
      <c r="G1232" s="81">
        <v>0.0</v>
      </c>
      <c r="H1232" s="81">
        <v>0.0</v>
      </c>
      <c r="I1232" s="81">
        <v>3.0</v>
      </c>
      <c r="J1232" s="81">
        <v>0.0</v>
      </c>
      <c r="K1232" s="81">
        <v>0.0</v>
      </c>
      <c r="L1232" s="81">
        <v>0.0</v>
      </c>
    </row>
    <row r="1233" ht="15.75" customHeight="1">
      <c r="A1233" s="55" t="s">
        <v>597</v>
      </c>
      <c r="B1233" s="261" t="s">
        <v>135</v>
      </c>
      <c r="C1233" s="149">
        <v>55.0</v>
      </c>
      <c r="D1233" s="66" t="s">
        <v>109</v>
      </c>
      <c r="E1233" s="81">
        <v>2.97</v>
      </c>
      <c r="F1233" s="81">
        <v>0.0</v>
      </c>
      <c r="G1233" s="81">
        <v>0.0</v>
      </c>
      <c r="H1233" s="81">
        <v>53.35</v>
      </c>
      <c r="I1233" s="81">
        <v>0.0</v>
      </c>
      <c r="J1233" s="81">
        <v>4.4</v>
      </c>
      <c r="K1233" s="81">
        <v>27.5</v>
      </c>
      <c r="L1233" s="81">
        <v>19.8</v>
      </c>
    </row>
    <row r="1234" ht="15.75" customHeight="1">
      <c r="A1234" s="55" t="s">
        <v>597</v>
      </c>
      <c r="B1234" s="261" t="s">
        <v>401</v>
      </c>
      <c r="C1234" s="149">
        <v>2.0</v>
      </c>
      <c r="D1234" s="66" t="s">
        <v>109</v>
      </c>
      <c r="E1234" s="81">
        <v>0.44</v>
      </c>
      <c r="F1234" s="81">
        <v>0.0</v>
      </c>
      <c r="G1234" s="81">
        <v>0.0</v>
      </c>
      <c r="H1234" s="81">
        <v>0.0</v>
      </c>
      <c r="I1234" s="81">
        <v>2.0</v>
      </c>
      <c r="J1234" s="81">
        <v>120.0</v>
      </c>
      <c r="K1234" s="81">
        <v>0.0</v>
      </c>
      <c r="L1234" s="81">
        <v>0.0</v>
      </c>
    </row>
    <row r="1235" ht="15.75" customHeight="1">
      <c r="A1235" s="55" t="s">
        <v>597</v>
      </c>
      <c r="B1235" s="261" t="s">
        <v>190</v>
      </c>
      <c r="C1235" s="149">
        <v>540.0</v>
      </c>
      <c r="D1235" s="66" t="s">
        <v>109</v>
      </c>
      <c r="E1235" s="81">
        <v>0.0</v>
      </c>
      <c r="F1235" s="81">
        <v>0.0</v>
      </c>
      <c r="G1235" s="81">
        <v>21.06</v>
      </c>
      <c r="H1235" s="81">
        <v>51.3</v>
      </c>
      <c r="I1235" s="81">
        <v>0.0</v>
      </c>
      <c r="J1235" s="81">
        <v>3.888</v>
      </c>
      <c r="K1235" s="81">
        <v>24.3</v>
      </c>
      <c r="L1235" s="81">
        <v>25.38</v>
      </c>
    </row>
    <row r="1236" ht="15.75" customHeight="1">
      <c r="A1236" s="55" t="s">
        <v>598</v>
      </c>
      <c r="B1236" s="261" t="s">
        <v>14</v>
      </c>
      <c r="C1236" s="149">
        <v>480.0</v>
      </c>
      <c r="D1236" s="66" t="s">
        <v>109</v>
      </c>
      <c r="E1236" s="81">
        <v>0.0</v>
      </c>
      <c r="F1236" s="81">
        <v>0.0</v>
      </c>
      <c r="G1236" s="81">
        <v>0.0</v>
      </c>
      <c r="H1236" s="81">
        <v>0.0</v>
      </c>
      <c r="I1236" s="81">
        <v>0.0</v>
      </c>
      <c r="J1236" s="81">
        <v>0.0</v>
      </c>
      <c r="K1236" s="81">
        <v>0.0</v>
      </c>
      <c r="L1236" s="81">
        <v>0.0</v>
      </c>
    </row>
    <row r="1237" ht="15.75" customHeight="1">
      <c r="A1237" s="55" t="s">
        <v>598</v>
      </c>
      <c r="B1237" s="261" t="s">
        <v>111</v>
      </c>
      <c r="C1237" s="149">
        <v>50.0</v>
      </c>
      <c r="D1237" s="66" t="s">
        <v>109</v>
      </c>
      <c r="E1237" s="81">
        <v>2.1</v>
      </c>
      <c r="F1237" s="81">
        <v>0.0</v>
      </c>
      <c r="G1237" s="81">
        <v>5.5</v>
      </c>
      <c r="H1237" s="81">
        <v>0.0</v>
      </c>
      <c r="I1237" s="81">
        <v>42.0</v>
      </c>
      <c r="J1237" s="81">
        <v>0.0</v>
      </c>
      <c r="K1237" s="81">
        <v>0.0</v>
      </c>
      <c r="L1237" s="81">
        <v>9.0</v>
      </c>
    </row>
    <row r="1238" ht="15.75" customHeight="1">
      <c r="A1238" s="55" t="s">
        <v>598</v>
      </c>
      <c r="B1238" s="261" t="s">
        <v>346</v>
      </c>
      <c r="C1238" s="149">
        <v>125.0</v>
      </c>
      <c r="D1238" s="66" t="s">
        <v>109</v>
      </c>
      <c r="E1238" s="81">
        <v>3.125</v>
      </c>
      <c r="F1238" s="81">
        <v>125.0</v>
      </c>
      <c r="G1238" s="81">
        <v>0.0</v>
      </c>
      <c r="H1238" s="81">
        <v>0.0</v>
      </c>
      <c r="I1238" s="81">
        <v>0.0</v>
      </c>
      <c r="J1238" s="81">
        <v>87.5</v>
      </c>
      <c r="K1238" s="81">
        <v>125.0</v>
      </c>
      <c r="L1238" s="81">
        <v>0.0</v>
      </c>
    </row>
    <row r="1239" ht="15.75" customHeight="1">
      <c r="A1239" s="55" t="s">
        <v>598</v>
      </c>
      <c r="B1239" s="261" t="s">
        <v>131</v>
      </c>
      <c r="C1239" s="149">
        <v>40.0</v>
      </c>
      <c r="D1239" s="66" t="s">
        <v>109</v>
      </c>
      <c r="E1239" s="81">
        <v>1.2</v>
      </c>
      <c r="F1239" s="81">
        <v>40.0</v>
      </c>
      <c r="G1239" s="81">
        <v>0.0</v>
      </c>
      <c r="H1239" s="81">
        <v>0.0</v>
      </c>
      <c r="I1239" s="81">
        <v>0.0</v>
      </c>
      <c r="J1239" s="81">
        <v>28.0</v>
      </c>
      <c r="K1239" s="81">
        <v>112.0</v>
      </c>
      <c r="L1239" s="81">
        <v>0.0</v>
      </c>
    </row>
    <row r="1240" ht="15.75" customHeight="1">
      <c r="A1240" s="55" t="s">
        <v>598</v>
      </c>
      <c r="B1240" s="261" t="s">
        <v>139</v>
      </c>
      <c r="C1240" s="149">
        <v>4.0</v>
      </c>
      <c r="D1240" s="66" t="s">
        <v>109</v>
      </c>
      <c r="E1240" s="81">
        <v>0.8</v>
      </c>
      <c r="F1240" s="81">
        <v>0.0</v>
      </c>
      <c r="G1240" s="81">
        <v>0.0</v>
      </c>
      <c r="H1240" s="81">
        <v>0.0</v>
      </c>
      <c r="I1240" s="81">
        <v>4.0</v>
      </c>
      <c r="J1240" s="81">
        <v>0.0</v>
      </c>
      <c r="K1240" s="81">
        <v>0.0</v>
      </c>
      <c r="L1240" s="81">
        <v>0.0</v>
      </c>
    </row>
    <row r="1241" ht="15.75" customHeight="1">
      <c r="A1241" s="55" t="s">
        <v>598</v>
      </c>
      <c r="B1241" s="261" t="s">
        <v>167</v>
      </c>
      <c r="C1241" s="149">
        <v>35.0</v>
      </c>
      <c r="D1241" s="66" t="s">
        <v>109</v>
      </c>
      <c r="E1241" s="81">
        <v>0.0</v>
      </c>
      <c r="F1241" s="81">
        <v>0.0</v>
      </c>
      <c r="G1241" s="81">
        <v>35.0</v>
      </c>
      <c r="H1241" s="81">
        <v>0.0</v>
      </c>
      <c r="I1241" s="81">
        <v>0.0</v>
      </c>
      <c r="J1241" s="81">
        <v>0.0</v>
      </c>
      <c r="K1241" s="81">
        <v>0.0</v>
      </c>
      <c r="L1241" s="81">
        <v>0.0</v>
      </c>
    </row>
    <row r="1242" ht="15.75" customHeight="1">
      <c r="A1242" s="55" t="s">
        <v>598</v>
      </c>
      <c r="B1242" s="261" t="s">
        <v>361</v>
      </c>
      <c r="C1242" s="149">
        <v>15.0</v>
      </c>
      <c r="D1242" s="66" t="s">
        <v>109</v>
      </c>
      <c r="E1242" s="81">
        <v>0.0</v>
      </c>
      <c r="F1242" s="81">
        <v>0.0</v>
      </c>
      <c r="G1242" s="81">
        <v>15.0</v>
      </c>
      <c r="H1242" s="81">
        <v>0.0</v>
      </c>
      <c r="I1242" s="81">
        <v>0.0</v>
      </c>
      <c r="J1242" s="81">
        <v>0.0</v>
      </c>
      <c r="K1242" s="81">
        <v>0.0</v>
      </c>
      <c r="L1242" s="81">
        <v>0.0</v>
      </c>
    </row>
    <row r="1243" ht="15.75" customHeight="1">
      <c r="A1243" s="55" t="s">
        <v>599</v>
      </c>
      <c r="B1243" s="261" t="s">
        <v>14</v>
      </c>
      <c r="C1243" s="149">
        <v>480.0</v>
      </c>
      <c r="D1243" s="66" t="s">
        <v>109</v>
      </c>
      <c r="E1243" s="81">
        <v>0.0</v>
      </c>
      <c r="F1243" s="81">
        <v>0.0</v>
      </c>
      <c r="G1243" s="81">
        <v>0.0</v>
      </c>
      <c r="H1243" s="81">
        <v>0.0</v>
      </c>
      <c r="I1243" s="81">
        <v>0.0</v>
      </c>
      <c r="J1243" s="81">
        <v>0.0</v>
      </c>
      <c r="K1243" s="81">
        <v>0.0</v>
      </c>
      <c r="L1243" s="81">
        <v>0.0</v>
      </c>
    </row>
    <row r="1244" ht="15.75" customHeight="1">
      <c r="A1244" s="55" t="s">
        <v>599</v>
      </c>
      <c r="B1244" s="261" t="s">
        <v>111</v>
      </c>
      <c r="C1244" s="149">
        <v>50.0</v>
      </c>
      <c r="D1244" s="66" t="s">
        <v>109</v>
      </c>
      <c r="E1244" s="81">
        <v>2.1</v>
      </c>
      <c r="F1244" s="81">
        <v>0.0</v>
      </c>
      <c r="G1244" s="81">
        <v>5.5</v>
      </c>
      <c r="H1244" s="81">
        <v>0.0</v>
      </c>
      <c r="I1244" s="81">
        <v>42.0</v>
      </c>
      <c r="J1244" s="81">
        <v>0.0</v>
      </c>
      <c r="K1244" s="81">
        <v>0.0</v>
      </c>
      <c r="L1244" s="81">
        <v>9.0</v>
      </c>
    </row>
    <row r="1245" ht="15.75" customHeight="1">
      <c r="A1245" s="55" t="s">
        <v>599</v>
      </c>
      <c r="B1245" s="261" t="s">
        <v>113</v>
      </c>
      <c r="C1245" s="149">
        <v>110.0</v>
      </c>
      <c r="D1245" s="66" t="s">
        <v>109</v>
      </c>
      <c r="E1245" s="81">
        <v>4.18</v>
      </c>
      <c r="F1245" s="81">
        <v>0.0</v>
      </c>
      <c r="G1245" s="81">
        <v>0.0</v>
      </c>
      <c r="H1245" s="81">
        <v>0.0</v>
      </c>
      <c r="I1245" s="81">
        <v>104.5</v>
      </c>
      <c r="J1245" s="81">
        <v>8.8</v>
      </c>
      <c r="K1245" s="81">
        <v>66.0</v>
      </c>
      <c r="L1245" s="81">
        <v>0.0</v>
      </c>
    </row>
    <row r="1246" ht="15.75" customHeight="1">
      <c r="A1246" s="55" t="s">
        <v>599</v>
      </c>
      <c r="B1246" s="261" t="s">
        <v>131</v>
      </c>
      <c r="C1246" s="149">
        <v>55.0</v>
      </c>
      <c r="D1246" s="66" t="s">
        <v>109</v>
      </c>
      <c r="E1246" s="81">
        <v>1.65</v>
      </c>
      <c r="F1246" s="81">
        <v>55.0</v>
      </c>
      <c r="G1246" s="81">
        <v>0.0</v>
      </c>
      <c r="H1246" s="81">
        <v>0.0</v>
      </c>
      <c r="I1246" s="81">
        <v>0.0</v>
      </c>
      <c r="J1246" s="81">
        <v>38.5</v>
      </c>
      <c r="K1246" s="81">
        <v>154.0</v>
      </c>
      <c r="L1246" s="81">
        <v>0.0</v>
      </c>
    </row>
    <row r="1247" ht="15.75" customHeight="1">
      <c r="A1247" s="55" t="s">
        <v>599</v>
      </c>
      <c r="B1247" s="261" t="s">
        <v>139</v>
      </c>
      <c r="C1247" s="149">
        <v>4.0</v>
      </c>
      <c r="D1247" s="66" t="s">
        <v>109</v>
      </c>
      <c r="E1247" s="81">
        <v>0.8</v>
      </c>
      <c r="F1247" s="81">
        <v>0.0</v>
      </c>
      <c r="G1247" s="81">
        <v>0.0</v>
      </c>
      <c r="H1247" s="81">
        <v>0.0</v>
      </c>
      <c r="I1247" s="81">
        <v>4.0</v>
      </c>
      <c r="J1247" s="81">
        <v>0.0</v>
      </c>
      <c r="K1247" s="81">
        <v>0.0</v>
      </c>
      <c r="L1247" s="81">
        <v>0.0</v>
      </c>
    </row>
    <row r="1248" ht="15.75" customHeight="1">
      <c r="A1248" s="55" t="s">
        <v>599</v>
      </c>
      <c r="B1248" s="261" t="s">
        <v>167</v>
      </c>
      <c r="C1248" s="149">
        <v>50.0</v>
      </c>
      <c r="D1248" s="66" t="s">
        <v>109</v>
      </c>
      <c r="E1248" s="81">
        <v>0.0</v>
      </c>
      <c r="F1248" s="81">
        <v>0.0</v>
      </c>
      <c r="G1248" s="81">
        <v>50.0</v>
      </c>
      <c r="H1248" s="81">
        <v>0.0</v>
      </c>
      <c r="I1248" s="81">
        <v>0.0</v>
      </c>
      <c r="J1248" s="81">
        <v>0.0</v>
      </c>
      <c r="K1248" s="81">
        <v>0.0</v>
      </c>
      <c r="L1248" s="81">
        <v>0.0</v>
      </c>
    </row>
    <row r="1249" ht="15.75" customHeight="1">
      <c r="A1249" s="55" t="s">
        <v>599</v>
      </c>
      <c r="B1249" s="261" t="s">
        <v>401</v>
      </c>
      <c r="C1249" s="149">
        <v>3.0</v>
      </c>
      <c r="D1249" s="66" t="s">
        <v>109</v>
      </c>
      <c r="E1249" s="81">
        <v>0.66</v>
      </c>
      <c r="F1249" s="81">
        <v>0.0</v>
      </c>
      <c r="G1249" s="81">
        <v>0.0</v>
      </c>
      <c r="H1249" s="81">
        <v>0.0</v>
      </c>
      <c r="I1249" s="81">
        <v>3.0</v>
      </c>
      <c r="J1249" s="81">
        <v>180.0</v>
      </c>
      <c r="K1249" s="81">
        <v>0.0</v>
      </c>
      <c r="L1249" s="81">
        <v>0.0</v>
      </c>
    </row>
    <row r="1250" ht="15.75" customHeight="1">
      <c r="A1250" s="55" t="s">
        <v>600</v>
      </c>
      <c r="B1250" s="261" t="s">
        <v>348</v>
      </c>
      <c r="C1250" s="149">
        <v>430.0</v>
      </c>
      <c r="D1250" s="66" t="s">
        <v>109</v>
      </c>
      <c r="E1250" s="81">
        <v>0.0</v>
      </c>
      <c r="F1250" s="81">
        <v>55.9</v>
      </c>
      <c r="G1250" s="81">
        <v>0.0</v>
      </c>
      <c r="H1250" s="81">
        <v>0.0</v>
      </c>
      <c r="I1250" s="81">
        <v>17.2</v>
      </c>
      <c r="J1250" s="81">
        <v>64.5</v>
      </c>
      <c r="K1250" s="81">
        <v>77.39999999999999</v>
      </c>
      <c r="L1250" s="81">
        <v>4.3</v>
      </c>
    </row>
    <row r="1251" ht="15.75" customHeight="1">
      <c r="A1251" s="55" t="s">
        <v>600</v>
      </c>
      <c r="B1251" s="261" t="s">
        <v>14</v>
      </c>
      <c r="C1251" s="149">
        <v>150.0</v>
      </c>
      <c r="D1251" s="66" t="s">
        <v>109</v>
      </c>
      <c r="E1251" s="81">
        <v>0.0</v>
      </c>
      <c r="F1251" s="81">
        <v>0.0</v>
      </c>
      <c r="G1251" s="81">
        <v>0.0</v>
      </c>
      <c r="H1251" s="81">
        <v>0.0</v>
      </c>
      <c r="I1251" s="81">
        <v>0.0</v>
      </c>
      <c r="J1251" s="81">
        <v>0.0</v>
      </c>
      <c r="K1251" s="81">
        <v>0.0</v>
      </c>
      <c r="L1251" s="81">
        <v>0.0</v>
      </c>
    </row>
    <row r="1252" ht="15.75" customHeight="1">
      <c r="A1252" s="55" t="s">
        <v>600</v>
      </c>
      <c r="B1252" s="261" t="s">
        <v>346</v>
      </c>
      <c r="C1252" s="149">
        <v>125.0</v>
      </c>
      <c r="D1252" s="66" t="s">
        <v>109</v>
      </c>
      <c r="E1252" s="81">
        <v>3.125</v>
      </c>
      <c r="F1252" s="81">
        <v>125.0</v>
      </c>
      <c r="G1252" s="81">
        <v>0.0</v>
      </c>
      <c r="H1252" s="81">
        <v>0.0</v>
      </c>
      <c r="I1252" s="81">
        <v>0.0</v>
      </c>
      <c r="J1252" s="81">
        <v>87.5</v>
      </c>
      <c r="K1252" s="81">
        <v>125.0</v>
      </c>
      <c r="L1252" s="81">
        <v>0.0</v>
      </c>
    </row>
    <row r="1253" ht="15.75" customHeight="1">
      <c r="A1253" s="55" t="s">
        <v>600</v>
      </c>
      <c r="B1253" s="261" t="s">
        <v>131</v>
      </c>
      <c r="C1253" s="149">
        <v>35.0</v>
      </c>
      <c r="D1253" s="66" t="s">
        <v>109</v>
      </c>
      <c r="E1253" s="81">
        <v>1.05</v>
      </c>
      <c r="F1253" s="81">
        <v>35.0</v>
      </c>
      <c r="G1253" s="81">
        <v>0.0</v>
      </c>
      <c r="H1253" s="81">
        <v>0.0</v>
      </c>
      <c r="I1253" s="81">
        <v>0.0</v>
      </c>
      <c r="J1253" s="81">
        <v>24.5</v>
      </c>
      <c r="K1253" s="81">
        <v>98.0</v>
      </c>
      <c r="L1253" s="81">
        <v>0.0</v>
      </c>
    </row>
    <row r="1254" ht="15.75" customHeight="1">
      <c r="A1254" s="55" t="s">
        <v>600</v>
      </c>
      <c r="B1254" s="261" t="s">
        <v>170</v>
      </c>
      <c r="C1254" s="149">
        <v>15.0</v>
      </c>
      <c r="D1254" s="66" t="s">
        <v>109</v>
      </c>
      <c r="E1254" s="81">
        <v>1.425</v>
      </c>
      <c r="F1254" s="81">
        <v>0.0</v>
      </c>
      <c r="G1254" s="81">
        <v>0.0</v>
      </c>
      <c r="H1254" s="81">
        <v>0.0</v>
      </c>
      <c r="I1254" s="81">
        <v>14.25</v>
      </c>
      <c r="J1254" s="81">
        <v>0.0</v>
      </c>
      <c r="K1254" s="81">
        <v>3.0</v>
      </c>
      <c r="L1254" s="81">
        <v>0.0</v>
      </c>
    </row>
    <row r="1255" ht="15.75" customHeight="1">
      <c r="A1255" s="55" t="s">
        <v>600</v>
      </c>
      <c r="B1255" s="261" t="s">
        <v>344</v>
      </c>
      <c r="C1255" s="149">
        <v>20.0</v>
      </c>
      <c r="D1255" s="66" t="s">
        <v>109</v>
      </c>
      <c r="E1255" s="81">
        <v>0.26</v>
      </c>
      <c r="F1255" s="81">
        <v>0.504</v>
      </c>
      <c r="G1255" s="81">
        <v>0.047999999999999994</v>
      </c>
      <c r="H1255" s="81">
        <v>0.0</v>
      </c>
      <c r="I1255" s="81">
        <v>1.0</v>
      </c>
      <c r="J1255" s="81">
        <v>0.6</v>
      </c>
      <c r="K1255" s="81">
        <v>0.72</v>
      </c>
      <c r="L1255" s="81">
        <v>0.06</v>
      </c>
    </row>
    <row r="1256" ht="15.75" customHeight="1">
      <c r="A1256" s="55" t="s">
        <v>600</v>
      </c>
      <c r="B1256" s="261" t="s">
        <v>139</v>
      </c>
      <c r="C1256" s="149">
        <v>3.0</v>
      </c>
      <c r="D1256" s="66" t="s">
        <v>109</v>
      </c>
      <c r="E1256" s="81">
        <v>0.6</v>
      </c>
      <c r="F1256" s="81">
        <v>0.0</v>
      </c>
      <c r="G1256" s="81">
        <v>0.0</v>
      </c>
      <c r="H1256" s="81">
        <v>0.0</v>
      </c>
      <c r="I1256" s="81">
        <v>3.0</v>
      </c>
      <c r="J1256" s="81">
        <v>0.0</v>
      </c>
      <c r="K1256" s="81">
        <v>0.0</v>
      </c>
      <c r="L1256" s="81">
        <v>0.0</v>
      </c>
    </row>
    <row r="1257" ht="15.75" customHeight="1">
      <c r="A1257" s="55" t="s">
        <v>602</v>
      </c>
      <c r="B1257" s="261" t="s">
        <v>348</v>
      </c>
      <c r="C1257" s="149">
        <v>430.0</v>
      </c>
      <c r="D1257" s="66" t="s">
        <v>109</v>
      </c>
      <c r="E1257" s="81">
        <v>0.0</v>
      </c>
      <c r="F1257" s="81">
        <v>55.9</v>
      </c>
      <c r="G1257" s="81">
        <v>0.0</v>
      </c>
      <c r="H1257" s="81">
        <v>0.0</v>
      </c>
      <c r="I1257" s="81">
        <v>17.2</v>
      </c>
      <c r="J1257" s="81">
        <v>64.5</v>
      </c>
      <c r="K1257" s="81">
        <v>77.39999999999999</v>
      </c>
      <c r="L1257" s="81">
        <v>4.3</v>
      </c>
    </row>
    <row r="1258" ht="15.75" customHeight="1">
      <c r="A1258" s="55" t="s">
        <v>602</v>
      </c>
      <c r="B1258" s="261" t="s">
        <v>14</v>
      </c>
      <c r="C1258" s="149">
        <v>150.0</v>
      </c>
      <c r="D1258" s="66" t="s">
        <v>109</v>
      </c>
      <c r="E1258" s="81">
        <v>0.0</v>
      </c>
      <c r="F1258" s="81">
        <v>0.0</v>
      </c>
      <c r="G1258" s="81">
        <v>0.0</v>
      </c>
      <c r="H1258" s="81">
        <v>0.0</v>
      </c>
      <c r="I1258" s="81">
        <v>0.0</v>
      </c>
      <c r="J1258" s="81">
        <v>0.0</v>
      </c>
      <c r="K1258" s="81">
        <v>0.0</v>
      </c>
      <c r="L1258" s="81">
        <v>0.0</v>
      </c>
    </row>
    <row r="1259" ht="15.75" customHeight="1">
      <c r="A1259" s="55" t="s">
        <v>602</v>
      </c>
      <c r="B1259" s="261" t="s">
        <v>113</v>
      </c>
      <c r="C1259" s="149">
        <v>110.0</v>
      </c>
      <c r="D1259" s="66" t="s">
        <v>109</v>
      </c>
      <c r="E1259" s="81">
        <v>4.18</v>
      </c>
      <c r="F1259" s="81">
        <v>0.0</v>
      </c>
      <c r="G1259" s="81">
        <v>0.0</v>
      </c>
      <c r="H1259" s="81">
        <v>0.0</v>
      </c>
      <c r="I1259" s="81">
        <v>104.5</v>
      </c>
      <c r="J1259" s="81">
        <v>8.8</v>
      </c>
      <c r="K1259" s="81">
        <v>66.0</v>
      </c>
      <c r="L1259" s="81">
        <v>0.0</v>
      </c>
    </row>
    <row r="1260" ht="15.75" customHeight="1">
      <c r="A1260" s="55" t="s">
        <v>602</v>
      </c>
      <c r="B1260" s="261" t="s">
        <v>131</v>
      </c>
      <c r="C1260" s="149">
        <v>45.0</v>
      </c>
      <c r="D1260" s="66" t="s">
        <v>109</v>
      </c>
      <c r="E1260" s="81">
        <v>1.35</v>
      </c>
      <c r="F1260" s="81">
        <v>45.0</v>
      </c>
      <c r="G1260" s="81">
        <v>0.0</v>
      </c>
      <c r="H1260" s="81">
        <v>0.0</v>
      </c>
      <c r="I1260" s="81">
        <v>0.0</v>
      </c>
      <c r="J1260" s="81">
        <v>31.499999999999996</v>
      </c>
      <c r="K1260" s="81">
        <v>125.99999999999999</v>
      </c>
      <c r="L1260" s="81">
        <v>0.0</v>
      </c>
    </row>
    <row r="1261" ht="15.75" customHeight="1">
      <c r="A1261" s="55" t="s">
        <v>602</v>
      </c>
      <c r="B1261" s="261" t="s">
        <v>170</v>
      </c>
      <c r="C1261" s="149">
        <v>15.0</v>
      </c>
      <c r="D1261" s="66" t="s">
        <v>109</v>
      </c>
      <c r="E1261" s="81">
        <v>1.425</v>
      </c>
      <c r="F1261" s="81">
        <v>0.0</v>
      </c>
      <c r="G1261" s="81">
        <v>0.0</v>
      </c>
      <c r="H1261" s="81">
        <v>0.0</v>
      </c>
      <c r="I1261" s="81">
        <v>14.25</v>
      </c>
      <c r="J1261" s="81">
        <v>0.0</v>
      </c>
      <c r="K1261" s="81">
        <v>3.0</v>
      </c>
      <c r="L1261" s="81">
        <v>0.0</v>
      </c>
    </row>
    <row r="1262" ht="15.75" customHeight="1">
      <c r="A1262" s="55" t="s">
        <v>602</v>
      </c>
      <c r="B1262" s="261" t="s">
        <v>401</v>
      </c>
      <c r="C1262" s="149">
        <v>2.0</v>
      </c>
      <c r="D1262" s="66" t="s">
        <v>109</v>
      </c>
      <c r="E1262" s="81">
        <v>0.44</v>
      </c>
      <c r="F1262" s="81">
        <v>0.0</v>
      </c>
      <c r="G1262" s="81">
        <v>0.0</v>
      </c>
      <c r="H1262" s="81">
        <v>0.0</v>
      </c>
      <c r="I1262" s="81">
        <v>2.0</v>
      </c>
      <c r="J1262" s="81">
        <v>120.0</v>
      </c>
      <c r="K1262" s="81">
        <v>0.0</v>
      </c>
      <c r="L1262" s="81">
        <v>0.0</v>
      </c>
    </row>
    <row r="1263" ht="15.75" customHeight="1">
      <c r="A1263" s="55" t="s">
        <v>602</v>
      </c>
      <c r="B1263" s="261" t="s">
        <v>344</v>
      </c>
      <c r="C1263" s="149">
        <v>20.0</v>
      </c>
      <c r="D1263" s="66" t="s">
        <v>109</v>
      </c>
      <c r="E1263" s="81">
        <v>0.26</v>
      </c>
      <c r="F1263" s="81">
        <v>0.504</v>
      </c>
      <c r="G1263" s="81">
        <v>0.047999999999999994</v>
      </c>
      <c r="H1263" s="81">
        <v>0.0</v>
      </c>
      <c r="I1263" s="81">
        <v>1.0</v>
      </c>
      <c r="J1263" s="81">
        <v>0.6</v>
      </c>
      <c r="K1263" s="81">
        <v>0.72</v>
      </c>
      <c r="L1263" s="81">
        <v>0.06</v>
      </c>
    </row>
    <row r="1264" ht="15.75" customHeight="1">
      <c r="A1264" s="55" t="s">
        <v>602</v>
      </c>
      <c r="B1264" s="261" t="s">
        <v>139</v>
      </c>
      <c r="C1264" s="149">
        <v>3.0</v>
      </c>
      <c r="D1264" s="66" t="s">
        <v>109</v>
      </c>
      <c r="E1264" s="81">
        <v>0.6</v>
      </c>
      <c r="F1264" s="81">
        <v>0.0</v>
      </c>
      <c r="G1264" s="81">
        <v>0.0</v>
      </c>
      <c r="H1264" s="81">
        <v>0.0</v>
      </c>
      <c r="I1264" s="81">
        <v>3.0</v>
      </c>
      <c r="J1264" s="81">
        <v>0.0</v>
      </c>
      <c r="K1264" s="81">
        <v>0.0</v>
      </c>
      <c r="L1264" s="81">
        <v>0.0</v>
      </c>
    </row>
    <row r="1265" ht="15.75" customHeight="1">
      <c r="A1265" s="55" t="s">
        <v>603</v>
      </c>
      <c r="B1265" s="261" t="s">
        <v>58</v>
      </c>
      <c r="C1265" s="149">
        <v>655.0</v>
      </c>
      <c r="D1265" s="66" t="s">
        <v>107</v>
      </c>
      <c r="E1265" s="81">
        <v>3.0129999999999995</v>
      </c>
      <c r="F1265" s="81">
        <v>0.0</v>
      </c>
      <c r="G1265" s="81">
        <v>22.925</v>
      </c>
      <c r="H1265" s="81">
        <v>58.949999999999996</v>
      </c>
      <c r="I1265" s="81">
        <v>0.0</v>
      </c>
      <c r="J1265" s="81">
        <v>5.109</v>
      </c>
      <c r="K1265" s="81">
        <v>26.2</v>
      </c>
      <c r="L1265" s="81">
        <v>22.925</v>
      </c>
    </row>
    <row r="1266" ht="15.75" customHeight="1">
      <c r="A1266" s="55" t="s">
        <v>603</v>
      </c>
      <c r="B1266" s="261" t="s">
        <v>134</v>
      </c>
      <c r="C1266" s="149">
        <v>70.0</v>
      </c>
      <c r="D1266" s="66" t="s">
        <v>107</v>
      </c>
      <c r="E1266" s="81">
        <v>1.33</v>
      </c>
      <c r="F1266" s="81">
        <v>0.0</v>
      </c>
      <c r="G1266" s="81">
        <v>24.5</v>
      </c>
      <c r="H1266" s="81">
        <v>4.2</v>
      </c>
      <c r="I1266" s="81">
        <v>0.0</v>
      </c>
      <c r="J1266" s="81">
        <v>0.378</v>
      </c>
      <c r="K1266" s="81">
        <v>2.1</v>
      </c>
      <c r="L1266" s="81">
        <v>1.68</v>
      </c>
    </row>
    <row r="1267" ht="15.75" customHeight="1">
      <c r="A1267" s="55" t="s">
        <v>603</v>
      </c>
      <c r="B1267" s="261" t="s">
        <v>94</v>
      </c>
      <c r="C1267" s="149">
        <v>140.0</v>
      </c>
      <c r="D1267" s="66" t="s">
        <v>107</v>
      </c>
      <c r="E1267" s="81">
        <v>0.56</v>
      </c>
      <c r="F1267" s="81">
        <v>140.0</v>
      </c>
      <c r="G1267" s="81">
        <v>0.0</v>
      </c>
      <c r="H1267" s="81">
        <v>0.0</v>
      </c>
      <c r="I1267" s="81">
        <v>0.0</v>
      </c>
      <c r="J1267" s="81">
        <v>140.0</v>
      </c>
      <c r="K1267" s="81">
        <v>140.0</v>
      </c>
      <c r="L1267" s="81">
        <v>0.0</v>
      </c>
    </row>
    <row r="1268" ht="15.75" customHeight="1">
      <c r="A1268" s="55" t="s">
        <v>603</v>
      </c>
      <c r="B1268" s="261" t="s">
        <v>63</v>
      </c>
      <c r="C1268" s="149">
        <v>40.0</v>
      </c>
      <c r="D1268" s="66" t="s">
        <v>107</v>
      </c>
      <c r="E1268" s="81">
        <v>1.28</v>
      </c>
      <c r="F1268" s="81">
        <v>36.800000000000004</v>
      </c>
      <c r="G1268" s="81">
        <v>0.0</v>
      </c>
      <c r="H1268" s="81">
        <v>0.0</v>
      </c>
      <c r="I1268" s="81">
        <v>0.0</v>
      </c>
      <c r="J1268" s="81">
        <v>29.6</v>
      </c>
      <c r="K1268" s="81">
        <v>72.0</v>
      </c>
      <c r="L1268" s="81">
        <v>0.0</v>
      </c>
    </row>
    <row r="1269" ht="15.75" customHeight="1">
      <c r="A1269" s="55" t="s">
        <v>603</v>
      </c>
      <c r="B1269" s="261" t="s">
        <v>139</v>
      </c>
      <c r="C1269" s="149">
        <v>3.0</v>
      </c>
      <c r="D1269" s="66" t="s">
        <v>107</v>
      </c>
      <c r="E1269" s="81">
        <v>0.6</v>
      </c>
      <c r="F1269" s="81">
        <v>0.0</v>
      </c>
      <c r="G1269" s="81">
        <v>0.0</v>
      </c>
      <c r="H1269" s="81">
        <v>0.0</v>
      </c>
      <c r="I1269" s="81">
        <v>3.0</v>
      </c>
      <c r="J1269" s="81">
        <v>0.0</v>
      </c>
      <c r="K1269" s="81">
        <v>0.0</v>
      </c>
      <c r="L1269" s="81">
        <v>0.0</v>
      </c>
    </row>
    <row r="1270" ht="15.75" customHeight="1">
      <c r="A1270" s="55" t="s">
        <v>603</v>
      </c>
      <c r="B1270" s="261" t="s">
        <v>135</v>
      </c>
      <c r="C1270" s="149">
        <v>55.0</v>
      </c>
      <c r="D1270" s="66" t="s">
        <v>107</v>
      </c>
      <c r="E1270" s="81">
        <v>2.97</v>
      </c>
      <c r="F1270" s="81">
        <v>0.0</v>
      </c>
      <c r="G1270" s="81">
        <v>0.0</v>
      </c>
      <c r="H1270" s="81">
        <v>53.35</v>
      </c>
      <c r="I1270" s="81">
        <v>0.0</v>
      </c>
      <c r="J1270" s="81">
        <v>4.4</v>
      </c>
      <c r="K1270" s="81">
        <v>27.5</v>
      </c>
      <c r="L1270" s="81">
        <v>19.8</v>
      </c>
    </row>
    <row r="1271" ht="15.75" customHeight="1">
      <c r="A1271" s="55" t="s">
        <v>603</v>
      </c>
      <c r="B1271" s="261" t="s">
        <v>324</v>
      </c>
      <c r="C1271" s="149">
        <v>55.0</v>
      </c>
      <c r="D1271" s="66" t="s">
        <v>107</v>
      </c>
      <c r="E1271" s="81">
        <v>9.9</v>
      </c>
      <c r="F1271" s="81">
        <v>0.0</v>
      </c>
      <c r="G1271" s="81">
        <v>3.6666666666666665</v>
      </c>
      <c r="H1271" s="81">
        <v>49.86666666666667</v>
      </c>
      <c r="I1271" s="81">
        <v>0.0</v>
      </c>
      <c r="J1271" s="81">
        <v>0.55</v>
      </c>
      <c r="K1271" s="81">
        <v>7.700000000000001</v>
      </c>
      <c r="L1271" s="81">
        <v>44.0</v>
      </c>
    </row>
    <row r="1272" ht="15.75" customHeight="1">
      <c r="A1272" s="55" t="s">
        <v>603</v>
      </c>
      <c r="B1272" s="261" t="s">
        <v>141</v>
      </c>
      <c r="C1272" s="149">
        <v>1.0</v>
      </c>
      <c r="D1272" s="66" t="s">
        <v>107</v>
      </c>
      <c r="E1272" s="81">
        <v>0.0035</v>
      </c>
      <c r="F1272" s="81">
        <v>0.0</v>
      </c>
      <c r="G1272" s="81">
        <v>0.0</v>
      </c>
      <c r="H1272" s="81">
        <v>0.0</v>
      </c>
      <c r="I1272" s="81">
        <v>1.0</v>
      </c>
      <c r="J1272" s="81">
        <v>0.0</v>
      </c>
      <c r="K1272" s="81">
        <v>3.0</v>
      </c>
      <c r="L1272" s="81">
        <v>0.0</v>
      </c>
    </row>
    <row r="1273" ht="15.75" customHeight="1">
      <c r="A1273" s="55" t="s">
        <v>603</v>
      </c>
      <c r="B1273" s="261" t="s">
        <v>159</v>
      </c>
      <c r="C1273" s="149">
        <v>3.0</v>
      </c>
      <c r="D1273" s="66" t="s">
        <v>107</v>
      </c>
      <c r="E1273" s="81">
        <v>3.0</v>
      </c>
      <c r="F1273" s="81">
        <v>2.4000000000000004</v>
      </c>
      <c r="G1273" s="81">
        <v>0.0</v>
      </c>
      <c r="H1273" s="81">
        <v>0.0</v>
      </c>
      <c r="I1273" s="81">
        <v>0.0</v>
      </c>
      <c r="J1273" s="81">
        <v>1.35</v>
      </c>
      <c r="K1273" s="81">
        <v>2.25</v>
      </c>
      <c r="L1273" s="81">
        <v>0.0</v>
      </c>
    </row>
    <row r="1274" ht="15.75" customHeight="1">
      <c r="A1274" s="55" t="s">
        <v>604</v>
      </c>
      <c r="B1274" s="261" t="s">
        <v>58</v>
      </c>
      <c r="C1274" s="149">
        <v>655.0</v>
      </c>
      <c r="D1274" s="66" t="s">
        <v>107</v>
      </c>
      <c r="E1274" s="81">
        <v>3.0129999999999995</v>
      </c>
      <c r="F1274" s="81">
        <v>0.0</v>
      </c>
      <c r="G1274" s="81">
        <v>22.925</v>
      </c>
      <c r="H1274" s="81">
        <v>58.949999999999996</v>
      </c>
      <c r="I1274" s="81">
        <v>0.0</v>
      </c>
      <c r="J1274" s="81">
        <v>5.109</v>
      </c>
      <c r="K1274" s="81">
        <v>26.2</v>
      </c>
      <c r="L1274" s="81">
        <v>22.925</v>
      </c>
    </row>
    <row r="1275" ht="15.75" customHeight="1">
      <c r="A1275" s="55" t="s">
        <v>604</v>
      </c>
      <c r="B1275" s="261" t="s">
        <v>134</v>
      </c>
      <c r="C1275" s="149">
        <v>70.0</v>
      </c>
      <c r="D1275" s="66" t="s">
        <v>107</v>
      </c>
      <c r="E1275" s="81">
        <v>1.33</v>
      </c>
      <c r="F1275" s="81">
        <v>0.0</v>
      </c>
      <c r="G1275" s="81">
        <v>24.5</v>
      </c>
      <c r="H1275" s="81">
        <v>4.2</v>
      </c>
      <c r="I1275" s="81">
        <v>0.0</v>
      </c>
      <c r="J1275" s="81">
        <v>0.378</v>
      </c>
      <c r="K1275" s="81">
        <v>2.1</v>
      </c>
      <c r="L1275" s="81">
        <v>1.68</v>
      </c>
    </row>
    <row r="1276" ht="15.75" customHeight="1">
      <c r="A1276" s="55" t="s">
        <v>604</v>
      </c>
      <c r="B1276" s="261" t="s">
        <v>346</v>
      </c>
      <c r="C1276" s="149">
        <v>130.0</v>
      </c>
      <c r="D1276" s="66" t="s">
        <v>107</v>
      </c>
      <c r="E1276" s="81">
        <v>3.25</v>
      </c>
      <c r="F1276" s="81">
        <v>130.0</v>
      </c>
      <c r="G1276" s="81">
        <v>0.0</v>
      </c>
      <c r="H1276" s="81">
        <v>0.0</v>
      </c>
      <c r="I1276" s="81">
        <v>0.0</v>
      </c>
      <c r="J1276" s="81">
        <v>91.0</v>
      </c>
      <c r="K1276" s="81">
        <v>130.0</v>
      </c>
      <c r="L1276" s="81">
        <v>0.0</v>
      </c>
    </row>
    <row r="1277" ht="15.75" customHeight="1">
      <c r="A1277" s="55" t="s">
        <v>604</v>
      </c>
      <c r="B1277" s="261" t="s">
        <v>131</v>
      </c>
      <c r="C1277" s="149">
        <v>30.0</v>
      </c>
      <c r="D1277" s="66" t="s">
        <v>107</v>
      </c>
      <c r="E1277" s="81">
        <v>0.9</v>
      </c>
      <c r="F1277" s="81">
        <v>30.0</v>
      </c>
      <c r="G1277" s="81">
        <v>0.0</v>
      </c>
      <c r="H1277" s="81">
        <v>0.0</v>
      </c>
      <c r="I1277" s="81">
        <v>0.0</v>
      </c>
      <c r="J1277" s="81">
        <v>21.0</v>
      </c>
      <c r="K1277" s="81">
        <v>84.0</v>
      </c>
      <c r="L1277" s="81">
        <v>0.0</v>
      </c>
    </row>
    <row r="1278" ht="15.75" customHeight="1">
      <c r="A1278" s="55" t="s">
        <v>604</v>
      </c>
      <c r="B1278" s="261" t="s">
        <v>139</v>
      </c>
      <c r="C1278" s="149">
        <v>3.0</v>
      </c>
      <c r="D1278" s="66" t="s">
        <v>107</v>
      </c>
      <c r="E1278" s="81">
        <v>0.6</v>
      </c>
      <c r="F1278" s="81">
        <v>0.0</v>
      </c>
      <c r="G1278" s="81">
        <v>0.0</v>
      </c>
      <c r="H1278" s="81">
        <v>0.0</v>
      </c>
      <c r="I1278" s="81">
        <v>3.0</v>
      </c>
      <c r="J1278" s="81">
        <v>0.0</v>
      </c>
      <c r="K1278" s="81">
        <v>0.0</v>
      </c>
      <c r="L1278" s="81">
        <v>0.0</v>
      </c>
    </row>
    <row r="1279" ht="15.75" customHeight="1">
      <c r="A1279" s="55" t="s">
        <v>604</v>
      </c>
      <c r="B1279" s="261" t="s">
        <v>135</v>
      </c>
      <c r="C1279" s="149">
        <v>55.0</v>
      </c>
      <c r="D1279" s="66" t="s">
        <v>107</v>
      </c>
      <c r="E1279" s="81">
        <v>2.97</v>
      </c>
      <c r="F1279" s="81">
        <v>0.0</v>
      </c>
      <c r="G1279" s="81">
        <v>0.0</v>
      </c>
      <c r="H1279" s="81">
        <v>53.35</v>
      </c>
      <c r="I1279" s="81">
        <v>0.0</v>
      </c>
      <c r="J1279" s="81">
        <v>4.4</v>
      </c>
      <c r="K1279" s="81">
        <v>27.5</v>
      </c>
      <c r="L1279" s="81">
        <v>19.8</v>
      </c>
    </row>
    <row r="1280" ht="15.75" customHeight="1">
      <c r="A1280" s="55" t="s">
        <v>604</v>
      </c>
      <c r="B1280" s="261" t="s">
        <v>324</v>
      </c>
      <c r="C1280" s="149">
        <v>55.0</v>
      </c>
      <c r="D1280" s="66" t="s">
        <v>107</v>
      </c>
      <c r="E1280" s="81">
        <v>9.9</v>
      </c>
      <c r="F1280" s="81">
        <v>0.0</v>
      </c>
      <c r="G1280" s="81">
        <v>3.6666666666666665</v>
      </c>
      <c r="H1280" s="81">
        <v>49.86666666666667</v>
      </c>
      <c r="I1280" s="81">
        <v>0.0</v>
      </c>
      <c r="J1280" s="81">
        <v>0.55</v>
      </c>
      <c r="K1280" s="81">
        <v>7.700000000000001</v>
      </c>
      <c r="L1280" s="81">
        <v>44.0</v>
      </c>
    </row>
    <row r="1281" ht="15.75" customHeight="1">
      <c r="A1281" s="55" t="s">
        <v>604</v>
      </c>
      <c r="B1281" s="261" t="s">
        <v>141</v>
      </c>
      <c r="C1281" s="149">
        <v>1.0</v>
      </c>
      <c r="D1281" s="66" t="s">
        <v>107</v>
      </c>
      <c r="E1281" s="81">
        <v>0.0035</v>
      </c>
      <c r="F1281" s="81">
        <v>0.0</v>
      </c>
      <c r="G1281" s="81">
        <v>0.0</v>
      </c>
      <c r="H1281" s="81">
        <v>0.0</v>
      </c>
      <c r="I1281" s="81">
        <v>1.0</v>
      </c>
      <c r="J1281" s="81">
        <v>0.0</v>
      </c>
      <c r="K1281" s="81">
        <v>3.0</v>
      </c>
      <c r="L1281" s="81">
        <v>0.0</v>
      </c>
    </row>
    <row r="1282" ht="15.75" customHeight="1">
      <c r="A1282" s="55" t="s">
        <v>604</v>
      </c>
      <c r="B1282" s="261" t="s">
        <v>159</v>
      </c>
      <c r="C1282" s="149">
        <v>3.0</v>
      </c>
      <c r="D1282" s="66" t="s">
        <v>107</v>
      </c>
      <c r="E1282" s="81">
        <v>3.0</v>
      </c>
      <c r="F1282" s="81">
        <v>2.4000000000000004</v>
      </c>
      <c r="G1282" s="81">
        <v>0.0</v>
      </c>
      <c r="H1282" s="81">
        <v>0.0</v>
      </c>
      <c r="I1282" s="81">
        <v>0.0</v>
      </c>
      <c r="J1282" s="81">
        <v>1.35</v>
      </c>
      <c r="K1282" s="81">
        <v>2.25</v>
      </c>
      <c r="L1282" s="81">
        <v>0.0</v>
      </c>
    </row>
    <row r="1283" ht="15.75" customHeight="1">
      <c r="A1283" s="55" t="s">
        <v>605</v>
      </c>
      <c r="B1283" s="261" t="s">
        <v>58</v>
      </c>
      <c r="C1283" s="149">
        <v>655.0</v>
      </c>
      <c r="D1283" s="66" t="s">
        <v>107</v>
      </c>
      <c r="E1283" s="81">
        <v>3.0129999999999995</v>
      </c>
      <c r="F1283" s="81">
        <v>0.0</v>
      </c>
      <c r="G1283" s="81">
        <v>22.925</v>
      </c>
      <c r="H1283" s="81">
        <v>58.949999999999996</v>
      </c>
      <c r="I1283" s="81">
        <v>0.0</v>
      </c>
      <c r="J1283" s="81">
        <v>5.109</v>
      </c>
      <c r="K1283" s="81">
        <v>26.2</v>
      </c>
      <c r="L1283" s="81">
        <v>22.925</v>
      </c>
    </row>
    <row r="1284" ht="15.75" customHeight="1">
      <c r="A1284" s="55" t="s">
        <v>605</v>
      </c>
      <c r="B1284" s="261" t="s">
        <v>134</v>
      </c>
      <c r="C1284" s="149">
        <v>70.0</v>
      </c>
      <c r="D1284" s="66" t="s">
        <v>107</v>
      </c>
      <c r="E1284" s="81">
        <v>1.33</v>
      </c>
      <c r="F1284" s="81">
        <v>0.0</v>
      </c>
      <c r="G1284" s="81">
        <v>24.5</v>
      </c>
      <c r="H1284" s="81">
        <v>4.2</v>
      </c>
      <c r="I1284" s="81">
        <v>0.0</v>
      </c>
      <c r="J1284" s="81">
        <v>0.378</v>
      </c>
      <c r="K1284" s="81">
        <v>2.1</v>
      </c>
      <c r="L1284" s="81">
        <v>1.68</v>
      </c>
    </row>
    <row r="1285" ht="15.75" customHeight="1">
      <c r="A1285" s="55" t="s">
        <v>605</v>
      </c>
      <c r="B1285" s="261" t="s">
        <v>113</v>
      </c>
      <c r="C1285" s="149">
        <v>100.0</v>
      </c>
      <c r="D1285" s="66" t="s">
        <v>107</v>
      </c>
      <c r="E1285" s="81">
        <v>3.8</v>
      </c>
      <c r="F1285" s="81">
        <v>0.0</v>
      </c>
      <c r="G1285" s="81">
        <v>0.0</v>
      </c>
      <c r="H1285" s="81">
        <v>0.0</v>
      </c>
      <c r="I1285" s="81">
        <v>95.0</v>
      </c>
      <c r="J1285" s="81">
        <v>8.0</v>
      </c>
      <c r="K1285" s="81">
        <v>60.0</v>
      </c>
      <c r="L1285" s="81">
        <v>0.0</v>
      </c>
    </row>
    <row r="1286" ht="15.75" customHeight="1">
      <c r="A1286" s="55" t="s">
        <v>605</v>
      </c>
      <c r="B1286" s="261" t="s">
        <v>131</v>
      </c>
      <c r="C1286" s="149">
        <v>50.0</v>
      </c>
      <c r="D1286" s="66" t="s">
        <v>107</v>
      </c>
      <c r="E1286" s="81">
        <v>1.5</v>
      </c>
      <c r="F1286" s="81">
        <v>50.0</v>
      </c>
      <c r="G1286" s="81">
        <v>0.0</v>
      </c>
      <c r="H1286" s="81">
        <v>0.0</v>
      </c>
      <c r="I1286" s="81">
        <v>0.0</v>
      </c>
      <c r="J1286" s="81">
        <v>35.0</v>
      </c>
      <c r="K1286" s="81">
        <v>140.0</v>
      </c>
      <c r="L1286" s="81">
        <v>0.0</v>
      </c>
    </row>
    <row r="1287" ht="15.75" customHeight="1">
      <c r="A1287" s="55" t="s">
        <v>605</v>
      </c>
      <c r="B1287" s="261" t="s">
        <v>140</v>
      </c>
      <c r="C1287" s="149">
        <v>2.0</v>
      </c>
      <c r="D1287" s="66" t="s">
        <v>107</v>
      </c>
      <c r="E1287" s="81">
        <v>0.24</v>
      </c>
      <c r="F1287" s="81">
        <v>0.0</v>
      </c>
      <c r="G1287" s="81">
        <v>0.0</v>
      </c>
      <c r="H1287" s="81">
        <v>0.0</v>
      </c>
      <c r="I1287" s="81">
        <v>2.0</v>
      </c>
      <c r="J1287" s="81">
        <v>60.0</v>
      </c>
      <c r="K1287" s="81">
        <v>0.0</v>
      </c>
      <c r="L1287" s="81">
        <v>0.0</v>
      </c>
    </row>
    <row r="1288" ht="15.75" customHeight="1">
      <c r="A1288" s="55" t="s">
        <v>605</v>
      </c>
      <c r="B1288" s="261" t="s">
        <v>139</v>
      </c>
      <c r="C1288" s="149">
        <v>3.0</v>
      </c>
      <c r="D1288" s="66" t="s">
        <v>107</v>
      </c>
      <c r="E1288" s="81">
        <v>0.6</v>
      </c>
      <c r="F1288" s="81">
        <v>0.0</v>
      </c>
      <c r="G1288" s="81">
        <v>0.0</v>
      </c>
      <c r="H1288" s="81">
        <v>0.0</v>
      </c>
      <c r="I1288" s="81">
        <v>3.0</v>
      </c>
      <c r="J1288" s="81">
        <v>0.0</v>
      </c>
      <c r="K1288" s="81">
        <v>0.0</v>
      </c>
      <c r="L1288" s="81">
        <v>0.0</v>
      </c>
    </row>
    <row r="1289" ht="15.75" customHeight="1">
      <c r="A1289" s="55" t="s">
        <v>605</v>
      </c>
      <c r="B1289" s="261" t="s">
        <v>135</v>
      </c>
      <c r="C1289" s="149">
        <v>55.0</v>
      </c>
      <c r="D1289" s="66" t="s">
        <v>107</v>
      </c>
      <c r="E1289" s="81">
        <v>2.97</v>
      </c>
      <c r="F1289" s="81">
        <v>0.0</v>
      </c>
      <c r="G1289" s="81">
        <v>0.0</v>
      </c>
      <c r="H1289" s="81">
        <v>53.35</v>
      </c>
      <c r="I1289" s="81">
        <v>0.0</v>
      </c>
      <c r="J1289" s="81">
        <v>4.4</v>
      </c>
      <c r="K1289" s="81">
        <v>27.5</v>
      </c>
      <c r="L1289" s="81">
        <v>19.8</v>
      </c>
    </row>
    <row r="1290" ht="15.75" customHeight="1">
      <c r="A1290" s="55" t="s">
        <v>605</v>
      </c>
      <c r="B1290" s="261" t="s">
        <v>324</v>
      </c>
      <c r="C1290" s="149">
        <v>55.0</v>
      </c>
      <c r="D1290" s="66" t="s">
        <v>107</v>
      </c>
      <c r="E1290" s="81">
        <v>9.9</v>
      </c>
      <c r="F1290" s="81">
        <v>0.0</v>
      </c>
      <c r="G1290" s="81">
        <v>3.6666666666666665</v>
      </c>
      <c r="H1290" s="81">
        <v>49.86666666666667</v>
      </c>
      <c r="I1290" s="81">
        <v>0.0</v>
      </c>
      <c r="J1290" s="81">
        <v>0.55</v>
      </c>
      <c r="K1290" s="81">
        <v>7.700000000000001</v>
      </c>
      <c r="L1290" s="81">
        <v>44.0</v>
      </c>
    </row>
    <row r="1291" ht="15.75" customHeight="1">
      <c r="A1291" s="55" t="s">
        <v>605</v>
      </c>
      <c r="B1291" s="261" t="s">
        <v>141</v>
      </c>
      <c r="C1291" s="149">
        <v>1.0</v>
      </c>
      <c r="D1291" s="66" t="s">
        <v>107</v>
      </c>
      <c r="E1291" s="81">
        <v>0.0035</v>
      </c>
      <c r="F1291" s="81">
        <v>0.0</v>
      </c>
      <c r="G1291" s="81">
        <v>0.0</v>
      </c>
      <c r="H1291" s="81">
        <v>0.0</v>
      </c>
      <c r="I1291" s="81">
        <v>1.0</v>
      </c>
      <c r="J1291" s="81">
        <v>0.0</v>
      </c>
      <c r="K1291" s="81">
        <v>3.0</v>
      </c>
      <c r="L1291" s="81">
        <v>0.0</v>
      </c>
    </row>
    <row r="1292" ht="15.75" customHeight="1">
      <c r="A1292" s="55" t="s">
        <v>605</v>
      </c>
      <c r="B1292" s="261" t="s">
        <v>159</v>
      </c>
      <c r="C1292" s="149">
        <v>3.0</v>
      </c>
      <c r="D1292" s="66" t="s">
        <v>107</v>
      </c>
      <c r="E1292" s="81">
        <v>3.0</v>
      </c>
      <c r="F1292" s="81">
        <v>2.4000000000000004</v>
      </c>
      <c r="G1292" s="81">
        <v>0.0</v>
      </c>
      <c r="H1292" s="81">
        <v>0.0</v>
      </c>
      <c r="I1292" s="81">
        <v>0.0</v>
      </c>
      <c r="J1292" s="81">
        <v>1.35</v>
      </c>
      <c r="K1292" s="81">
        <v>2.25</v>
      </c>
      <c r="L1292" s="81">
        <v>0.0</v>
      </c>
    </row>
    <row r="1293" ht="15.75" customHeight="1">
      <c r="A1293" s="55" t="s">
        <v>607</v>
      </c>
      <c r="B1293" s="261" t="s">
        <v>58</v>
      </c>
      <c r="C1293" s="149">
        <v>655.0</v>
      </c>
      <c r="D1293" s="66" t="s">
        <v>107</v>
      </c>
      <c r="E1293" s="81">
        <v>3.0129999999999995</v>
      </c>
      <c r="F1293" s="81">
        <v>0.0</v>
      </c>
      <c r="G1293" s="81">
        <v>22.925</v>
      </c>
      <c r="H1293" s="81">
        <v>58.949999999999996</v>
      </c>
      <c r="I1293" s="81">
        <v>0.0</v>
      </c>
      <c r="J1293" s="81">
        <v>5.109</v>
      </c>
      <c r="K1293" s="81">
        <v>26.2</v>
      </c>
      <c r="L1293" s="81">
        <v>22.925</v>
      </c>
    </row>
    <row r="1294" ht="15.75" customHeight="1">
      <c r="A1294" s="55" t="s">
        <v>607</v>
      </c>
      <c r="B1294" s="261" t="s">
        <v>134</v>
      </c>
      <c r="C1294" s="149">
        <v>70.0</v>
      </c>
      <c r="D1294" s="66" t="s">
        <v>107</v>
      </c>
      <c r="E1294" s="81">
        <v>1.33</v>
      </c>
      <c r="F1294" s="81">
        <v>0.0</v>
      </c>
      <c r="G1294" s="81">
        <v>24.5</v>
      </c>
      <c r="H1294" s="81">
        <v>4.2</v>
      </c>
      <c r="I1294" s="81">
        <v>0.0</v>
      </c>
      <c r="J1294" s="81">
        <v>0.378</v>
      </c>
      <c r="K1294" s="81">
        <v>2.1</v>
      </c>
      <c r="L1294" s="81">
        <v>1.68</v>
      </c>
    </row>
    <row r="1295" ht="15.75" customHeight="1">
      <c r="A1295" s="55" t="s">
        <v>607</v>
      </c>
      <c r="B1295" s="261" t="s">
        <v>94</v>
      </c>
      <c r="C1295" s="149">
        <v>140.0</v>
      </c>
      <c r="D1295" s="66" t="s">
        <v>107</v>
      </c>
      <c r="E1295" s="81">
        <v>0.56</v>
      </c>
      <c r="F1295" s="81">
        <v>140.0</v>
      </c>
      <c r="G1295" s="81">
        <v>0.0</v>
      </c>
      <c r="H1295" s="81">
        <v>0.0</v>
      </c>
      <c r="I1295" s="81">
        <v>0.0</v>
      </c>
      <c r="J1295" s="81">
        <v>140.0</v>
      </c>
      <c r="K1295" s="81">
        <v>140.0</v>
      </c>
      <c r="L1295" s="81">
        <v>0.0</v>
      </c>
    </row>
    <row r="1296" ht="15.75" customHeight="1">
      <c r="A1296" s="55" t="s">
        <v>607</v>
      </c>
      <c r="B1296" s="261" t="s">
        <v>63</v>
      </c>
      <c r="C1296" s="149">
        <v>40.0</v>
      </c>
      <c r="D1296" s="66" t="s">
        <v>107</v>
      </c>
      <c r="E1296" s="81">
        <v>1.28</v>
      </c>
      <c r="F1296" s="81">
        <v>36.800000000000004</v>
      </c>
      <c r="G1296" s="81">
        <v>0.0</v>
      </c>
      <c r="H1296" s="81">
        <v>0.0</v>
      </c>
      <c r="I1296" s="81">
        <v>0.0</v>
      </c>
      <c r="J1296" s="81">
        <v>29.6</v>
      </c>
      <c r="K1296" s="81">
        <v>72.0</v>
      </c>
      <c r="L1296" s="81">
        <v>0.0</v>
      </c>
    </row>
    <row r="1297" ht="15.75" customHeight="1">
      <c r="A1297" s="55" t="s">
        <v>607</v>
      </c>
      <c r="B1297" s="261" t="s">
        <v>139</v>
      </c>
      <c r="C1297" s="149">
        <v>3.0</v>
      </c>
      <c r="D1297" s="66" t="s">
        <v>107</v>
      </c>
      <c r="E1297" s="81">
        <v>0.6</v>
      </c>
      <c r="F1297" s="81">
        <v>0.0</v>
      </c>
      <c r="G1297" s="81">
        <v>0.0</v>
      </c>
      <c r="H1297" s="81">
        <v>0.0</v>
      </c>
      <c r="I1297" s="81">
        <v>3.0</v>
      </c>
      <c r="J1297" s="81">
        <v>0.0</v>
      </c>
      <c r="K1297" s="81">
        <v>0.0</v>
      </c>
      <c r="L1297" s="81">
        <v>0.0</v>
      </c>
    </row>
    <row r="1298" ht="15.75" customHeight="1">
      <c r="A1298" s="55" t="s">
        <v>607</v>
      </c>
      <c r="B1298" s="261" t="s">
        <v>135</v>
      </c>
      <c r="C1298" s="149">
        <v>30.0</v>
      </c>
      <c r="D1298" s="66" t="s">
        <v>107</v>
      </c>
      <c r="E1298" s="81">
        <v>1.62</v>
      </c>
      <c r="F1298" s="81">
        <v>0.0</v>
      </c>
      <c r="G1298" s="81">
        <v>0.0</v>
      </c>
      <c r="H1298" s="81">
        <v>29.099999999999998</v>
      </c>
      <c r="I1298" s="81">
        <v>0.0</v>
      </c>
      <c r="J1298" s="81">
        <v>2.4</v>
      </c>
      <c r="K1298" s="81">
        <v>15.0</v>
      </c>
      <c r="L1298" s="81">
        <v>10.799999999999999</v>
      </c>
    </row>
    <row r="1299" ht="15.75" customHeight="1">
      <c r="A1299" s="55" t="s">
        <v>607</v>
      </c>
      <c r="B1299" s="261" t="s">
        <v>324</v>
      </c>
      <c r="C1299" s="149">
        <v>55.0</v>
      </c>
      <c r="D1299" s="66" t="s">
        <v>107</v>
      </c>
      <c r="E1299" s="81">
        <v>9.9</v>
      </c>
      <c r="F1299" s="81">
        <v>0.0</v>
      </c>
      <c r="G1299" s="81">
        <v>3.6666666666666665</v>
      </c>
      <c r="H1299" s="81">
        <v>49.86666666666667</v>
      </c>
      <c r="I1299" s="81">
        <v>0.0</v>
      </c>
      <c r="J1299" s="81">
        <v>0.55</v>
      </c>
      <c r="K1299" s="81">
        <v>7.700000000000001</v>
      </c>
      <c r="L1299" s="81">
        <v>44.0</v>
      </c>
    </row>
    <row r="1300" ht="15.75" customHeight="1">
      <c r="A1300" s="55" t="s">
        <v>607</v>
      </c>
      <c r="B1300" s="261" t="s">
        <v>141</v>
      </c>
      <c r="C1300" s="149">
        <v>1.0</v>
      </c>
      <c r="D1300" s="66" t="s">
        <v>107</v>
      </c>
      <c r="E1300" s="81">
        <v>0.0035</v>
      </c>
      <c r="F1300" s="81">
        <v>0.0</v>
      </c>
      <c r="G1300" s="81">
        <v>0.0</v>
      </c>
      <c r="H1300" s="81">
        <v>0.0</v>
      </c>
      <c r="I1300" s="81">
        <v>1.0</v>
      </c>
      <c r="J1300" s="81">
        <v>0.0</v>
      </c>
      <c r="K1300" s="81">
        <v>3.0</v>
      </c>
      <c r="L1300" s="81">
        <v>0.0</v>
      </c>
    </row>
    <row r="1301" ht="15.75" customHeight="1">
      <c r="A1301" s="55" t="s">
        <v>607</v>
      </c>
      <c r="B1301" s="261" t="s">
        <v>111</v>
      </c>
      <c r="C1301" s="149">
        <v>25.0</v>
      </c>
      <c r="D1301" s="66" t="s">
        <v>107</v>
      </c>
      <c r="E1301" s="81">
        <v>1.05</v>
      </c>
      <c r="F1301" s="81">
        <v>0.0</v>
      </c>
      <c r="G1301" s="81">
        <v>2.75</v>
      </c>
      <c r="H1301" s="81">
        <v>0.0</v>
      </c>
      <c r="I1301" s="81">
        <v>21.0</v>
      </c>
      <c r="J1301" s="81">
        <v>0.0</v>
      </c>
      <c r="K1301" s="81">
        <v>0.0</v>
      </c>
      <c r="L1301" s="81">
        <v>4.5</v>
      </c>
    </row>
    <row r="1302" ht="15.75" customHeight="1">
      <c r="A1302" s="55" t="s">
        <v>608</v>
      </c>
      <c r="B1302" s="261" t="s">
        <v>58</v>
      </c>
      <c r="C1302" s="149">
        <v>655.0</v>
      </c>
      <c r="D1302" s="66" t="s">
        <v>107</v>
      </c>
      <c r="E1302" s="81">
        <v>3.0129999999999995</v>
      </c>
      <c r="F1302" s="81">
        <v>0.0</v>
      </c>
      <c r="G1302" s="81">
        <v>22.925</v>
      </c>
      <c r="H1302" s="81">
        <v>58.949999999999996</v>
      </c>
      <c r="I1302" s="81">
        <v>0.0</v>
      </c>
      <c r="J1302" s="81">
        <v>5.109</v>
      </c>
      <c r="K1302" s="81">
        <v>26.2</v>
      </c>
      <c r="L1302" s="81">
        <v>22.925</v>
      </c>
    </row>
    <row r="1303" ht="15.75" customHeight="1">
      <c r="A1303" s="55" t="s">
        <v>608</v>
      </c>
      <c r="B1303" s="261" t="s">
        <v>134</v>
      </c>
      <c r="C1303" s="149">
        <v>70.0</v>
      </c>
      <c r="D1303" s="66" t="s">
        <v>107</v>
      </c>
      <c r="E1303" s="81">
        <v>1.33</v>
      </c>
      <c r="F1303" s="81">
        <v>0.0</v>
      </c>
      <c r="G1303" s="81">
        <v>24.5</v>
      </c>
      <c r="H1303" s="81">
        <v>4.2</v>
      </c>
      <c r="I1303" s="81">
        <v>0.0</v>
      </c>
      <c r="J1303" s="81">
        <v>0.378</v>
      </c>
      <c r="K1303" s="81">
        <v>2.1</v>
      </c>
      <c r="L1303" s="81">
        <v>1.68</v>
      </c>
    </row>
    <row r="1304" ht="15.75" customHeight="1">
      <c r="A1304" s="55" t="s">
        <v>608</v>
      </c>
      <c r="B1304" s="261" t="s">
        <v>346</v>
      </c>
      <c r="C1304" s="149">
        <v>125.0</v>
      </c>
      <c r="D1304" s="66" t="s">
        <v>107</v>
      </c>
      <c r="E1304" s="81">
        <v>3.125</v>
      </c>
      <c r="F1304" s="81">
        <v>125.0</v>
      </c>
      <c r="G1304" s="81">
        <v>0.0</v>
      </c>
      <c r="H1304" s="81">
        <v>0.0</v>
      </c>
      <c r="I1304" s="81">
        <v>0.0</v>
      </c>
      <c r="J1304" s="81">
        <v>87.5</v>
      </c>
      <c r="K1304" s="81">
        <v>125.0</v>
      </c>
      <c r="L1304" s="81">
        <v>0.0</v>
      </c>
    </row>
    <row r="1305" ht="15.75" customHeight="1">
      <c r="A1305" s="55" t="s">
        <v>608</v>
      </c>
      <c r="B1305" s="261" t="s">
        <v>131</v>
      </c>
      <c r="C1305" s="149">
        <v>35.0</v>
      </c>
      <c r="D1305" s="66" t="s">
        <v>107</v>
      </c>
      <c r="E1305" s="81">
        <v>1.05</v>
      </c>
      <c r="F1305" s="81">
        <v>35.0</v>
      </c>
      <c r="G1305" s="81">
        <v>0.0</v>
      </c>
      <c r="H1305" s="81">
        <v>0.0</v>
      </c>
      <c r="I1305" s="81">
        <v>0.0</v>
      </c>
      <c r="J1305" s="81">
        <v>24.5</v>
      </c>
      <c r="K1305" s="81">
        <v>98.0</v>
      </c>
      <c r="L1305" s="81">
        <v>0.0</v>
      </c>
    </row>
    <row r="1306" ht="15.75" customHeight="1">
      <c r="A1306" s="55" t="s">
        <v>608</v>
      </c>
      <c r="B1306" s="261" t="s">
        <v>139</v>
      </c>
      <c r="C1306" s="149">
        <v>3.0</v>
      </c>
      <c r="D1306" s="66" t="s">
        <v>107</v>
      </c>
      <c r="E1306" s="81">
        <v>0.6</v>
      </c>
      <c r="F1306" s="81">
        <v>0.0</v>
      </c>
      <c r="G1306" s="81">
        <v>0.0</v>
      </c>
      <c r="H1306" s="81">
        <v>0.0</v>
      </c>
      <c r="I1306" s="81">
        <v>3.0</v>
      </c>
      <c r="J1306" s="81">
        <v>0.0</v>
      </c>
      <c r="K1306" s="81">
        <v>0.0</v>
      </c>
      <c r="L1306" s="81">
        <v>0.0</v>
      </c>
    </row>
    <row r="1307" ht="15.75" customHeight="1">
      <c r="A1307" s="55" t="s">
        <v>608</v>
      </c>
      <c r="B1307" s="261" t="s">
        <v>135</v>
      </c>
      <c r="C1307" s="149">
        <v>55.0</v>
      </c>
      <c r="D1307" s="66" t="s">
        <v>107</v>
      </c>
      <c r="E1307" s="81">
        <v>2.97</v>
      </c>
      <c r="F1307" s="81">
        <v>0.0</v>
      </c>
      <c r="G1307" s="81">
        <v>0.0</v>
      </c>
      <c r="H1307" s="81">
        <v>53.35</v>
      </c>
      <c r="I1307" s="81">
        <v>0.0</v>
      </c>
      <c r="J1307" s="81">
        <v>4.4</v>
      </c>
      <c r="K1307" s="81">
        <v>27.5</v>
      </c>
      <c r="L1307" s="81">
        <v>19.8</v>
      </c>
    </row>
    <row r="1308" ht="15.75" customHeight="1">
      <c r="A1308" s="55" t="s">
        <v>608</v>
      </c>
      <c r="B1308" s="261" t="s">
        <v>324</v>
      </c>
      <c r="C1308" s="149">
        <v>55.0</v>
      </c>
      <c r="D1308" s="66" t="s">
        <v>107</v>
      </c>
      <c r="E1308" s="81">
        <v>9.9</v>
      </c>
      <c r="F1308" s="81">
        <v>0.0</v>
      </c>
      <c r="G1308" s="81">
        <v>3.6666666666666665</v>
      </c>
      <c r="H1308" s="81">
        <v>49.86666666666667</v>
      </c>
      <c r="I1308" s="81">
        <v>0.0</v>
      </c>
      <c r="J1308" s="81">
        <v>0.55</v>
      </c>
      <c r="K1308" s="81">
        <v>7.700000000000001</v>
      </c>
      <c r="L1308" s="81">
        <v>44.0</v>
      </c>
    </row>
    <row r="1309" ht="15.75" customHeight="1">
      <c r="A1309" s="55" t="s">
        <v>608</v>
      </c>
      <c r="B1309" s="261" t="s">
        <v>141</v>
      </c>
      <c r="C1309" s="149">
        <v>1.0</v>
      </c>
      <c r="D1309" s="66" t="s">
        <v>107</v>
      </c>
      <c r="E1309" s="81">
        <v>0.0035</v>
      </c>
      <c r="F1309" s="81">
        <v>0.0</v>
      </c>
      <c r="G1309" s="81">
        <v>0.0</v>
      </c>
      <c r="H1309" s="81">
        <v>0.0</v>
      </c>
      <c r="I1309" s="81">
        <v>1.0</v>
      </c>
      <c r="J1309" s="81">
        <v>0.0</v>
      </c>
      <c r="K1309" s="81">
        <v>3.0</v>
      </c>
      <c r="L1309" s="81">
        <v>0.0</v>
      </c>
    </row>
    <row r="1310" ht="15.75" customHeight="1">
      <c r="A1310" s="55" t="s">
        <v>608</v>
      </c>
      <c r="B1310" s="261" t="s">
        <v>111</v>
      </c>
      <c r="C1310" s="149">
        <v>25.0</v>
      </c>
      <c r="D1310" s="66" t="s">
        <v>107</v>
      </c>
      <c r="E1310" s="81">
        <v>1.05</v>
      </c>
      <c r="F1310" s="81">
        <v>0.0</v>
      </c>
      <c r="G1310" s="81">
        <v>2.75</v>
      </c>
      <c r="H1310" s="81">
        <v>0.0</v>
      </c>
      <c r="I1310" s="81">
        <v>21.0</v>
      </c>
      <c r="J1310" s="81">
        <v>0.0</v>
      </c>
      <c r="K1310" s="81">
        <v>0.0</v>
      </c>
      <c r="L1310" s="81">
        <v>4.5</v>
      </c>
    </row>
    <row r="1311" ht="15.75" customHeight="1">
      <c r="A1311" s="55" t="s">
        <v>609</v>
      </c>
      <c r="B1311" s="261" t="s">
        <v>58</v>
      </c>
      <c r="C1311" s="149">
        <v>655.0</v>
      </c>
      <c r="D1311" s="66" t="s">
        <v>107</v>
      </c>
      <c r="E1311" s="81">
        <v>3.0129999999999995</v>
      </c>
      <c r="F1311" s="81">
        <v>0.0</v>
      </c>
      <c r="G1311" s="81">
        <v>22.925</v>
      </c>
      <c r="H1311" s="81">
        <v>58.949999999999996</v>
      </c>
      <c r="I1311" s="81">
        <v>0.0</v>
      </c>
      <c r="J1311" s="81">
        <v>5.109</v>
      </c>
      <c r="K1311" s="81">
        <v>26.2</v>
      </c>
      <c r="L1311" s="81">
        <v>22.925</v>
      </c>
    </row>
    <row r="1312" ht="15.75" customHeight="1">
      <c r="A1312" s="55" t="s">
        <v>609</v>
      </c>
      <c r="B1312" s="261" t="s">
        <v>134</v>
      </c>
      <c r="C1312" s="149">
        <v>70.0</v>
      </c>
      <c r="D1312" s="66" t="s">
        <v>107</v>
      </c>
      <c r="E1312" s="81">
        <v>1.33</v>
      </c>
      <c r="F1312" s="81">
        <v>0.0</v>
      </c>
      <c r="G1312" s="81">
        <v>24.5</v>
      </c>
      <c r="H1312" s="81">
        <v>4.2</v>
      </c>
      <c r="I1312" s="81">
        <v>0.0</v>
      </c>
      <c r="J1312" s="81">
        <v>0.378</v>
      </c>
      <c r="K1312" s="81">
        <v>2.1</v>
      </c>
      <c r="L1312" s="81">
        <v>1.68</v>
      </c>
    </row>
    <row r="1313" ht="15.75" customHeight="1">
      <c r="A1313" s="55" t="s">
        <v>609</v>
      </c>
      <c r="B1313" s="261" t="s">
        <v>113</v>
      </c>
      <c r="C1313" s="149">
        <v>100.0</v>
      </c>
      <c r="D1313" s="66" t="s">
        <v>107</v>
      </c>
      <c r="E1313" s="81">
        <v>3.8</v>
      </c>
      <c r="F1313" s="81">
        <v>0.0</v>
      </c>
      <c r="G1313" s="81">
        <v>0.0</v>
      </c>
      <c r="H1313" s="81">
        <v>0.0</v>
      </c>
      <c r="I1313" s="81">
        <v>95.0</v>
      </c>
      <c r="J1313" s="81">
        <v>8.0</v>
      </c>
      <c r="K1313" s="81">
        <v>60.0</v>
      </c>
      <c r="L1313" s="81">
        <v>0.0</v>
      </c>
    </row>
    <row r="1314" ht="15.75" customHeight="1">
      <c r="A1314" s="55" t="s">
        <v>609</v>
      </c>
      <c r="B1314" s="261" t="s">
        <v>131</v>
      </c>
      <c r="C1314" s="149">
        <v>55.0</v>
      </c>
      <c r="D1314" s="66" t="s">
        <v>107</v>
      </c>
      <c r="E1314" s="81">
        <v>1.65</v>
      </c>
      <c r="F1314" s="81">
        <v>55.0</v>
      </c>
      <c r="G1314" s="81">
        <v>0.0</v>
      </c>
      <c r="H1314" s="81">
        <v>0.0</v>
      </c>
      <c r="I1314" s="81">
        <v>0.0</v>
      </c>
      <c r="J1314" s="81">
        <v>38.5</v>
      </c>
      <c r="K1314" s="81">
        <v>154.0</v>
      </c>
      <c r="L1314" s="81">
        <v>0.0</v>
      </c>
    </row>
    <row r="1315" ht="15.75" customHeight="1">
      <c r="A1315" s="55" t="s">
        <v>609</v>
      </c>
      <c r="B1315" s="261" t="s">
        <v>140</v>
      </c>
      <c r="C1315" s="149">
        <v>2.0</v>
      </c>
      <c r="D1315" s="66" t="s">
        <v>107</v>
      </c>
      <c r="E1315" s="81">
        <v>0.24</v>
      </c>
      <c r="F1315" s="81">
        <v>0.0</v>
      </c>
      <c r="G1315" s="81">
        <v>0.0</v>
      </c>
      <c r="H1315" s="81">
        <v>0.0</v>
      </c>
      <c r="I1315" s="81">
        <v>2.0</v>
      </c>
      <c r="J1315" s="81">
        <v>60.0</v>
      </c>
      <c r="K1315" s="81">
        <v>0.0</v>
      </c>
      <c r="L1315" s="81">
        <v>0.0</v>
      </c>
    </row>
    <row r="1316" ht="15.75" customHeight="1">
      <c r="A1316" s="55" t="s">
        <v>609</v>
      </c>
      <c r="B1316" s="261" t="s">
        <v>139</v>
      </c>
      <c r="C1316" s="149">
        <v>3.0</v>
      </c>
      <c r="D1316" s="66" t="s">
        <v>107</v>
      </c>
      <c r="E1316" s="81">
        <v>0.6</v>
      </c>
      <c r="F1316" s="81">
        <v>0.0</v>
      </c>
      <c r="G1316" s="81">
        <v>0.0</v>
      </c>
      <c r="H1316" s="81">
        <v>0.0</v>
      </c>
      <c r="I1316" s="81">
        <v>3.0</v>
      </c>
      <c r="J1316" s="81">
        <v>0.0</v>
      </c>
      <c r="K1316" s="81">
        <v>0.0</v>
      </c>
      <c r="L1316" s="81">
        <v>0.0</v>
      </c>
    </row>
    <row r="1317" ht="15.75" customHeight="1">
      <c r="A1317" s="55" t="s">
        <v>609</v>
      </c>
      <c r="B1317" s="261" t="s">
        <v>135</v>
      </c>
      <c r="C1317" s="149">
        <v>55.0</v>
      </c>
      <c r="D1317" s="66" t="s">
        <v>107</v>
      </c>
      <c r="E1317" s="81">
        <v>2.97</v>
      </c>
      <c r="F1317" s="81">
        <v>0.0</v>
      </c>
      <c r="G1317" s="81">
        <v>0.0</v>
      </c>
      <c r="H1317" s="81">
        <v>53.35</v>
      </c>
      <c r="I1317" s="81">
        <v>0.0</v>
      </c>
      <c r="J1317" s="81">
        <v>4.4</v>
      </c>
      <c r="K1317" s="81">
        <v>27.5</v>
      </c>
      <c r="L1317" s="81">
        <v>19.8</v>
      </c>
    </row>
    <row r="1318" ht="15.75" customHeight="1">
      <c r="A1318" s="55" t="s">
        <v>609</v>
      </c>
      <c r="B1318" s="261" t="s">
        <v>324</v>
      </c>
      <c r="C1318" s="149">
        <v>55.0</v>
      </c>
      <c r="D1318" s="66" t="s">
        <v>107</v>
      </c>
      <c r="E1318" s="81">
        <v>9.9</v>
      </c>
      <c r="F1318" s="81">
        <v>0.0</v>
      </c>
      <c r="G1318" s="81">
        <v>3.6666666666666665</v>
      </c>
      <c r="H1318" s="81">
        <v>49.86666666666667</v>
      </c>
      <c r="I1318" s="81">
        <v>0.0</v>
      </c>
      <c r="J1318" s="81">
        <v>0.55</v>
      </c>
      <c r="K1318" s="81">
        <v>7.700000000000001</v>
      </c>
      <c r="L1318" s="81">
        <v>44.0</v>
      </c>
    </row>
    <row r="1319" ht="15.75" customHeight="1">
      <c r="A1319" s="55" t="s">
        <v>609</v>
      </c>
      <c r="B1319" s="261" t="s">
        <v>141</v>
      </c>
      <c r="C1319" s="149">
        <v>1.0</v>
      </c>
      <c r="D1319" s="66" t="s">
        <v>107</v>
      </c>
      <c r="E1319" s="81">
        <v>0.0035</v>
      </c>
      <c r="F1319" s="81">
        <v>0.0</v>
      </c>
      <c r="G1319" s="81">
        <v>0.0</v>
      </c>
      <c r="H1319" s="81">
        <v>0.0</v>
      </c>
      <c r="I1319" s="81">
        <v>1.0</v>
      </c>
      <c r="J1319" s="81">
        <v>0.0</v>
      </c>
      <c r="K1319" s="81">
        <v>3.0</v>
      </c>
      <c r="L1319" s="81">
        <v>0.0</v>
      </c>
    </row>
    <row r="1320" ht="15.75" customHeight="1">
      <c r="A1320" s="55" t="s">
        <v>609</v>
      </c>
      <c r="B1320" s="261" t="s">
        <v>111</v>
      </c>
      <c r="C1320" s="149">
        <v>25.0</v>
      </c>
      <c r="D1320" s="66" t="s">
        <v>107</v>
      </c>
      <c r="E1320" s="81">
        <v>1.05</v>
      </c>
      <c r="F1320" s="81">
        <v>0.0</v>
      </c>
      <c r="G1320" s="81">
        <v>2.75</v>
      </c>
      <c r="H1320" s="81">
        <v>0.0</v>
      </c>
      <c r="I1320" s="81">
        <v>21.0</v>
      </c>
      <c r="J1320" s="81">
        <v>0.0</v>
      </c>
      <c r="K1320" s="81">
        <v>0.0</v>
      </c>
      <c r="L1320" s="81">
        <v>4.5</v>
      </c>
    </row>
    <row r="1321" ht="15.75" customHeight="1">
      <c r="A1321" s="55" t="s">
        <v>611</v>
      </c>
      <c r="B1321" s="261" t="s">
        <v>58</v>
      </c>
      <c r="C1321" s="149">
        <v>655.0</v>
      </c>
      <c r="D1321" s="66" t="s">
        <v>107</v>
      </c>
      <c r="E1321" s="81">
        <v>3.0129999999999995</v>
      </c>
      <c r="F1321" s="81">
        <v>0.0</v>
      </c>
      <c r="G1321" s="81">
        <v>22.925</v>
      </c>
      <c r="H1321" s="81">
        <v>58.949999999999996</v>
      </c>
      <c r="I1321" s="81">
        <v>0.0</v>
      </c>
      <c r="J1321" s="81">
        <v>5.109</v>
      </c>
      <c r="K1321" s="81">
        <v>26.2</v>
      </c>
      <c r="L1321" s="81">
        <v>22.925</v>
      </c>
    </row>
    <row r="1322" ht="15.75" customHeight="1">
      <c r="A1322" s="55" t="s">
        <v>611</v>
      </c>
      <c r="B1322" s="261" t="s">
        <v>206</v>
      </c>
      <c r="C1322" s="149">
        <v>80.0</v>
      </c>
      <c r="D1322" s="66" t="s">
        <v>107</v>
      </c>
      <c r="E1322" s="81">
        <v>23.2</v>
      </c>
      <c r="F1322" s="81">
        <v>3.5999999999999996</v>
      </c>
      <c r="G1322" s="81">
        <v>44.800000000000004</v>
      </c>
      <c r="H1322" s="81">
        <v>0.0</v>
      </c>
      <c r="I1322" s="81">
        <v>31.6</v>
      </c>
      <c r="J1322" s="81">
        <v>0.0</v>
      </c>
      <c r="K1322" s="81">
        <v>0.0</v>
      </c>
      <c r="L1322" s="81">
        <v>10.4</v>
      </c>
    </row>
    <row r="1323" ht="15.75" customHeight="1">
      <c r="A1323" s="55" t="s">
        <v>611</v>
      </c>
      <c r="B1323" s="261" t="s">
        <v>94</v>
      </c>
      <c r="C1323" s="149">
        <v>140.0</v>
      </c>
      <c r="D1323" s="66" t="s">
        <v>107</v>
      </c>
      <c r="E1323" s="81">
        <v>0.56</v>
      </c>
      <c r="F1323" s="81">
        <v>140.0</v>
      </c>
      <c r="G1323" s="81">
        <v>0.0</v>
      </c>
      <c r="H1323" s="81">
        <v>0.0</v>
      </c>
      <c r="I1323" s="81">
        <v>0.0</v>
      </c>
      <c r="J1323" s="81">
        <v>140.0</v>
      </c>
      <c r="K1323" s="81">
        <v>140.0</v>
      </c>
      <c r="L1323" s="81">
        <v>0.0</v>
      </c>
    </row>
    <row r="1324" ht="15.75" customHeight="1">
      <c r="A1324" s="55" t="s">
        <v>611</v>
      </c>
      <c r="B1324" s="261" t="s">
        <v>63</v>
      </c>
      <c r="C1324" s="149">
        <v>40.0</v>
      </c>
      <c r="D1324" s="66" t="s">
        <v>107</v>
      </c>
      <c r="E1324" s="81">
        <v>1.28</v>
      </c>
      <c r="F1324" s="81">
        <v>36.800000000000004</v>
      </c>
      <c r="G1324" s="81">
        <v>0.0</v>
      </c>
      <c r="H1324" s="81">
        <v>0.0</v>
      </c>
      <c r="I1324" s="81">
        <v>0.0</v>
      </c>
      <c r="J1324" s="81">
        <v>29.6</v>
      </c>
      <c r="K1324" s="81">
        <v>72.0</v>
      </c>
      <c r="L1324" s="81">
        <v>0.0</v>
      </c>
    </row>
    <row r="1325" ht="15.75" customHeight="1">
      <c r="A1325" s="55" t="s">
        <v>611</v>
      </c>
      <c r="B1325" s="261" t="s">
        <v>139</v>
      </c>
      <c r="C1325" s="149">
        <v>3.0</v>
      </c>
      <c r="D1325" s="66" t="s">
        <v>107</v>
      </c>
      <c r="E1325" s="81">
        <v>0.6</v>
      </c>
      <c r="F1325" s="81">
        <v>0.0</v>
      </c>
      <c r="G1325" s="81">
        <v>0.0</v>
      </c>
      <c r="H1325" s="81">
        <v>0.0</v>
      </c>
      <c r="I1325" s="81">
        <v>3.0</v>
      </c>
      <c r="J1325" s="81">
        <v>0.0</v>
      </c>
      <c r="K1325" s="81">
        <v>0.0</v>
      </c>
      <c r="L1325" s="81">
        <v>0.0</v>
      </c>
    </row>
    <row r="1326" ht="15.75" customHeight="1">
      <c r="A1326" s="55" t="s">
        <v>611</v>
      </c>
      <c r="B1326" s="261" t="s">
        <v>135</v>
      </c>
      <c r="C1326" s="149">
        <v>30.0</v>
      </c>
      <c r="D1326" s="66" t="s">
        <v>107</v>
      </c>
      <c r="E1326" s="81">
        <v>1.62</v>
      </c>
      <c r="F1326" s="81">
        <v>0.0</v>
      </c>
      <c r="G1326" s="81">
        <v>0.0</v>
      </c>
      <c r="H1326" s="81">
        <v>29.099999999999998</v>
      </c>
      <c r="I1326" s="81">
        <v>0.0</v>
      </c>
      <c r="J1326" s="81">
        <v>2.4</v>
      </c>
      <c r="K1326" s="81">
        <v>15.0</v>
      </c>
      <c r="L1326" s="81">
        <v>10.799999999999999</v>
      </c>
    </row>
    <row r="1327" ht="15.75" customHeight="1">
      <c r="A1327" s="55" t="s">
        <v>611</v>
      </c>
      <c r="B1327" s="261" t="s">
        <v>324</v>
      </c>
      <c r="C1327" s="149">
        <v>55.0</v>
      </c>
      <c r="D1327" s="66" t="s">
        <v>107</v>
      </c>
      <c r="E1327" s="81">
        <v>9.9</v>
      </c>
      <c r="F1327" s="81">
        <v>0.0</v>
      </c>
      <c r="G1327" s="81">
        <v>3.6666666666666665</v>
      </c>
      <c r="H1327" s="81">
        <v>49.86666666666667</v>
      </c>
      <c r="I1327" s="81">
        <v>0.0</v>
      </c>
      <c r="J1327" s="81">
        <v>0.55</v>
      </c>
      <c r="K1327" s="81">
        <v>7.700000000000001</v>
      </c>
      <c r="L1327" s="81">
        <v>44.0</v>
      </c>
    </row>
    <row r="1328" ht="15.75" customHeight="1">
      <c r="A1328" s="55" t="s">
        <v>611</v>
      </c>
      <c r="B1328" s="261" t="s">
        <v>141</v>
      </c>
      <c r="C1328" s="149">
        <v>1.0</v>
      </c>
      <c r="D1328" s="66" t="s">
        <v>107</v>
      </c>
      <c r="E1328" s="81">
        <v>0.0035</v>
      </c>
      <c r="F1328" s="81">
        <v>0.0</v>
      </c>
      <c r="G1328" s="81">
        <v>0.0</v>
      </c>
      <c r="H1328" s="81">
        <v>0.0</v>
      </c>
      <c r="I1328" s="81">
        <v>1.0</v>
      </c>
      <c r="J1328" s="81">
        <v>0.0</v>
      </c>
      <c r="K1328" s="81">
        <v>3.0</v>
      </c>
      <c r="L1328" s="81">
        <v>0.0</v>
      </c>
    </row>
    <row r="1329" ht="15.75" customHeight="1">
      <c r="A1329" s="55" t="s">
        <v>613</v>
      </c>
      <c r="B1329" s="261" t="s">
        <v>58</v>
      </c>
      <c r="C1329" s="149">
        <v>655.0</v>
      </c>
      <c r="D1329" s="66" t="s">
        <v>107</v>
      </c>
      <c r="E1329" s="81">
        <v>3.0129999999999995</v>
      </c>
      <c r="F1329" s="81">
        <v>0.0</v>
      </c>
      <c r="G1329" s="81">
        <v>22.925</v>
      </c>
      <c r="H1329" s="81">
        <v>58.949999999999996</v>
      </c>
      <c r="I1329" s="81">
        <v>0.0</v>
      </c>
      <c r="J1329" s="81">
        <v>5.109</v>
      </c>
      <c r="K1329" s="81">
        <v>26.2</v>
      </c>
      <c r="L1329" s="81">
        <v>22.925</v>
      </c>
    </row>
    <row r="1330" ht="15.75" customHeight="1">
      <c r="A1330" s="55" t="s">
        <v>613</v>
      </c>
      <c r="B1330" s="261" t="s">
        <v>206</v>
      </c>
      <c r="C1330" s="149">
        <v>80.0</v>
      </c>
      <c r="D1330" s="66" t="s">
        <v>107</v>
      </c>
      <c r="E1330" s="81">
        <v>23.2</v>
      </c>
      <c r="F1330" s="81">
        <v>3.5999999999999996</v>
      </c>
      <c r="G1330" s="81">
        <v>44.800000000000004</v>
      </c>
      <c r="H1330" s="81">
        <v>0.0</v>
      </c>
      <c r="I1330" s="81">
        <v>31.6</v>
      </c>
      <c r="J1330" s="81">
        <v>0.0</v>
      </c>
      <c r="K1330" s="81">
        <v>0.0</v>
      </c>
      <c r="L1330" s="81">
        <v>10.4</v>
      </c>
    </row>
    <row r="1331" ht="15.75" customHeight="1">
      <c r="A1331" s="55" t="s">
        <v>613</v>
      </c>
      <c r="B1331" s="261" t="s">
        <v>346</v>
      </c>
      <c r="C1331" s="149">
        <v>125.0</v>
      </c>
      <c r="D1331" s="66" t="s">
        <v>107</v>
      </c>
      <c r="E1331" s="81">
        <v>3.125</v>
      </c>
      <c r="F1331" s="81">
        <v>125.0</v>
      </c>
      <c r="G1331" s="81">
        <v>0.0</v>
      </c>
      <c r="H1331" s="81">
        <v>0.0</v>
      </c>
      <c r="I1331" s="81">
        <v>0.0</v>
      </c>
      <c r="J1331" s="81">
        <v>87.5</v>
      </c>
      <c r="K1331" s="81">
        <v>125.0</v>
      </c>
      <c r="L1331" s="81">
        <v>0.0</v>
      </c>
    </row>
    <row r="1332" ht="15.75" customHeight="1">
      <c r="A1332" s="55" t="s">
        <v>613</v>
      </c>
      <c r="B1332" s="261" t="s">
        <v>131</v>
      </c>
      <c r="C1332" s="149">
        <v>35.0</v>
      </c>
      <c r="D1332" s="66" t="s">
        <v>107</v>
      </c>
      <c r="E1332" s="81">
        <v>1.05</v>
      </c>
      <c r="F1332" s="81">
        <v>35.0</v>
      </c>
      <c r="G1332" s="81">
        <v>0.0</v>
      </c>
      <c r="H1332" s="81">
        <v>0.0</v>
      </c>
      <c r="I1332" s="81">
        <v>0.0</v>
      </c>
      <c r="J1332" s="81">
        <v>24.5</v>
      </c>
      <c r="K1332" s="81">
        <v>98.0</v>
      </c>
      <c r="L1332" s="81">
        <v>0.0</v>
      </c>
    </row>
    <row r="1333" ht="15.75" customHeight="1">
      <c r="A1333" s="55" t="s">
        <v>613</v>
      </c>
      <c r="B1333" s="261" t="s">
        <v>139</v>
      </c>
      <c r="C1333" s="149">
        <v>3.0</v>
      </c>
      <c r="D1333" s="66" t="s">
        <v>107</v>
      </c>
      <c r="E1333" s="81">
        <v>0.6</v>
      </c>
      <c r="F1333" s="81">
        <v>0.0</v>
      </c>
      <c r="G1333" s="81">
        <v>0.0</v>
      </c>
      <c r="H1333" s="81">
        <v>0.0</v>
      </c>
      <c r="I1333" s="81">
        <v>3.0</v>
      </c>
      <c r="J1333" s="81">
        <v>0.0</v>
      </c>
      <c r="K1333" s="81">
        <v>0.0</v>
      </c>
      <c r="L1333" s="81">
        <v>0.0</v>
      </c>
    </row>
    <row r="1334" ht="15.75" customHeight="1">
      <c r="A1334" s="55" t="s">
        <v>613</v>
      </c>
      <c r="B1334" s="261" t="s">
        <v>135</v>
      </c>
      <c r="C1334" s="149">
        <v>55.0</v>
      </c>
      <c r="D1334" s="66" t="s">
        <v>107</v>
      </c>
      <c r="E1334" s="81">
        <v>2.97</v>
      </c>
      <c r="F1334" s="81">
        <v>0.0</v>
      </c>
      <c r="G1334" s="81">
        <v>0.0</v>
      </c>
      <c r="H1334" s="81">
        <v>53.35</v>
      </c>
      <c r="I1334" s="81">
        <v>0.0</v>
      </c>
      <c r="J1334" s="81">
        <v>4.4</v>
      </c>
      <c r="K1334" s="81">
        <v>27.5</v>
      </c>
      <c r="L1334" s="81">
        <v>19.8</v>
      </c>
    </row>
    <row r="1335" ht="15.75" customHeight="1">
      <c r="A1335" s="55" t="s">
        <v>613</v>
      </c>
      <c r="B1335" s="261" t="s">
        <v>324</v>
      </c>
      <c r="C1335" s="149">
        <v>55.0</v>
      </c>
      <c r="D1335" s="66" t="s">
        <v>107</v>
      </c>
      <c r="E1335" s="81">
        <v>9.9</v>
      </c>
      <c r="F1335" s="81">
        <v>0.0</v>
      </c>
      <c r="G1335" s="81">
        <v>3.6666666666666665</v>
      </c>
      <c r="H1335" s="81">
        <v>49.86666666666667</v>
      </c>
      <c r="I1335" s="81">
        <v>0.0</v>
      </c>
      <c r="J1335" s="81">
        <v>0.55</v>
      </c>
      <c r="K1335" s="81">
        <v>7.700000000000001</v>
      </c>
      <c r="L1335" s="81">
        <v>44.0</v>
      </c>
    </row>
    <row r="1336" ht="15.75" customHeight="1">
      <c r="A1336" s="55" t="s">
        <v>613</v>
      </c>
      <c r="B1336" s="261" t="s">
        <v>141</v>
      </c>
      <c r="C1336" s="149">
        <v>1.0</v>
      </c>
      <c r="D1336" s="66" t="s">
        <v>107</v>
      </c>
      <c r="E1336" s="81">
        <v>0.0035</v>
      </c>
      <c r="F1336" s="81">
        <v>0.0</v>
      </c>
      <c r="G1336" s="81">
        <v>0.0</v>
      </c>
      <c r="H1336" s="81">
        <v>0.0</v>
      </c>
      <c r="I1336" s="81">
        <v>1.0</v>
      </c>
      <c r="J1336" s="81">
        <v>0.0</v>
      </c>
      <c r="K1336" s="81">
        <v>3.0</v>
      </c>
      <c r="L1336" s="81">
        <v>0.0</v>
      </c>
    </row>
    <row r="1337" ht="15.75" customHeight="1">
      <c r="A1337" s="55" t="s">
        <v>614</v>
      </c>
      <c r="B1337" s="261" t="s">
        <v>58</v>
      </c>
      <c r="C1337" s="149">
        <v>655.0</v>
      </c>
      <c r="D1337" s="66" t="s">
        <v>107</v>
      </c>
      <c r="E1337" s="81">
        <v>3.0129999999999995</v>
      </c>
      <c r="F1337" s="81">
        <v>0.0</v>
      </c>
      <c r="G1337" s="81">
        <v>22.925</v>
      </c>
      <c r="H1337" s="81">
        <v>58.949999999999996</v>
      </c>
      <c r="I1337" s="81">
        <v>0.0</v>
      </c>
      <c r="J1337" s="81">
        <v>5.109</v>
      </c>
      <c r="K1337" s="81">
        <v>26.2</v>
      </c>
      <c r="L1337" s="81">
        <v>22.925</v>
      </c>
    </row>
    <row r="1338" ht="15.75" customHeight="1">
      <c r="A1338" s="55" t="s">
        <v>614</v>
      </c>
      <c r="B1338" s="261" t="s">
        <v>206</v>
      </c>
      <c r="C1338" s="149">
        <v>80.0</v>
      </c>
      <c r="D1338" s="66" t="s">
        <v>107</v>
      </c>
      <c r="E1338" s="81">
        <v>23.2</v>
      </c>
      <c r="F1338" s="81">
        <v>3.5999999999999996</v>
      </c>
      <c r="G1338" s="81">
        <v>44.800000000000004</v>
      </c>
      <c r="H1338" s="81">
        <v>0.0</v>
      </c>
      <c r="I1338" s="81">
        <v>31.6</v>
      </c>
      <c r="J1338" s="81">
        <v>0.0</v>
      </c>
      <c r="K1338" s="81">
        <v>0.0</v>
      </c>
      <c r="L1338" s="81">
        <v>10.4</v>
      </c>
    </row>
    <row r="1339" ht="15.75" customHeight="1">
      <c r="A1339" s="55" t="s">
        <v>614</v>
      </c>
      <c r="B1339" s="261" t="s">
        <v>113</v>
      </c>
      <c r="C1339" s="149">
        <v>100.0</v>
      </c>
      <c r="D1339" s="66" t="s">
        <v>107</v>
      </c>
      <c r="E1339" s="81">
        <v>3.8</v>
      </c>
      <c r="F1339" s="81">
        <v>0.0</v>
      </c>
      <c r="G1339" s="81">
        <v>0.0</v>
      </c>
      <c r="H1339" s="81">
        <v>0.0</v>
      </c>
      <c r="I1339" s="81">
        <v>95.0</v>
      </c>
      <c r="J1339" s="81">
        <v>8.0</v>
      </c>
      <c r="K1339" s="81">
        <v>60.0</v>
      </c>
      <c r="L1339" s="81">
        <v>0.0</v>
      </c>
    </row>
    <row r="1340" ht="15.75" customHeight="1">
      <c r="A1340" s="55" t="s">
        <v>614</v>
      </c>
      <c r="B1340" s="261" t="s">
        <v>131</v>
      </c>
      <c r="C1340" s="149">
        <v>55.0</v>
      </c>
      <c r="D1340" s="66" t="s">
        <v>107</v>
      </c>
      <c r="E1340" s="81">
        <v>1.65</v>
      </c>
      <c r="F1340" s="81">
        <v>55.0</v>
      </c>
      <c r="G1340" s="81">
        <v>0.0</v>
      </c>
      <c r="H1340" s="81">
        <v>0.0</v>
      </c>
      <c r="I1340" s="81">
        <v>0.0</v>
      </c>
      <c r="J1340" s="81">
        <v>38.5</v>
      </c>
      <c r="K1340" s="81">
        <v>154.0</v>
      </c>
      <c r="L1340" s="81">
        <v>0.0</v>
      </c>
    </row>
    <row r="1341" ht="15.75" customHeight="1">
      <c r="A1341" s="55" t="s">
        <v>614</v>
      </c>
      <c r="B1341" s="261" t="s">
        <v>140</v>
      </c>
      <c r="C1341" s="149">
        <v>2.0</v>
      </c>
      <c r="D1341" s="66" t="s">
        <v>107</v>
      </c>
      <c r="E1341" s="81">
        <v>0.24</v>
      </c>
      <c r="F1341" s="81">
        <v>0.0</v>
      </c>
      <c r="G1341" s="81">
        <v>0.0</v>
      </c>
      <c r="H1341" s="81">
        <v>0.0</v>
      </c>
      <c r="I1341" s="81">
        <v>2.0</v>
      </c>
      <c r="J1341" s="81">
        <v>60.0</v>
      </c>
      <c r="K1341" s="81">
        <v>0.0</v>
      </c>
      <c r="L1341" s="81">
        <v>0.0</v>
      </c>
    </row>
    <row r="1342" ht="15.75" customHeight="1">
      <c r="A1342" s="55" t="s">
        <v>614</v>
      </c>
      <c r="B1342" s="261" t="s">
        <v>139</v>
      </c>
      <c r="C1342" s="149">
        <v>3.0</v>
      </c>
      <c r="D1342" s="66" t="s">
        <v>107</v>
      </c>
      <c r="E1342" s="81">
        <v>0.6</v>
      </c>
      <c r="F1342" s="81">
        <v>0.0</v>
      </c>
      <c r="G1342" s="81">
        <v>0.0</v>
      </c>
      <c r="H1342" s="81">
        <v>0.0</v>
      </c>
      <c r="I1342" s="81">
        <v>3.0</v>
      </c>
      <c r="J1342" s="81">
        <v>0.0</v>
      </c>
      <c r="K1342" s="81">
        <v>0.0</v>
      </c>
      <c r="L1342" s="81">
        <v>0.0</v>
      </c>
    </row>
    <row r="1343" ht="15.75" customHeight="1">
      <c r="A1343" s="55" t="s">
        <v>614</v>
      </c>
      <c r="B1343" s="261" t="s">
        <v>135</v>
      </c>
      <c r="C1343" s="149">
        <v>55.0</v>
      </c>
      <c r="D1343" s="66" t="s">
        <v>107</v>
      </c>
      <c r="E1343" s="81">
        <v>2.97</v>
      </c>
      <c r="F1343" s="81">
        <v>0.0</v>
      </c>
      <c r="G1343" s="81">
        <v>0.0</v>
      </c>
      <c r="H1343" s="81">
        <v>53.35</v>
      </c>
      <c r="I1343" s="81">
        <v>0.0</v>
      </c>
      <c r="J1343" s="81">
        <v>4.4</v>
      </c>
      <c r="K1343" s="81">
        <v>27.5</v>
      </c>
      <c r="L1343" s="81">
        <v>19.8</v>
      </c>
    </row>
    <row r="1344" ht="15.75" customHeight="1">
      <c r="A1344" s="55" t="s">
        <v>614</v>
      </c>
      <c r="B1344" s="261" t="s">
        <v>324</v>
      </c>
      <c r="C1344" s="149">
        <v>55.0</v>
      </c>
      <c r="D1344" s="66" t="s">
        <v>107</v>
      </c>
      <c r="E1344" s="81">
        <v>9.9</v>
      </c>
      <c r="F1344" s="81">
        <v>0.0</v>
      </c>
      <c r="G1344" s="81">
        <v>3.6666666666666665</v>
      </c>
      <c r="H1344" s="81">
        <v>49.86666666666667</v>
      </c>
      <c r="I1344" s="81">
        <v>0.0</v>
      </c>
      <c r="J1344" s="81">
        <v>0.55</v>
      </c>
      <c r="K1344" s="81">
        <v>7.700000000000001</v>
      </c>
      <c r="L1344" s="81">
        <v>44.0</v>
      </c>
    </row>
    <row r="1345" ht="15.75" customHeight="1">
      <c r="A1345" s="55" t="s">
        <v>614</v>
      </c>
      <c r="B1345" s="261" t="s">
        <v>141</v>
      </c>
      <c r="C1345" s="149">
        <v>1.0</v>
      </c>
      <c r="D1345" s="66" t="s">
        <v>107</v>
      </c>
      <c r="E1345" s="81">
        <v>0.0035</v>
      </c>
      <c r="F1345" s="81">
        <v>0.0</v>
      </c>
      <c r="G1345" s="81">
        <v>0.0</v>
      </c>
      <c r="H1345" s="81">
        <v>0.0</v>
      </c>
      <c r="I1345" s="81">
        <v>1.0</v>
      </c>
      <c r="J1345" s="81">
        <v>0.0</v>
      </c>
      <c r="K1345" s="81">
        <v>3.0</v>
      </c>
      <c r="L1345" s="81">
        <v>0.0</v>
      </c>
    </row>
    <row r="1346" ht="15.75" customHeight="1">
      <c r="A1346" s="55" t="s">
        <v>616</v>
      </c>
      <c r="B1346" s="261" t="s">
        <v>105</v>
      </c>
      <c r="C1346" s="149">
        <v>350.0</v>
      </c>
      <c r="D1346" s="66" t="s">
        <v>107</v>
      </c>
      <c r="E1346" s="81">
        <v>0.0</v>
      </c>
      <c r="F1346" s="81">
        <v>56.0</v>
      </c>
      <c r="G1346" s="81">
        <v>0.0</v>
      </c>
      <c r="H1346" s="81">
        <v>0.0</v>
      </c>
      <c r="I1346" s="81">
        <v>24.500000000000004</v>
      </c>
      <c r="J1346" s="81">
        <v>66.5</v>
      </c>
      <c r="K1346" s="81">
        <v>80.5</v>
      </c>
      <c r="L1346" s="81">
        <v>3.5</v>
      </c>
    </row>
    <row r="1347" ht="15.75" customHeight="1">
      <c r="A1347" s="55" t="s">
        <v>616</v>
      </c>
      <c r="B1347" s="261" t="s">
        <v>58</v>
      </c>
      <c r="C1347" s="149">
        <v>255.0</v>
      </c>
      <c r="D1347" s="66" t="s">
        <v>107</v>
      </c>
      <c r="E1347" s="81">
        <v>1.173</v>
      </c>
      <c r="F1347" s="81">
        <v>0.0</v>
      </c>
      <c r="G1347" s="81">
        <v>8.925</v>
      </c>
      <c r="H1347" s="81">
        <v>22.95</v>
      </c>
      <c r="I1347" s="81">
        <v>0.0</v>
      </c>
      <c r="J1347" s="81">
        <v>1.9889999999999999</v>
      </c>
      <c r="K1347" s="81">
        <v>10.200000000000001</v>
      </c>
      <c r="L1347" s="81">
        <v>8.925</v>
      </c>
    </row>
    <row r="1348" ht="15.75" customHeight="1">
      <c r="A1348" s="55" t="s">
        <v>616</v>
      </c>
      <c r="B1348" s="261" t="s">
        <v>134</v>
      </c>
      <c r="C1348" s="149">
        <v>120.0</v>
      </c>
      <c r="D1348" s="66" t="s">
        <v>107</v>
      </c>
      <c r="E1348" s="81">
        <v>2.28</v>
      </c>
      <c r="F1348" s="81">
        <v>0.0</v>
      </c>
      <c r="G1348" s="81">
        <v>42.0</v>
      </c>
      <c r="H1348" s="81">
        <v>7.199999999999999</v>
      </c>
      <c r="I1348" s="81">
        <v>0.0</v>
      </c>
      <c r="J1348" s="81">
        <v>0.648</v>
      </c>
      <c r="K1348" s="81">
        <v>3.5999999999999996</v>
      </c>
      <c r="L1348" s="81">
        <v>2.88</v>
      </c>
    </row>
    <row r="1349" ht="15.75" customHeight="1">
      <c r="A1349" s="55" t="s">
        <v>616</v>
      </c>
      <c r="B1349" s="261" t="s">
        <v>135</v>
      </c>
      <c r="C1349" s="149">
        <v>55.0</v>
      </c>
      <c r="D1349" s="66" t="s">
        <v>107</v>
      </c>
      <c r="E1349" s="81">
        <v>2.97</v>
      </c>
      <c r="F1349" s="81">
        <v>0.0</v>
      </c>
      <c r="G1349" s="81">
        <v>0.0</v>
      </c>
      <c r="H1349" s="81">
        <v>53.35</v>
      </c>
      <c r="I1349" s="81">
        <v>0.0</v>
      </c>
      <c r="J1349" s="81">
        <v>4.4</v>
      </c>
      <c r="K1349" s="81">
        <v>27.5</v>
      </c>
      <c r="L1349" s="81">
        <v>19.8</v>
      </c>
    </row>
    <row r="1350" ht="15.75" customHeight="1">
      <c r="A1350" s="55" t="s">
        <v>616</v>
      </c>
      <c r="B1350" s="261" t="s">
        <v>324</v>
      </c>
      <c r="C1350" s="149">
        <v>65.0</v>
      </c>
      <c r="D1350" s="66" t="s">
        <v>107</v>
      </c>
      <c r="E1350" s="81">
        <v>11.7</v>
      </c>
      <c r="F1350" s="81">
        <v>0.0</v>
      </c>
      <c r="G1350" s="81">
        <v>4.333333333333333</v>
      </c>
      <c r="H1350" s="81">
        <v>58.93333333333334</v>
      </c>
      <c r="I1350" s="81">
        <v>0.0</v>
      </c>
      <c r="J1350" s="81">
        <v>0.65</v>
      </c>
      <c r="K1350" s="81">
        <v>9.100000000000001</v>
      </c>
      <c r="L1350" s="81">
        <v>52.0</v>
      </c>
    </row>
    <row r="1351" ht="15.75" customHeight="1">
      <c r="A1351" s="55" t="s">
        <v>616</v>
      </c>
      <c r="B1351" s="261" t="s">
        <v>94</v>
      </c>
      <c r="C1351" s="149">
        <v>110.0</v>
      </c>
      <c r="D1351" s="66" t="s">
        <v>107</v>
      </c>
      <c r="E1351" s="81">
        <v>0.44</v>
      </c>
      <c r="F1351" s="81">
        <v>110.0</v>
      </c>
      <c r="G1351" s="81">
        <v>0.0</v>
      </c>
      <c r="H1351" s="81">
        <v>0.0</v>
      </c>
      <c r="I1351" s="81">
        <v>0.0</v>
      </c>
      <c r="J1351" s="81">
        <v>110.0</v>
      </c>
      <c r="K1351" s="81">
        <v>110.0</v>
      </c>
      <c r="L1351" s="81">
        <v>0.0</v>
      </c>
    </row>
    <row r="1352" ht="15.75" customHeight="1">
      <c r="A1352" s="55" t="s">
        <v>616</v>
      </c>
      <c r="B1352" s="261" t="s">
        <v>63</v>
      </c>
      <c r="C1352" s="149">
        <v>40.0</v>
      </c>
      <c r="D1352" s="66" t="s">
        <v>107</v>
      </c>
      <c r="E1352" s="81">
        <v>1.28</v>
      </c>
      <c r="F1352" s="81">
        <v>36.800000000000004</v>
      </c>
      <c r="G1352" s="81">
        <v>0.0</v>
      </c>
      <c r="H1352" s="81">
        <v>0.0</v>
      </c>
      <c r="I1352" s="81">
        <v>0.0</v>
      </c>
      <c r="J1352" s="81">
        <v>29.6</v>
      </c>
      <c r="K1352" s="81">
        <v>72.0</v>
      </c>
      <c r="L1352" s="81">
        <v>0.0</v>
      </c>
    </row>
    <row r="1353" ht="15.75" customHeight="1">
      <c r="A1353" s="55" t="s">
        <v>616</v>
      </c>
      <c r="B1353" s="261" t="s">
        <v>139</v>
      </c>
      <c r="C1353" s="149">
        <v>3.0</v>
      </c>
      <c r="D1353" s="66" t="s">
        <v>107</v>
      </c>
      <c r="E1353" s="81">
        <v>0.6</v>
      </c>
      <c r="F1353" s="81">
        <v>0.0</v>
      </c>
      <c r="G1353" s="81">
        <v>0.0</v>
      </c>
      <c r="H1353" s="81">
        <v>0.0</v>
      </c>
      <c r="I1353" s="81">
        <v>3.0</v>
      </c>
      <c r="J1353" s="81">
        <v>0.0</v>
      </c>
      <c r="K1353" s="81">
        <v>0.0</v>
      </c>
      <c r="L1353" s="81">
        <v>0.0</v>
      </c>
    </row>
    <row r="1354" ht="15.75" customHeight="1">
      <c r="A1354" s="55" t="s">
        <v>617</v>
      </c>
      <c r="B1354" s="261" t="s">
        <v>105</v>
      </c>
      <c r="C1354" s="149">
        <v>350.0</v>
      </c>
      <c r="D1354" s="66" t="s">
        <v>107</v>
      </c>
      <c r="E1354" s="81">
        <v>0.0</v>
      </c>
      <c r="F1354" s="81">
        <v>56.0</v>
      </c>
      <c r="G1354" s="81">
        <v>0.0</v>
      </c>
      <c r="H1354" s="81">
        <v>0.0</v>
      </c>
      <c r="I1354" s="81">
        <v>24.500000000000004</v>
      </c>
      <c r="J1354" s="81">
        <v>66.5</v>
      </c>
      <c r="K1354" s="81">
        <v>80.5</v>
      </c>
      <c r="L1354" s="81">
        <v>3.5</v>
      </c>
    </row>
    <row r="1355" ht="15.75" customHeight="1">
      <c r="A1355" s="55" t="s">
        <v>617</v>
      </c>
      <c r="B1355" s="261" t="s">
        <v>58</v>
      </c>
      <c r="C1355" s="149">
        <v>255.0</v>
      </c>
      <c r="D1355" s="66" t="s">
        <v>107</v>
      </c>
      <c r="E1355" s="81">
        <v>1.173</v>
      </c>
      <c r="F1355" s="81">
        <v>0.0</v>
      </c>
      <c r="G1355" s="81">
        <v>8.925</v>
      </c>
      <c r="H1355" s="81">
        <v>22.95</v>
      </c>
      <c r="I1355" s="81">
        <v>0.0</v>
      </c>
      <c r="J1355" s="81">
        <v>1.9889999999999999</v>
      </c>
      <c r="K1355" s="81">
        <v>10.200000000000001</v>
      </c>
      <c r="L1355" s="81">
        <v>8.925</v>
      </c>
    </row>
    <row r="1356" ht="15.75" customHeight="1">
      <c r="A1356" s="55" t="s">
        <v>617</v>
      </c>
      <c r="B1356" s="261" t="s">
        <v>134</v>
      </c>
      <c r="C1356" s="149">
        <v>120.0</v>
      </c>
      <c r="D1356" s="66" t="s">
        <v>107</v>
      </c>
      <c r="E1356" s="81">
        <v>2.28</v>
      </c>
      <c r="F1356" s="81">
        <v>0.0</v>
      </c>
      <c r="G1356" s="81">
        <v>42.0</v>
      </c>
      <c r="H1356" s="81">
        <v>7.199999999999999</v>
      </c>
      <c r="I1356" s="81">
        <v>0.0</v>
      </c>
      <c r="J1356" s="81">
        <v>0.648</v>
      </c>
      <c r="K1356" s="81">
        <v>3.5999999999999996</v>
      </c>
      <c r="L1356" s="81">
        <v>2.88</v>
      </c>
    </row>
    <row r="1357" ht="15.75" customHeight="1">
      <c r="A1357" s="55" t="s">
        <v>617</v>
      </c>
      <c r="B1357" s="261" t="s">
        <v>135</v>
      </c>
      <c r="C1357" s="149">
        <v>55.0</v>
      </c>
      <c r="D1357" s="66" t="s">
        <v>107</v>
      </c>
      <c r="E1357" s="81">
        <v>2.97</v>
      </c>
      <c r="F1357" s="81">
        <v>0.0</v>
      </c>
      <c r="G1357" s="81">
        <v>0.0</v>
      </c>
      <c r="H1357" s="81">
        <v>53.35</v>
      </c>
      <c r="I1357" s="81">
        <v>0.0</v>
      </c>
      <c r="J1357" s="81">
        <v>4.4</v>
      </c>
      <c r="K1357" s="81">
        <v>27.5</v>
      </c>
      <c r="L1357" s="81">
        <v>19.8</v>
      </c>
    </row>
    <row r="1358" ht="15.75" customHeight="1">
      <c r="A1358" s="55" t="s">
        <v>617</v>
      </c>
      <c r="B1358" s="261" t="s">
        <v>324</v>
      </c>
      <c r="C1358" s="149">
        <v>65.0</v>
      </c>
      <c r="D1358" s="66" t="s">
        <v>107</v>
      </c>
      <c r="E1358" s="81">
        <v>11.7</v>
      </c>
      <c r="F1358" s="81">
        <v>0.0</v>
      </c>
      <c r="G1358" s="81">
        <v>4.333333333333333</v>
      </c>
      <c r="H1358" s="81">
        <v>58.93333333333334</v>
      </c>
      <c r="I1358" s="81">
        <v>0.0</v>
      </c>
      <c r="J1358" s="81">
        <v>0.65</v>
      </c>
      <c r="K1358" s="81">
        <v>9.100000000000001</v>
      </c>
      <c r="L1358" s="81">
        <v>52.0</v>
      </c>
    </row>
    <row r="1359" ht="15.75" customHeight="1">
      <c r="A1359" s="55" t="s">
        <v>617</v>
      </c>
      <c r="B1359" s="261" t="s">
        <v>346</v>
      </c>
      <c r="C1359" s="149">
        <v>120.0</v>
      </c>
      <c r="D1359" s="66" t="s">
        <v>107</v>
      </c>
      <c r="E1359" s="81">
        <v>3.0</v>
      </c>
      <c r="F1359" s="81">
        <v>120.0</v>
      </c>
      <c r="G1359" s="81">
        <v>0.0</v>
      </c>
      <c r="H1359" s="81">
        <v>0.0</v>
      </c>
      <c r="I1359" s="81">
        <v>0.0</v>
      </c>
      <c r="J1359" s="81">
        <v>84.0</v>
      </c>
      <c r="K1359" s="81">
        <v>120.0</v>
      </c>
      <c r="L1359" s="81">
        <v>0.0</v>
      </c>
    </row>
    <row r="1360" ht="15.75" customHeight="1">
      <c r="A1360" s="55" t="s">
        <v>617</v>
      </c>
      <c r="B1360" s="261" t="s">
        <v>131</v>
      </c>
      <c r="C1360" s="149">
        <v>30.0</v>
      </c>
      <c r="D1360" s="66" t="s">
        <v>107</v>
      </c>
      <c r="E1360" s="81">
        <v>0.9</v>
      </c>
      <c r="F1360" s="81">
        <v>30.0</v>
      </c>
      <c r="G1360" s="81">
        <v>0.0</v>
      </c>
      <c r="H1360" s="81">
        <v>0.0</v>
      </c>
      <c r="I1360" s="81">
        <v>0.0</v>
      </c>
      <c r="J1360" s="81">
        <v>21.0</v>
      </c>
      <c r="K1360" s="81">
        <v>84.0</v>
      </c>
      <c r="L1360" s="81">
        <v>0.0</v>
      </c>
    </row>
    <row r="1361" ht="15.75" customHeight="1">
      <c r="A1361" s="55" t="s">
        <v>617</v>
      </c>
      <c r="B1361" s="261" t="s">
        <v>139</v>
      </c>
      <c r="C1361" s="149">
        <v>3.0</v>
      </c>
      <c r="D1361" s="66" t="s">
        <v>107</v>
      </c>
      <c r="E1361" s="81">
        <v>0.6</v>
      </c>
      <c r="F1361" s="81">
        <v>0.0</v>
      </c>
      <c r="G1361" s="81">
        <v>0.0</v>
      </c>
      <c r="H1361" s="81">
        <v>0.0</v>
      </c>
      <c r="I1361" s="81">
        <v>3.0</v>
      </c>
      <c r="J1361" s="81">
        <v>0.0</v>
      </c>
      <c r="K1361" s="81">
        <v>0.0</v>
      </c>
      <c r="L1361" s="81">
        <v>0.0</v>
      </c>
    </row>
    <row r="1362" ht="15.75" customHeight="1">
      <c r="A1362" s="55" t="s">
        <v>618</v>
      </c>
      <c r="B1362" s="261" t="s">
        <v>105</v>
      </c>
      <c r="C1362" s="149">
        <v>350.0</v>
      </c>
      <c r="D1362" s="66" t="s">
        <v>107</v>
      </c>
      <c r="E1362" s="81">
        <v>0.0</v>
      </c>
      <c r="F1362" s="81">
        <v>56.0</v>
      </c>
      <c r="G1362" s="81">
        <v>0.0</v>
      </c>
      <c r="H1362" s="81">
        <v>0.0</v>
      </c>
      <c r="I1362" s="81">
        <v>24.500000000000004</v>
      </c>
      <c r="J1362" s="81">
        <v>66.5</v>
      </c>
      <c r="K1362" s="81">
        <v>80.5</v>
      </c>
      <c r="L1362" s="81">
        <v>3.5</v>
      </c>
    </row>
    <row r="1363" ht="15.75" customHeight="1">
      <c r="A1363" s="55" t="s">
        <v>618</v>
      </c>
      <c r="B1363" s="261" t="s">
        <v>58</v>
      </c>
      <c r="C1363" s="149">
        <v>255.0</v>
      </c>
      <c r="D1363" s="66" t="s">
        <v>107</v>
      </c>
      <c r="E1363" s="81">
        <v>1.173</v>
      </c>
      <c r="F1363" s="81">
        <v>0.0</v>
      </c>
      <c r="G1363" s="81">
        <v>8.925</v>
      </c>
      <c r="H1363" s="81">
        <v>22.95</v>
      </c>
      <c r="I1363" s="81">
        <v>0.0</v>
      </c>
      <c r="J1363" s="81">
        <v>1.9889999999999999</v>
      </c>
      <c r="K1363" s="81">
        <v>10.200000000000001</v>
      </c>
      <c r="L1363" s="81">
        <v>8.925</v>
      </c>
    </row>
    <row r="1364" ht="15.75" customHeight="1">
      <c r="A1364" s="55" t="s">
        <v>618</v>
      </c>
      <c r="B1364" s="261" t="s">
        <v>134</v>
      </c>
      <c r="C1364" s="149">
        <v>120.0</v>
      </c>
      <c r="D1364" s="66" t="s">
        <v>107</v>
      </c>
      <c r="E1364" s="81">
        <v>2.28</v>
      </c>
      <c r="F1364" s="81">
        <v>0.0</v>
      </c>
      <c r="G1364" s="81">
        <v>42.0</v>
      </c>
      <c r="H1364" s="81">
        <v>7.199999999999999</v>
      </c>
      <c r="I1364" s="81">
        <v>0.0</v>
      </c>
      <c r="J1364" s="81">
        <v>0.648</v>
      </c>
      <c r="K1364" s="81">
        <v>3.5999999999999996</v>
      </c>
      <c r="L1364" s="81">
        <v>2.88</v>
      </c>
    </row>
    <row r="1365" ht="15.75" customHeight="1">
      <c r="A1365" s="55" t="s">
        <v>618</v>
      </c>
      <c r="B1365" s="261" t="s">
        <v>135</v>
      </c>
      <c r="C1365" s="149">
        <v>55.0</v>
      </c>
      <c r="D1365" s="66" t="s">
        <v>107</v>
      </c>
      <c r="E1365" s="81">
        <v>2.97</v>
      </c>
      <c r="F1365" s="81">
        <v>0.0</v>
      </c>
      <c r="G1365" s="81">
        <v>0.0</v>
      </c>
      <c r="H1365" s="81">
        <v>53.35</v>
      </c>
      <c r="I1365" s="81">
        <v>0.0</v>
      </c>
      <c r="J1365" s="81">
        <v>4.4</v>
      </c>
      <c r="K1365" s="81">
        <v>27.5</v>
      </c>
      <c r="L1365" s="81">
        <v>19.8</v>
      </c>
    </row>
    <row r="1366" ht="15.75" customHeight="1">
      <c r="A1366" s="55" t="s">
        <v>618</v>
      </c>
      <c r="B1366" s="261" t="s">
        <v>324</v>
      </c>
      <c r="C1366" s="149">
        <v>65.0</v>
      </c>
      <c r="D1366" s="66" t="s">
        <v>107</v>
      </c>
      <c r="E1366" s="81">
        <v>11.7</v>
      </c>
      <c r="F1366" s="81">
        <v>0.0</v>
      </c>
      <c r="G1366" s="81">
        <v>4.333333333333333</v>
      </c>
      <c r="H1366" s="81">
        <v>58.93333333333334</v>
      </c>
      <c r="I1366" s="81">
        <v>0.0</v>
      </c>
      <c r="J1366" s="81">
        <v>0.65</v>
      </c>
      <c r="K1366" s="81">
        <v>9.100000000000001</v>
      </c>
      <c r="L1366" s="81">
        <v>52.0</v>
      </c>
    </row>
    <row r="1367" ht="15.75" customHeight="1">
      <c r="A1367" s="55" t="s">
        <v>618</v>
      </c>
      <c r="B1367" s="261" t="s">
        <v>113</v>
      </c>
      <c r="C1367" s="149">
        <v>100.0</v>
      </c>
      <c r="D1367" s="66" t="s">
        <v>107</v>
      </c>
      <c r="E1367" s="81">
        <v>3.8</v>
      </c>
      <c r="F1367" s="81">
        <v>0.0</v>
      </c>
      <c r="G1367" s="81">
        <v>0.0</v>
      </c>
      <c r="H1367" s="81">
        <v>0.0</v>
      </c>
      <c r="I1367" s="81">
        <v>95.0</v>
      </c>
      <c r="J1367" s="81">
        <v>8.0</v>
      </c>
      <c r="K1367" s="81">
        <v>60.0</v>
      </c>
      <c r="L1367" s="81">
        <v>0.0</v>
      </c>
    </row>
    <row r="1368" ht="15.75" customHeight="1">
      <c r="A1368" s="55" t="s">
        <v>618</v>
      </c>
      <c r="B1368" s="261" t="s">
        <v>131</v>
      </c>
      <c r="C1368" s="149">
        <v>50.0</v>
      </c>
      <c r="D1368" s="66" t="s">
        <v>107</v>
      </c>
      <c r="E1368" s="81">
        <v>1.5</v>
      </c>
      <c r="F1368" s="81">
        <v>50.0</v>
      </c>
      <c r="G1368" s="81">
        <v>0.0</v>
      </c>
      <c r="H1368" s="81">
        <v>0.0</v>
      </c>
      <c r="I1368" s="81">
        <v>0.0</v>
      </c>
      <c r="J1368" s="81">
        <v>35.0</v>
      </c>
      <c r="K1368" s="81">
        <v>140.0</v>
      </c>
      <c r="L1368" s="81">
        <v>0.0</v>
      </c>
    </row>
    <row r="1369" ht="15.75" customHeight="1">
      <c r="A1369" s="55" t="s">
        <v>618</v>
      </c>
      <c r="B1369" s="261" t="s">
        <v>140</v>
      </c>
      <c r="C1369" s="149">
        <v>2.0</v>
      </c>
      <c r="D1369" s="66" t="s">
        <v>107</v>
      </c>
      <c r="E1369" s="81">
        <v>0.24</v>
      </c>
      <c r="F1369" s="81">
        <v>0.0</v>
      </c>
      <c r="G1369" s="81">
        <v>0.0</v>
      </c>
      <c r="H1369" s="81">
        <v>0.0</v>
      </c>
      <c r="I1369" s="81">
        <v>2.0</v>
      </c>
      <c r="J1369" s="81">
        <v>60.0</v>
      </c>
      <c r="K1369" s="81">
        <v>0.0</v>
      </c>
      <c r="L1369" s="81">
        <v>0.0</v>
      </c>
    </row>
    <row r="1370" ht="15.75" customHeight="1">
      <c r="A1370" s="55" t="s">
        <v>618</v>
      </c>
      <c r="B1370" s="261" t="s">
        <v>139</v>
      </c>
      <c r="C1370" s="149">
        <v>3.0</v>
      </c>
      <c r="D1370" s="66" t="s">
        <v>107</v>
      </c>
      <c r="E1370" s="81">
        <v>0.6</v>
      </c>
      <c r="F1370" s="81">
        <v>0.0</v>
      </c>
      <c r="G1370" s="81">
        <v>0.0</v>
      </c>
      <c r="H1370" s="81">
        <v>0.0</v>
      </c>
      <c r="I1370" s="81">
        <v>3.0</v>
      </c>
      <c r="J1370" s="81">
        <v>0.0</v>
      </c>
      <c r="K1370" s="81">
        <v>0.0</v>
      </c>
      <c r="L1370" s="81">
        <v>0.0</v>
      </c>
    </row>
    <row r="1371" ht="15.75" customHeight="1">
      <c r="A1371" s="262"/>
      <c r="B1371" s="262"/>
      <c r="C1371" s="263"/>
      <c r="D1371" s="262"/>
      <c r="E1371" s="81" t="s">
        <v>187</v>
      </c>
      <c r="F1371" s="81" t="s">
        <v>187</v>
      </c>
      <c r="G1371" s="81" t="s">
        <v>187</v>
      </c>
      <c r="H1371" s="81" t="s">
        <v>187</v>
      </c>
      <c r="I1371" s="81" t="s">
        <v>187</v>
      </c>
      <c r="J1371" s="81" t="s">
        <v>187</v>
      </c>
      <c r="K1371" s="81" t="s">
        <v>187</v>
      </c>
      <c r="L1371" s="81" t="s">
        <v>187</v>
      </c>
    </row>
    <row r="1372" ht="15.75" customHeight="1">
      <c r="A1372" s="262"/>
      <c r="B1372" s="262"/>
      <c r="C1372" s="263"/>
      <c r="D1372" s="262"/>
      <c r="E1372" s="81" t="s">
        <v>187</v>
      </c>
      <c r="F1372" s="81" t="s">
        <v>187</v>
      </c>
      <c r="G1372" s="81" t="s">
        <v>187</v>
      </c>
      <c r="H1372" s="81" t="s">
        <v>187</v>
      </c>
      <c r="I1372" s="81" t="s">
        <v>187</v>
      </c>
      <c r="J1372" s="81" t="s">
        <v>187</v>
      </c>
      <c r="K1372" s="81" t="s">
        <v>187</v>
      </c>
      <c r="L1372" s="81" t="s">
        <v>187</v>
      </c>
    </row>
    <row r="1373" ht="15.75" customHeight="1">
      <c r="A1373" s="262"/>
      <c r="B1373" s="262"/>
      <c r="C1373" s="263"/>
      <c r="D1373" s="262"/>
      <c r="E1373" s="81" t="s">
        <v>187</v>
      </c>
      <c r="F1373" s="81" t="s">
        <v>187</v>
      </c>
      <c r="G1373" s="81" t="s">
        <v>187</v>
      </c>
      <c r="H1373" s="81" t="s">
        <v>187</v>
      </c>
      <c r="I1373" s="81" t="s">
        <v>187</v>
      </c>
      <c r="J1373" s="81" t="s">
        <v>187</v>
      </c>
      <c r="K1373" s="81" t="s">
        <v>187</v>
      </c>
      <c r="L1373" s="81" t="s">
        <v>187</v>
      </c>
    </row>
    <row r="1374" ht="15.75" customHeight="1">
      <c r="A1374" s="262"/>
      <c r="B1374" s="262"/>
      <c r="C1374" s="263"/>
      <c r="D1374" s="262"/>
      <c r="E1374" s="81" t="s">
        <v>187</v>
      </c>
      <c r="F1374" s="81" t="s">
        <v>187</v>
      </c>
      <c r="G1374" s="81" t="s">
        <v>187</v>
      </c>
      <c r="H1374" s="81" t="s">
        <v>187</v>
      </c>
      <c r="I1374" s="81" t="s">
        <v>187</v>
      </c>
      <c r="J1374" s="81" t="s">
        <v>187</v>
      </c>
      <c r="K1374" s="81" t="s">
        <v>187</v>
      </c>
      <c r="L1374" s="81" t="s">
        <v>187</v>
      </c>
    </row>
    <row r="1375" ht="15.75" customHeight="1">
      <c r="A1375" s="262"/>
      <c r="B1375" s="262"/>
      <c r="C1375" s="263"/>
      <c r="D1375" s="262"/>
      <c r="E1375" s="81" t="s">
        <v>187</v>
      </c>
      <c r="F1375" s="81" t="s">
        <v>187</v>
      </c>
      <c r="G1375" s="81" t="s">
        <v>187</v>
      </c>
      <c r="H1375" s="81" t="s">
        <v>187</v>
      </c>
      <c r="I1375" s="81" t="s">
        <v>187</v>
      </c>
      <c r="J1375" s="81" t="s">
        <v>187</v>
      </c>
      <c r="K1375" s="81" t="s">
        <v>187</v>
      </c>
      <c r="L1375" s="81" t="s">
        <v>187</v>
      </c>
    </row>
    <row r="1376" ht="15.75" customHeight="1">
      <c r="A1376" s="262"/>
      <c r="B1376" s="262"/>
      <c r="C1376" s="263"/>
      <c r="D1376" s="262"/>
      <c r="E1376" s="81" t="s">
        <v>187</v>
      </c>
      <c r="F1376" s="81" t="s">
        <v>187</v>
      </c>
      <c r="G1376" s="81" t="s">
        <v>187</v>
      </c>
      <c r="H1376" s="81" t="s">
        <v>187</v>
      </c>
      <c r="I1376" s="81" t="s">
        <v>187</v>
      </c>
      <c r="J1376" s="81" t="s">
        <v>187</v>
      </c>
      <c r="K1376" s="81" t="s">
        <v>187</v>
      </c>
      <c r="L1376" s="81" t="s">
        <v>187</v>
      </c>
    </row>
    <row r="1377" ht="15.75" customHeight="1">
      <c r="A1377" s="262"/>
      <c r="B1377" s="262"/>
      <c r="C1377" s="263"/>
      <c r="D1377" s="262"/>
      <c r="E1377" s="81" t="s">
        <v>187</v>
      </c>
      <c r="F1377" s="81" t="s">
        <v>187</v>
      </c>
      <c r="G1377" s="81" t="s">
        <v>187</v>
      </c>
      <c r="H1377" s="81" t="s">
        <v>187</v>
      </c>
      <c r="I1377" s="81" t="s">
        <v>187</v>
      </c>
      <c r="J1377" s="81" t="s">
        <v>187</v>
      </c>
      <c r="K1377" s="81" t="s">
        <v>187</v>
      </c>
      <c r="L1377" s="81" t="s">
        <v>187</v>
      </c>
    </row>
    <row r="1378" ht="15.75" customHeight="1">
      <c r="A1378" s="262"/>
      <c r="B1378" s="262"/>
      <c r="C1378" s="263"/>
      <c r="D1378" s="262"/>
      <c r="E1378" s="81" t="s">
        <v>187</v>
      </c>
      <c r="F1378" s="81" t="s">
        <v>187</v>
      </c>
      <c r="G1378" s="81" t="s">
        <v>187</v>
      </c>
      <c r="H1378" s="81" t="s">
        <v>187</v>
      </c>
      <c r="I1378" s="81" t="s">
        <v>187</v>
      </c>
      <c r="J1378" s="81" t="s">
        <v>187</v>
      </c>
      <c r="K1378" s="81" t="s">
        <v>187</v>
      </c>
      <c r="L1378" s="81" t="s">
        <v>187</v>
      </c>
    </row>
    <row r="1379" ht="15.75" customHeight="1">
      <c r="A1379" s="262"/>
      <c r="B1379" s="262"/>
      <c r="C1379" s="263"/>
      <c r="D1379" s="262"/>
      <c r="E1379" s="81" t="s">
        <v>187</v>
      </c>
      <c r="F1379" s="81" t="s">
        <v>187</v>
      </c>
      <c r="G1379" s="81" t="s">
        <v>187</v>
      </c>
      <c r="H1379" s="81" t="s">
        <v>187</v>
      </c>
      <c r="I1379" s="81" t="s">
        <v>187</v>
      </c>
      <c r="J1379" s="81" t="s">
        <v>187</v>
      </c>
      <c r="K1379" s="81" t="s">
        <v>187</v>
      </c>
      <c r="L1379" s="81" t="s">
        <v>187</v>
      </c>
    </row>
    <row r="1380" ht="15.75" customHeight="1">
      <c r="A1380" s="262"/>
      <c r="B1380" s="262"/>
      <c r="C1380" s="263"/>
      <c r="D1380" s="262"/>
      <c r="E1380" s="81" t="s">
        <v>187</v>
      </c>
      <c r="F1380" s="81" t="s">
        <v>187</v>
      </c>
      <c r="G1380" s="81" t="s">
        <v>187</v>
      </c>
      <c r="H1380" s="81" t="s">
        <v>187</v>
      </c>
      <c r="I1380" s="81" t="s">
        <v>187</v>
      </c>
      <c r="J1380" s="81" t="s">
        <v>187</v>
      </c>
      <c r="K1380" s="81" t="s">
        <v>187</v>
      </c>
      <c r="L1380" s="81" t="s">
        <v>187</v>
      </c>
    </row>
    <row r="1381" ht="15.75" customHeight="1">
      <c r="A1381" s="262"/>
      <c r="B1381" s="262"/>
      <c r="C1381" s="263"/>
      <c r="D1381" s="262"/>
      <c r="E1381" s="81" t="s">
        <v>187</v>
      </c>
      <c r="F1381" s="81" t="s">
        <v>187</v>
      </c>
      <c r="G1381" s="81" t="s">
        <v>187</v>
      </c>
      <c r="H1381" s="81" t="s">
        <v>187</v>
      </c>
      <c r="I1381" s="81" t="s">
        <v>187</v>
      </c>
      <c r="J1381" s="81" t="s">
        <v>187</v>
      </c>
      <c r="K1381" s="81" t="s">
        <v>187</v>
      </c>
      <c r="L1381" s="81" t="s">
        <v>187</v>
      </c>
    </row>
    <row r="1382" ht="15.75" customHeight="1">
      <c r="A1382" s="262"/>
      <c r="B1382" s="262"/>
      <c r="C1382" s="263"/>
      <c r="D1382" s="262"/>
      <c r="E1382" s="81" t="s">
        <v>187</v>
      </c>
      <c r="F1382" s="81" t="s">
        <v>187</v>
      </c>
      <c r="G1382" s="81" t="s">
        <v>187</v>
      </c>
      <c r="H1382" s="81" t="s">
        <v>187</v>
      </c>
      <c r="I1382" s="81" t="s">
        <v>187</v>
      </c>
      <c r="J1382" s="81" t="s">
        <v>187</v>
      </c>
      <c r="K1382" s="81" t="s">
        <v>187</v>
      </c>
      <c r="L1382" s="81" t="s">
        <v>187</v>
      </c>
    </row>
    <row r="1383" ht="15.75" customHeight="1">
      <c r="A1383" s="262"/>
      <c r="B1383" s="262"/>
      <c r="C1383" s="263"/>
      <c r="D1383" s="262"/>
      <c r="E1383" s="81" t="s">
        <v>187</v>
      </c>
      <c r="F1383" s="81" t="s">
        <v>187</v>
      </c>
      <c r="G1383" s="81" t="s">
        <v>187</v>
      </c>
      <c r="H1383" s="81" t="s">
        <v>187</v>
      </c>
      <c r="I1383" s="81" t="s">
        <v>187</v>
      </c>
      <c r="J1383" s="81" t="s">
        <v>187</v>
      </c>
      <c r="K1383" s="81" t="s">
        <v>187</v>
      </c>
      <c r="L1383" s="81" t="s">
        <v>187</v>
      </c>
    </row>
    <row r="1384" ht="15.75" customHeight="1">
      <c r="A1384" s="262"/>
      <c r="B1384" s="262"/>
      <c r="C1384" s="263"/>
      <c r="D1384" s="262"/>
      <c r="E1384" s="81" t="s">
        <v>187</v>
      </c>
      <c r="F1384" s="81" t="s">
        <v>187</v>
      </c>
      <c r="G1384" s="81" t="s">
        <v>187</v>
      </c>
      <c r="H1384" s="81" t="s">
        <v>187</v>
      </c>
      <c r="I1384" s="81" t="s">
        <v>187</v>
      </c>
      <c r="J1384" s="81" t="s">
        <v>187</v>
      </c>
      <c r="K1384" s="81" t="s">
        <v>187</v>
      </c>
      <c r="L1384" s="81" t="s">
        <v>187</v>
      </c>
    </row>
    <row r="1385" ht="15.75" customHeight="1">
      <c r="A1385" s="262"/>
      <c r="B1385" s="262"/>
      <c r="C1385" s="263"/>
      <c r="D1385" s="262"/>
      <c r="E1385" s="81" t="s">
        <v>187</v>
      </c>
      <c r="F1385" s="81" t="s">
        <v>187</v>
      </c>
      <c r="G1385" s="81" t="s">
        <v>187</v>
      </c>
      <c r="H1385" s="81" t="s">
        <v>187</v>
      </c>
      <c r="I1385" s="81" t="s">
        <v>187</v>
      </c>
      <c r="J1385" s="81" t="s">
        <v>187</v>
      </c>
      <c r="K1385" s="81" t="s">
        <v>187</v>
      </c>
      <c r="L1385" s="81" t="s">
        <v>187</v>
      </c>
    </row>
    <row r="1386" ht="15.75" customHeight="1">
      <c r="A1386" s="262"/>
      <c r="B1386" s="262"/>
      <c r="C1386" s="263"/>
      <c r="D1386" s="262"/>
      <c r="E1386" s="81" t="s">
        <v>187</v>
      </c>
      <c r="F1386" s="81" t="s">
        <v>187</v>
      </c>
      <c r="G1386" s="81" t="s">
        <v>187</v>
      </c>
      <c r="H1386" s="81" t="s">
        <v>187</v>
      </c>
      <c r="I1386" s="81" t="s">
        <v>187</v>
      </c>
      <c r="J1386" s="81" t="s">
        <v>187</v>
      </c>
      <c r="K1386" s="81" t="s">
        <v>187</v>
      </c>
      <c r="L1386" s="81" t="s">
        <v>187</v>
      </c>
    </row>
    <row r="1387" ht="15.75" customHeight="1">
      <c r="A1387" s="262"/>
      <c r="B1387" s="262"/>
      <c r="C1387" s="263"/>
      <c r="D1387" s="262"/>
      <c r="E1387" s="81" t="s">
        <v>187</v>
      </c>
      <c r="F1387" s="81" t="s">
        <v>187</v>
      </c>
      <c r="G1387" s="81" t="s">
        <v>187</v>
      </c>
      <c r="H1387" s="81" t="s">
        <v>187</v>
      </c>
      <c r="I1387" s="81" t="s">
        <v>187</v>
      </c>
      <c r="J1387" s="81" t="s">
        <v>187</v>
      </c>
      <c r="K1387" s="81" t="s">
        <v>187</v>
      </c>
      <c r="L1387" s="81" t="s">
        <v>187</v>
      </c>
    </row>
    <row r="1388" ht="15.75" customHeight="1">
      <c r="A1388" s="262"/>
      <c r="B1388" s="262"/>
      <c r="C1388" s="263"/>
      <c r="D1388" s="262"/>
      <c r="E1388" s="81" t="s">
        <v>187</v>
      </c>
      <c r="F1388" s="81" t="s">
        <v>187</v>
      </c>
      <c r="G1388" s="81" t="s">
        <v>187</v>
      </c>
      <c r="H1388" s="81" t="s">
        <v>187</v>
      </c>
      <c r="I1388" s="81" t="s">
        <v>187</v>
      </c>
      <c r="J1388" s="81" t="s">
        <v>187</v>
      </c>
      <c r="K1388" s="81" t="s">
        <v>187</v>
      </c>
      <c r="L1388" s="81" t="s">
        <v>187</v>
      </c>
    </row>
    <row r="1389" ht="15.75" customHeight="1">
      <c r="A1389" s="262"/>
      <c r="B1389" s="262"/>
      <c r="C1389" s="263"/>
      <c r="D1389" s="262"/>
      <c r="E1389" s="81" t="s">
        <v>187</v>
      </c>
      <c r="F1389" s="81" t="s">
        <v>187</v>
      </c>
      <c r="G1389" s="81" t="s">
        <v>187</v>
      </c>
      <c r="H1389" s="81" t="s">
        <v>187</v>
      </c>
      <c r="I1389" s="81" t="s">
        <v>187</v>
      </c>
      <c r="J1389" s="81" t="s">
        <v>187</v>
      </c>
      <c r="K1389" s="81" t="s">
        <v>187</v>
      </c>
      <c r="L1389" s="81" t="s">
        <v>187</v>
      </c>
    </row>
    <row r="1390" ht="15.75" customHeight="1">
      <c r="A1390" s="262"/>
      <c r="B1390" s="262"/>
      <c r="C1390" s="263"/>
      <c r="D1390" s="262"/>
      <c r="E1390" s="81" t="s">
        <v>187</v>
      </c>
      <c r="F1390" s="81" t="s">
        <v>187</v>
      </c>
      <c r="G1390" s="81" t="s">
        <v>187</v>
      </c>
      <c r="H1390" s="81" t="s">
        <v>187</v>
      </c>
      <c r="I1390" s="81" t="s">
        <v>187</v>
      </c>
      <c r="J1390" s="81" t="s">
        <v>187</v>
      </c>
      <c r="K1390" s="81" t="s">
        <v>187</v>
      </c>
      <c r="L1390" s="81" t="s">
        <v>187</v>
      </c>
    </row>
    <row r="1391" ht="15.75" customHeight="1">
      <c r="A1391" s="262"/>
      <c r="B1391" s="262"/>
      <c r="C1391" s="263"/>
      <c r="D1391" s="262"/>
      <c r="E1391" s="81" t="s">
        <v>187</v>
      </c>
      <c r="F1391" s="81" t="s">
        <v>187</v>
      </c>
      <c r="G1391" s="81" t="s">
        <v>187</v>
      </c>
      <c r="H1391" s="81" t="s">
        <v>187</v>
      </c>
      <c r="I1391" s="81" t="s">
        <v>187</v>
      </c>
      <c r="J1391" s="81" t="s">
        <v>187</v>
      </c>
      <c r="K1391" s="81" t="s">
        <v>187</v>
      </c>
      <c r="L1391" s="81" t="s">
        <v>187</v>
      </c>
    </row>
    <row r="1392" ht="15.75" customHeight="1">
      <c r="A1392" s="262"/>
      <c r="B1392" s="262"/>
      <c r="C1392" s="263"/>
      <c r="D1392" s="262"/>
      <c r="E1392" s="81" t="s">
        <v>187</v>
      </c>
      <c r="F1392" s="81" t="s">
        <v>187</v>
      </c>
      <c r="G1392" s="81" t="s">
        <v>187</v>
      </c>
      <c r="H1392" s="81" t="s">
        <v>187</v>
      </c>
      <c r="I1392" s="81" t="s">
        <v>187</v>
      </c>
      <c r="J1392" s="81" t="s">
        <v>187</v>
      </c>
      <c r="K1392" s="81" t="s">
        <v>187</v>
      </c>
      <c r="L1392" s="81" t="s">
        <v>187</v>
      </c>
    </row>
    <row r="1393" ht="15.75" customHeight="1">
      <c r="A1393" s="262"/>
      <c r="B1393" s="262"/>
      <c r="C1393" s="263"/>
      <c r="D1393" s="262"/>
      <c r="E1393" s="81" t="s">
        <v>187</v>
      </c>
      <c r="F1393" s="81" t="s">
        <v>187</v>
      </c>
      <c r="G1393" s="81" t="s">
        <v>187</v>
      </c>
      <c r="H1393" s="81" t="s">
        <v>187</v>
      </c>
      <c r="I1393" s="81" t="s">
        <v>187</v>
      </c>
      <c r="J1393" s="81" t="s">
        <v>187</v>
      </c>
      <c r="K1393" s="81" t="s">
        <v>187</v>
      </c>
      <c r="L1393" s="81" t="s">
        <v>187</v>
      </c>
    </row>
    <row r="1394" ht="15.75" customHeight="1">
      <c r="A1394" s="262"/>
      <c r="B1394" s="262"/>
      <c r="C1394" s="263"/>
      <c r="D1394" s="262"/>
      <c r="E1394" s="81" t="s">
        <v>187</v>
      </c>
      <c r="F1394" s="81" t="s">
        <v>187</v>
      </c>
      <c r="G1394" s="81" t="s">
        <v>187</v>
      </c>
      <c r="H1394" s="81" t="s">
        <v>187</v>
      </c>
      <c r="I1394" s="81" t="s">
        <v>187</v>
      </c>
      <c r="J1394" s="81" t="s">
        <v>187</v>
      </c>
      <c r="K1394" s="81" t="s">
        <v>187</v>
      </c>
      <c r="L1394" s="81" t="s">
        <v>187</v>
      </c>
    </row>
    <row r="1395" ht="15.75" customHeight="1">
      <c r="A1395" s="262"/>
      <c r="B1395" s="262"/>
      <c r="C1395" s="263"/>
      <c r="D1395" s="262"/>
      <c r="E1395" s="81" t="s">
        <v>187</v>
      </c>
      <c r="F1395" s="81" t="s">
        <v>187</v>
      </c>
      <c r="G1395" s="81" t="s">
        <v>187</v>
      </c>
      <c r="H1395" s="81" t="s">
        <v>187</v>
      </c>
      <c r="I1395" s="81" t="s">
        <v>187</v>
      </c>
      <c r="J1395" s="81" t="s">
        <v>187</v>
      </c>
      <c r="K1395" s="81" t="s">
        <v>187</v>
      </c>
      <c r="L1395" s="81" t="s">
        <v>187</v>
      </c>
    </row>
    <row r="1396" ht="15.75" customHeight="1">
      <c r="A1396" s="262"/>
      <c r="B1396" s="262"/>
      <c r="C1396" s="263"/>
      <c r="D1396" s="262"/>
      <c r="E1396" s="81" t="s">
        <v>187</v>
      </c>
      <c r="F1396" s="81" t="s">
        <v>187</v>
      </c>
      <c r="G1396" s="81" t="s">
        <v>187</v>
      </c>
      <c r="H1396" s="81" t="s">
        <v>187</v>
      </c>
      <c r="I1396" s="81" t="s">
        <v>187</v>
      </c>
      <c r="J1396" s="81" t="s">
        <v>187</v>
      </c>
      <c r="K1396" s="81" t="s">
        <v>187</v>
      </c>
      <c r="L1396" s="81" t="s">
        <v>187</v>
      </c>
    </row>
    <row r="1397" ht="15.75" customHeight="1">
      <c r="A1397" s="262"/>
      <c r="B1397" s="262"/>
      <c r="C1397" s="263"/>
      <c r="D1397" s="262"/>
      <c r="E1397" s="81" t="s">
        <v>187</v>
      </c>
      <c r="F1397" s="81" t="s">
        <v>187</v>
      </c>
      <c r="G1397" s="81" t="s">
        <v>187</v>
      </c>
      <c r="H1397" s="81" t="s">
        <v>187</v>
      </c>
      <c r="I1397" s="81" t="s">
        <v>187</v>
      </c>
      <c r="J1397" s="81" t="s">
        <v>187</v>
      </c>
      <c r="K1397" s="81" t="s">
        <v>187</v>
      </c>
      <c r="L1397" s="81" t="s">
        <v>187</v>
      </c>
    </row>
    <row r="1398" ht="15.75" customHeight="1">
      <c r="A1398" s="262"/>
      <c r="B1398" s="262"/>
      <c r="C1398" s="263"/>
      <c r="D1398" s="262"/>
      <c r="E1398" s="81" t="s">
        <v>187</v>
      </c>
      <c r="F1398" s="81" t="s">
        <v>187</v>
      </c>
      <c r="G1398" s="81" t="s">
        <v>187</v>
      </c>
      <c r="H1398" s="81" t="s">
        <v>187</v>
      </c>
      <c r="I1398" s="81" t="s">
        <v>187</v>
      </c>
      <c r="J1398" s="81" t="s">
        <v>187</v>
      </c>
      <c r="K1398" s="81" t="s">
        <v>187</v>
      </c>
      <c r="L1398" s="81" t="s">
        <v>187</v>
      </c>
    </row>
    <row r="1399" ht="15.75" customHeight="1">
      <c r="A1399" s="262"/>
      <c r="B1399" s="262"/>
      <c r="C1399" s="263"/>
      <c r="D1399" s="262"/>
      <c r="E1399" s="81" t="s">
        <v>187</v>
      </c>
      <c r="F1399" s="81" t="s">
        <v>187</v>
      </c>
      <c r="G1399" s="81" t="s">
        <v>187</v>
      </c>
      <c r="H1399" s="81" t="s">
        <v>187</v>
      </c>
      <c r="I1399" s="81" t="s">
        <v>187</v>
      </c>
      <c r="J1399" s="81" t="s">
        <v>187</v>
      </c>
      <c r="K1399" s="81" t="s">
        <v>187</v>
      </c>
      <c r="L1399" s="81" t="s">
        <v>187</v>
      </c>
    </row>
    <row r="1400" ht="15.75" customHeight="1">
      <c r="A1400" s="262"/>
      <c r="B1400" s="262"/>
      <c r="C1400" s="263"/>
      <c r="D1400" s="262"/>
      <c r="E1400" s="81" t="s">
        <v>187</v>
      </c>
      <c r="F1400" s="81" t="s">
        <v>187</v>
      </c>
      <c r="G1400" s="81" t="s">
        <v>187</v>
      </c>
      <c r="H1400" s="81" t="s">
        <v>187</v>
      </c>
      <c r="I1400" s="81" t="s">
        <v>187</v>
      </c>
      <c r="J1400" s="81" t="s">
        <v>187</v>
      </c>
      <c r="K1400" s="81" t="s">
        <v>187</v>
      </c>
      <c r="L1400" s="81" t="s">
        <v>187</v>
      </c>
    </row>
    <row r="1401" ht="15.75" customHeight="1">
      <c r="A1401" s="262"/>
      <c r="B1401" s="262"/>
      <c r="C1401" s="263"/>
      <c r="D1401" s="262"/>
      <c r="E1401" s="81" t="s">
        <v>187</v>
      </c>
      <c r="F1401" s="81" t="s">
        <v>187</v>
      </c>
      <c r="G1401" s="81" t="s">
        <v>187</v>
      </c>
      <c r="H1401" s="81" t="s">
        <v>187</v>
      </c>
      <c r="I1401" s="81" t="s">
        <v>187</v>
      </c>
      <c r="J1401" s="81" t="s">
        <v>187</v>
      </c>
      <c r="K1401" s="81" t="s">
        <v>187</v>
      </c>
      <c r="L1401" s="81" t="s">
        <v>187</v>
      </c>
    </row>
    <row r="1402" ht="15.75" customHeight="1">
      <c r="A1402" s="262"/>
      <c r="B1402" s="262"/>
      <c r="C1402" s="263"/>
      <c r="D1402" s="262"/>
      <c r="E1402" s="81" t="s">
        <v>187</v>
      </c>
      <c r="F1402" s="81" t="s">
        <v>187</v>
      </c>
      <c r="G1402" s="81" t="s">
        <v>187</v>
      </c>
      <c r="H1402" s="81" t="s">
        <v>187</v>
      </c>
      <c r="I1402" s="81" t="s">
        <v>187</v>
      </c>
      <c r="J1402" s="81" t="s">
        <v>187</v>
      </c>
      <c r="K1402" s="81" t="s">
        <v>187</v>
      </c>
      <c r="L1402" s="81" t="s">
        <v>187</v>
      </c>
    </row>
    <row r="1403" ht="15.75" customHeight="1">
      <c r="A1403" s="262"/>
      <c r="B1403" s="262"/>
      <c r="C1403" s="263"/>
      <c r="D1403" s="262"/>
      <c r="E1403" s="81" t="s">
        <v>187</v>
      </c>
      <c r="F1403" s="81" t="s">
        <v>187</v>
      </c>
      <c r="G1403" s="81" t="s">
        <v>187</v>
      </c>
      <c r="H1403" s="81" t="s">
        <v>187</v>
      </c>
      <c r="I1403" s="81" t="s">
        <v>187</v>
      </c>
      <c r="J1403" s="81" t="s">
        <v>187</v>
      </c>
      <c r="K1403" s="81" t="s">
        <v>187</v>
      </c>
      <c r="L1403" s="81" t="s">
        <v>187</v>
      </c>
    </row>
    <row r="1404" ht="15.75" customHeight="1">
      <c r="A1404" s="262"/>
      <c r="B1404" s="262"/>
      <c r="C1404" s="263"/>
      <c r="D1404" s="262"/>
      <c r="E1404" s="81" t="s">
        <v>187</v>
      </c>
      <c r="F1404" s="81" t="s">
        <v>187</v>
      </c>
      <c r="G1404" s="81" t="s">
        <v>187</v>
      </c>
      <c r="H1404" s="81" t="s">
        <v>187</v>
      </c>
      <c r="I1404" s="81" t="s">
        <v>187</v>
      </c>
      <c r="J1404" s="81" t="s">
        <v>187</v>
      </c>
      <c r="K1404" s="81" t="s">
        <v>187</v>
      </c>
      <c r="L1404" s="81" t="s">
        <v>187</v>
      </c>
    </row>
    <row r="1405" ht="15.75" customHeight="1">
      <c r="A1405" s="262"/>
      <c r="B1405" s="262"/>
      <c r="C1405" s="263"/>
      <c r="D1405" s="262"/>
      <c r="E1405" s="81" t="s">
        <v>187</v>
      </c>
      <c r="F1405" s="81" t="s">
        <v>187</v>
      </c>
      <c r="G1405" s="81" t="s">
        <v>187</v>
      </c>
      <c r="H1405" s="81" t="s">
        <v>187</v>
      </c>
      <c r="I1405" s="81" t="s">
        <v>187</v>
      </c>
      <c r="J1405" s="81" t="s">
        <v>187</v>
      </c>
      <c r="K1405" s="81" t="s">
        <v>187</v>
      </c>
      <c r="L1405" s="81" t="s">
        <v>187</v>
      </c>
    </row>
    <row r="1406" ht="15.75" customHeight="1">
      <c r="A1406" s="262"/>
      <c r="B1406" s="262"/>
      <c r="C1406" s="263"/>
      <c r="D1406" s="262"/>
      <c r="E1406" s="81" t="s">
        <v>187</v>
      </c>
      <c r="F1406" s="81" t="s">
        <v>187</v>
      </c>
      <c r="G1406" s="81" t="s">
        <v>187</v>
      </c>
      <c r="H1406" s="81" t="s">
        <v>187</v>
      </c>
      <c r="I1406" s="81" t="s">
        <v>187</v>
      </c>
      <c r="J1406" s="81" t="s">
        <v>187</v>
      </c>
      <c r="K1406" s="81" t="s">
        <v>187</v>
      </c>
      <c r="L1406" s="81" t="s">
        <v>187</v>
      </c>
    </row>
    <row r="1407" ht="15.75" customHeight="1">
      <c r="A1407" s="262"/>
      <c r="B1407" s="262"/>
      <c r="C1407" s="263"/>
      <c r="D1407" s="262"/>
      <c r="E1407" s="81" t="s">
        <v>187</v>
      </c>
      <c r="F1407" s="81" t="s">
        <v>187</v>
      </c>
      <c r="G1407" s="81" t="s">
        <v>187</v>
      </c>
      <c r="H1407" s="81" t="s">
        <v>187</v>
      </c>
      <c r="I1407" s="81" t="s">
        <v>187</v>
      </c>
      <c r="J1407" s="81" t="s">
        <v>187</v>
      </c>
      <c r="K1407" s="81" t="s">
        <v>187</v>
      </c>
      <c r="L1407" s="81" t="s">
        <v>187</v>
      </c>
    </row>
    <row r="1408" ht="15.75" customHeight="1">
      <c r="A1408" s="262"/>
      <c r="B1408" s="262"/>
      <c r="C1408" s="263"/>
      <c r="D1408" s="262"/>
      <c r="E1408" s="81" t="s">
        <v>187</v>
      </c>
      <c r="F1408" s="81" t="s">
        <v>187</v>
      </c>
      <c r="G1408" s="81" t="s">
        <v>187</v>
      </c>
      <c r="H1408" s="81" t="s">
        <v>187</v>
      </c>
      <c r="I1408" s="81" t="s">
        <v>187</v>
      </c>
      <c r="J1408" s="81" t="s">
        <v>187</v>
      </c>
      <c r="K1408" s="81" t="s">
        <v>187</v>
      </c>
      <c r="L1408" s="81" t="s">
        <v>187</v>
      </c>
    </row>
    <row r="1409" ht="15.75" customHeight="1">
      <c r="A1409" s="262"/>
      <c r="B1409" s="262"/>
      <c r="C1409" s="263"/>
      <c r="D1409" s="262"/>
      <c r="E1409" s="81" t="s">
        <v>187</v>
      </c>
      <c r="F1409" s="81" t="s">
        <v>187</v>
      </c>
      <c r="G1409" s="81" t="s">
        <v>187</v>
      </c>
      <c r="H1409" s="81" t="s">
        <v>187</v>
      </c>
      <c r="I1409" s="81" t="s">
        <v>187</v>
      </c>
      <c r="J1409" s="81" t="s">
        <v>187</v>
      </c>
      <c r="K1409" s="81" t="s">
        <v>187</v>
      </c>
      <c r="L1409" s="81" t="s">
        <v>187</v>
      </c>
    </row>
    <row r="1410" ht="15.75" customHeight="1">
      <c r="A1410" s="262"/>
      <c r="B1410" s="262"/>
      <c r="C1410" s="263"/>
      <c r="D1410" s="262"/>
      <c r="E1410" s="81" t="s">
        <v>187</v>
      </c>
      <c r="F1410" s="81" t="s">
        <v>187</v>
      </c>
      <c r="G1410" s="81" t="s">
        <v>187</v>
      </c>
      <c r="H1410" s="81" t="s">
        <v>187</v>
      </c>
      <c r="I1410" s="81" t="s">
        <v>187</v>
      </c>
      <c r="J1410" s="81" t="s">
        <v>187</v>
      </c>
      <c r="K1410" s="81" t="s">
        <v>187</v>
      </c>
      <c r="L1410" s="81" t="s">
        <v>187</v>
      </c>
    </row>
    <row r="1411" ht="15.75" customHeight="1">
      <c r="A1411" s="262"/>
      <c r="B1411" s="262"/>
      <c r="C1411" s="263"/>
      <c r="D1411" s="262"/>
      <c r="E1411" s="81" t="s">
        <v>187</v>
      </c>
      <c r="F1411" s="81" t="s">
        <v>187</v>
      </c>
      <c r="G1411" s="81" t="s">
        <v>187</v>
      </c>
      <c r="H1411" s="81" t="s">
        <v>187</v>
      </c>
      <c r="I1411" s="81" t="s">
        <v>187</v>
      </c>
      <c r="J1411" s="81" t="s">
        <v>187</v>
      </c>
      <c r="K1411" s="81" t="s">
        <v>187</v>
      </c>
      <c r="L1411" s="81" t="s">
        <v>187</v>
      </c>
    </row>
    <row r="1412" ht="15.75" customHeight="1">
      <c r="A1412" s="262"/>
      <c r="B1412" s="262"/>
      <c r="C1412" s="263"/>
      <c r="D1412" s="262"/>
      <c r="E1412" s="81" t="s">
        <v>187</v>
      </c>
      <c r="F1412" s="81" t="s">
        <v>187</v>
      </c>
      <c r="G1412" s="81" t="s">
        <v>187</v>
      </c>
      <c r="H1412" s="81" t="s">
        <v>187</v>
      </c>
      <c r="I1412" s="81" t="s">
        <v>187</v>
      </c>
      <c r="J1412" s="81" t="s">
        <v>187</v>
      </c>
      <c r="K1412" s="81" t="s">
        <v>187</v>
      </c>
      <c r="L1412" s="81" t="s">
        <v>187</v>
      </c>
    </row>
    <row r="1413" ht="15.75" customHeight="1">
      <c r="A1413" s="262"/>
      <c r="B1413" s="262"/>
      <c r="C1413" s="263"/>
      <c r="D1413" s="262"/>
      <c r="E1413" s="81" t="s">
        <v>187</v>
      </c>
      <c r="F1413" s="81" t="s">
        <v>187</v>
      </c>
      <c r="G1413" s="81" t="s">
        <v>187</v>
      </c>
      <c r="H1413" s="81" t="s">
        <v>187</v>
      </c>
      <c r="I1413" s="81" t="s">
        <v>187</v>
      </c>
      <c r="J1413" s="81" t="s">
        <v>187</v>
      </c>
      <c r="K1413" s="81" t="s">
        <v>187</v>
      </c>
      <c r="L1413" s="81" t="s">
        <v>187</v>
      </c>
    </row>
    <row r="1414" ht="15.75" customHeight="1">
      <c r="A1414" s="262"/>
      <c r="B1414" s="262"/>
      <c r="C1414" s="263"/>
      <c r="D1414" s="262"/>
      <c r="E1414" s="81" t="s">
        <v>187</v>
      </c>
      <c r="F1414" s="81" t="s">
        <v>187</v>
      </c>
      <c r="G1414" s="81" t="s">
        <v>187</v>
      </c>
      <c r="H1414" s="81" t="s">
        <v>187</v>
      </c>
      <c r="I1414" s="81" t="s">
        <v>187</v>
      </c>
      <c r="J1414" s="81" t="s">
        <v>187</v>
      </c>
      <c r="K1414" s="81" t="s">
        <v>187</v>
      </c>
      <c r="L1414" s="81" t="s">
        <v>187</v>
      </c>
    </row>
    <row r="1415" ht="15.75" customHeight="1">
      <c r="A1415" s="262"/>
      <c r="B1415" s="262"/>
      <c r="C1415" s="263"/>
      <c r="D1415" s="262"/>
      <c r="E1415" s="81" t="s">
        <v>187</v>
      </c>
      <c r="F1415" s="81" t="s">
        <v>187</v>
      </c>
      <c r="G1415" s="81" t="s">
        <v>187</v>
      </c>
      <c r="H1415" s="81" t="s">
        <v>187</v>
      </c>
      <c r="I1415" s="81" t="s">
        <v>187</v>
      </c>
      <c r="J1415" s="81" t="s">
        <v>187</v>
      </c>
      <c r="K1415" s="81" t="s">
        <v>187</v>
      </c>
      <c r="L1415" s="81" t="s">
        <v>187</v>
      </c>
    </row>
    <row r="1416" ht="15.75" customHeight="1">
      <c r="A1416" s="262"/>
      <c r="B1416" s="262"/>
      <c r="C1416" s="263"/>
      <c r="D1416" s="262"/>
      <c r="E1416" s="81" t="s">
        <v>187</v>
      </c>
      <c r="F1416" s="81" t="s">
        <v>187</v>
      </c>
      <c r="G1416" s="81" t="s">
        <v>187</v>
      </c>
      <c r="H1416" s="81" t="s">
        <v>187</v>
      </c>
      <c r="I1416" s="81" t="s">
        <v>187</v>
      </c>
      <c r="J1416" s="81" t="s">
        <v>187</v>
      </c>
      <c r="K1416" s="81" t="s">
        <v>187</v>
      </c>
      <c r="L1416" s="81" t="s">
        <v>187</v>
      </c>
    </row>
    <row r="1417" ht="15.75" customHeight="1">
      <c r="A1417" s="262"/>
      <c r="B1417" s="262"/>
      <c r="C1417" s="263"/>
      <c r="D1417" s="262"/>
      <c r="E1417" s="81" t="s">
        <v>187</v>
      </c>
      <c r="F1417" s="81" t="s">
        <v>187</v>
      </c>
      <c r="G1417" s="81" t="s">
        <v>187</v>
      </c>
      <c r="H1417" s="81" t="s">
        <v>187</v>
      </c>
      <c r="I1417" s="81" t="s">
        <v>187</v>
      </c>
      <c r="J1417" s="81" t="s">
        <v>187</v>
      </c>
      <c r="K1417" s="81" t="s">
        <v>187</v>
      </c>
      <c r="L1417" s="81" t="s">
        <v>187</v>
      </c>
    </row>
    <row r="1418" ht="15.75" customHeight="1">
      <c r="A1418" s="262"/>
      <c r="B1418" s="262"/>
      <c r="C1418" s="263"/>
      <c r="D1418" s="262"/>
      <c r="E1418" s="81" t="s">
        <v>187</v>
      </c>
      <c r="F1418" s="81" t="s">
        <v>187</v>
      </c>
      <c r="G1418" s="81" t="s">
        <v>187</v>
      </c>
      <c r="H1418" s="81" t="s">
        <v>187</v>
      </c>
      <c r="I1418" s="81" t="s">
        <v>187</v>
      </c>
      <c r="J1418" s="81" t="s">
        <v>187</v>
      </c>
      <c r="K1418" s="81" t="s">
        <v>187</v>
      </c>
      <c r="L1418" s="81" t="s">
        <v>187</v>
      </c>
    </row>
    <row r="1419" ht="15.75" customHeight="1">
      <c r="A1419" s="262"/>
      <c r="B1419" s="262"/>
      <c r="C1419" s="263"/>
      <c r="D1419" s="262"/>
      <c r="E1419" s="81" t="s">
        <v>187</v>
      </c>
      <c r="F1419" s="81" t="s">
        <v>187</v>
      </c>
      <c r="G1419" s="81" t="s">
        <v>187</v>
      </c>
      <c r="H1419" s="81" t="s">
        <v>187</v>
      </c>
      <c r="I1419" s="81" t="s">
        <v>187</v>
      </c>
      <c r="J1419" s="81" t="s">
        <v>187</v>
      </c>
      <c r="K1419" s="81" t="s">
        <v>187</v>
      </c>
      <c r="L1419" s="81" t="s">
        <v>187</v>
      </c>
    </row>
    <row r="1420" ht="15.75" customHeight="1">
      <c r="A1420" s="262"/>
      <c r="B1420" s="262"/>
      <c r="C1420" s="263"/>
      <c r="D1420" s="262"/>
      <c r="E1420" s="81" t="s">
        <v>187</v>
      </c>
      <c r="F1420" s="81" t="s">
        <v>187</v>
      </c>
      <c r="G1420" s="81" t="s">
        <v>187</v>
      </c>
      <c r="H1420" s="81" t="s">
        <v>187</v>
      </c>
      <c r="I1420" s="81" t="s">
        <v>187</v>
      </c>
      <c r="J1420" s="81" t="s">
        <v>187</v>
      </c>
      <c r="K1420" s="81" t="s">
        <v>187</v>
      </c>
      <c r="L1420" s="81" t="s">
        <v>187</v>
      </c>
    </row>
    <row r="1421" ht="15.75" customHeight="1">
      <c r="A1421" s="262"/>
      <c r="B1421" s="262"/>
      <c r="C1421" s="263"/>
      <c r="D1421" s="262"/>
      <c r="E1421" s="81" t="s">
        <v>187</v>
      </c>
      <c r="F1421" s="81" t="s">
        <v>187</v>
      </c>
      <c r="G1421" s="81" t="s">
        <v>187</v>
      </c>
      <c r="H1421" s="81" t="s">
        <v>187</v>
      </c>
      <c r="I1421" s="81" t="s">
        <v>187</v>
      </c>
      <c r="J1421" s="81" t="s">
        <v>187</v>
      </c>
      <c r="K1421" s="81" t="s">
        <v>187</v>
      </c>
      <c r="L1421" s="81" t="s">
        <v>187</v>
      </c>
    </row>
    <row r="1422" ht="15.75" customHeight="1">
      <c r="A1422" s="262"/>
      <c r="B1422" s="262"/>
      <c r="C1422" s="263"/>
      <c r="D1422" s="262"/>
      <c r="E1422" s="81" t="s">
        <v>187</v>
      </c>
      <c r="F1422" s="81" t="s">
        <v>187</v>
      </c>
      <c r="G1422" s="81" t="s">
        <v>187</v>
      </c>
      <c r="H1422" s="81" t="s">
        <v>187</v>
      </c>
      <c r="I1422" s="81" t="s">
        <v>187</v>
      </c>
      <c r="J1422" s="81" t="s">
        <v>187</v>
      </c>
      <c r="K1422" s="81" t="s">
        <v>187</v>
      </c>
      <c r="L1422" s="81" t="s">
        <v>187</v>
      </c>
    </row>
    <row r="1423" ht="15.75" customHeight="1">
      <c r="A1423" s="262"/>
      <c r="B1423" s="262"/>
      <c r="C1423" s="263"/>
      <c r="D1423" s="262"/>
      <c r="E1423" s="81" t="s">
        <v>187</v>
      </c>
      <c r="F1423" s="81" t="s">
        <v>187</v>
      </c>
      <c r="G1423" s="81" t="s">
        <v>187</v>
      </c>
      <c r="H1423" s="81" t="s">
        <v>187</v>
      </c>
      <c r="I1423" s="81" t="s">
        <v>187</v>
      </c>
      <c r="J1423" s="81" t="s">
        <v>187</v>
      </c>
      <c r="K1423" s="81" t="s">
        <v>187</v>
      </c>
      <c r="L1423" s="81" t="s">
        <v>187</v>
      </c>
    </row>
    <row r="1424" ht="15.75" customHeight="1">
      <c r="A1424" s="262"/>
      <c r="B1424" s="262"/>
      <c r="C1424" s="263"/>
      <c r="D1424" s="262"/>
      <c r="E1424" s="81" t="s">
        <v>187</v>
      </c>
      <c r="F1424" s="81" t="s">
        <v>187</v>
      </c>
      <c r="G1424" s="81" t="s">
        <v>187</v>
      </c>
      <c r="H1424" s="81" t="s">
        <v>187</v>
      </c>
      <c r="I1424" s="81" t="s">
        <v>187</v>
      </c>
      <c r="J1424" s="81" t="s">
        <v>187</v>
      </c>
      <c r="K1424" s="81" t="s">
        <v>187</v>
      </c>
      <c r="L1424" s="81" t="s">
        <v>187</v>
      </c>
    </row>
    <row r="1425" ht="15.75" customHeight="1">
      <c r="A1425" s="262"/>
      <c r="B1425" s="262"/>
      <c r="C1425" s="263"/>
      <c r="D1425" s="262"/>
      <c r="E1425" s="81" t="s">
        <v>187</v>
      </c>
      <c r="F1425" s="81" t="s">
        <v>187</v>
      </c>
      <c r="G1425" s="81" t="s">
        <v>187</v>
      </c>
      <c r="H1425" s="81" t="s">
        <v>187</v>
      </c>
      <c r="I1425" s="81" t="s">
        <v>187</v>
      </c>
      <c r="J1425" s="81" t="s">
        <v>187</v>
      </c>
      <c r="K1425" s="81" t="s">
        <v>187</v>
      </c>
      <c r="L1425" s="81" t="s">
        <v>187</v>
      </c>
    </row>
    <row r="1426" ht="15.75" customHeight="1">
      <c r="A1426" s="262"/>
      <c r="B1426" s="262"/>
      <c r="C1426" s="263"/>
      <c r="D1426" s="262"/>
      <c r="E1426" s="81" t="s">
        <v>187</v>
      </c>
      <c r="F1426" s="81" t="s">
        <v>187</v>
      </c>
      <c r="G1426" s="81" t="s">
        <v>187</v>
      </c>
      <c r="H1426" s="81" t="s">
        <v>187</v>
      </c>
      <c r="I1426" s="81" t="s">
        <v>187</v>
      </c>
      <c r="J1426" s="81" t="s">
        <v>187</v>
      </c>
      <c r="K1426" s="81" t="s">
        <v>187</v>
      </c>
      <c r="L1426" s="81" t="s">
        <v>187</v>
      </c>
    </row>
    <row r="1427" ht="15.75" customHeight="1">
      <c r="A1427" s="262"/>
      <c r="B1427" s="262"/>
      <c r="C1427" s="263"/>
      <c r="D1427" s="262"/>
      <c r="E1427" s="81" t="s">
        <v>187</v>
      </c>
      <c r="F1427" s="81" t="s">
        <v>187</v>
      </c>
      <c r="G1427" s="81" t="s">
        <v>187</v>
      </c>
      <c r="H1427" s="81" t="s">
        <v>187</v>
      </c>
      <c r="I1427" s="81" t="s">
        <v>187</v>
      </c>
      <c r="J1427" s="81" t="s">
        <v>187</v>
      </c>
      <c r="K1427" s="81" t="s">
        <v>187</v>
      </c>
      <c r="L1427" s="81" t="s">
        <v>187</v>
      </c>
    </row>
    <row r="1428" ht="15.75" customHeight="1">
      <c r="A1428" s="262"/>
      <c r="B1428" s="262"/>
      <c r="C1428" s="263"/>
      <c r="D1428" s="262"/>
      <c r="E1428" s="81" t="s">
        <v>187</v>
      </c>
      <c r="F1428" s="81" t="s">
        <v>187</v>
      </c>
      <c r="G1428" s="81" t="s">
        <v>187</v>
      </c>
      <c r="H1428" s="81" t="s">
        <v>187</v>
      </c>
      <c r="I1428" s="81" t="s">
        <v>187</v>
      </c>
      <c r="J1428" s="81" t="s">
        <v>187</v>
      </c>
      <c r="K1428" s="81" t="s">
        <v>187</v>
      </c>
      <c r="L1428" s="81" t="s">
        <v>187</v>
      </c>
    </row>
    <row r="1429" ht="15.75" customHeight="1">
      <c r="A1429" s="262"/>
      <c r="B1429" s="262"/>
      <c r="C1429" s="263"/>
      <c r="D1429" s="262"/>
      <c r="E1429" s="81" t="s">
        <v>187</v>
      </c>
      <c r="F1429" s="81" t="s">
        <v>187</v>
      </c>
      <c r="G1429" s="81" t="s">
        <v>187</v>
      </c>
      <c r="H1429" s="81" t="s">
        <v>187</v>
      </c>
      <c r="I1429" s="81" t="s">
        <v>187</v>
      </c>
      <c r="J1429" s="81" t="s">
        <v>187</v>
      </c>
      <c r="K1429" s="81" t="s">
        <v>187</v>
      </c>
      <c r="L1429" s="81" t="s">
        <v>187</v>
      </c>
    </row>
    <row r="1430" ht="15.75" customHeight="1">
      <c r="A1430" s="262"/>
      <c r="B1430" s="262"/>
      <c r="C1430" s="263"/>
      <c r="D1430" s="262"/>
      <c r="E1430" s="81" t="s">
        <v>187</v>
      </c>
      <c r="F1430" s="81" t="s">
        <v>187</v>
      </c>
      <c r="G1430" s="81" t="s">
        <v>187</v>
      </c>
      <c r="H1430" s="81" t="s">
        <v>187</v>
      </c>
      <c r="I1430" s="81" t="s">
        <v>187</v>
      </c>
      <c r="J1430" s="81" t="s">
        <v>187</v>
      </c>
      <c r="K1430" s="81" t="s">
        <v>187</v>
      </c>
      <c r="L1430" s="81" t="s">
        <v>187</v>
      </c>
    </row>
    <row r="1431" ht="15.75" customHeight="1">
      <c r="A1431" s="262"/>
      <c r="B1431" s="262"/>
      <c r="C1431" s="263"/>
      <c r="D1431" s="262"/>
      <c r="E1431" s="81" t="s">
        <v>187</v>
      </c>
      <c r="F1431" s="81" t="s">
        <v>187</v>
      </c>
      <c r="G1431" s="81" t="s">
        <v>187</v>
      </c>
      <c r="H1431" s="81" t="s">
        <v>187</v>
      </c>
      <c r="I1431" s="81" t="s">
        <v>187</v>
      </c>
      <c r="J1431" s="81" t="s">
        <v>187</v>
      </c>
      <c r="K1431" s="81" t="s">
        <v>187</v>
      </c>
      <c r="L1431" s="81" t="s">
        <v>187</v>
      </c>
    </row>
    <row r="1432" ht="15.75" customHeight="1">
      <c r="A1432" s="262"/>
      <c r="B1432" s="262"/>
      <c r="C1432" s="263"/>
      <c r="D1432" s="262"/>
      <c r="E1432" s="81" t="s">
        <v>187</v>
      </c>
      <c r="F1432" s="81" t="s">
        <v>187</v>
      </c>
      <c r="G1432" s="81" t="s">
        <v>187</v>
      </c>
      <c r="H1432" s="81" t="s">
        <v>187</v>
      </c>
      <c r="I1432" s="81" t="s">
        <v>187</v>
      </c>
      <c r="J1432" s="81" t="s">
        <v>187</v>
      </c>
      <c r="K1432" s="81" t="s">
        <v>187</v>
      </c>
      <c r="L1432" s="81" t="s">
        <v>187</v>
      </c>
    </row>
    <row r="1433" ht="15.75" customHeight="1">
      <c r="A1433" s="262"/>
      <c r="B1433" s="262"/>
      <c r="C1433" s="263"/>
      <c r="D1433" s="262"/>
      <c r="E1433" s="81" t="s">
        <v>187</v>
      </c>
      <c r="F1433" s="81" t="s">
        <v>187</v>
      </c>
      <c r="G1433" s="81" t="s">
        <v>187</v>
      </c>
      <c r="H1433" s="81" t="s">
        <v>187</v>
      </c>
      <c r="I1433" s="81" t="s">
        <v>187</v>
      </c>
      <c r="J1433" s="81" t="s">
        <v>187</v>
      </c>
      <c r="K1433" s="81" t="s">
        <v>187</v>
      </c>
      <c r="L1433" s="81" t="s">
        <v>187</v>
      </c>
    </row>
    <row r="1434" ht="15.75" customHeight="1">
      <c r="A1434" s="262"/>
      <c r="B1434" s="262"/>
      <c r="C1434" s="263"/>
      <c r="D1434" s="262"/>
      <c r="E1434" s="81" t="s">
        <v>187</v>
      </c>
      <c r="F1434" s="81" t="s">
        <v>187</v>
      </c>
      <c r="G1434" s="81" t="s">
        <v>187</v>
      </c>
      <c r="H1434" s="81" t="s">
        <v>187</v>
      </c>
      <c r="I1434" s="81" t="s">
        <v>187</v>
      </c>
      <c r="J1434" s="81" t="s">
        <v>187</v>
      </c>
      <c r="K1434" s="81" t="s">
        <v>187</v>
      </c>
      <c r="L1434" s="81" t="s">
        <v>187</v>
      </c>
    </row>
    <row r="1435" ht="15.75" customHeight="1">
      <c r="A1435" s="262"/>
      <c r="B1435" s="262"/>
      <c r="C1435" s="263"/>
      <c r="D1435" s="262"/>
      <c r="E1435" s="81" t="s">
        <v>187</v>
      </c>
      <c r="F1435" s="81" t="s">
        <v>187</v>
      </c>
      <c r="G1435" s="81" t="s">
        <v>187</v>
      </c>
      <c r="H1435" s="81" t="s">
        <v>187</v>
      </c>
      <c r="I1435" s="81" t="s">
        <v>187</v>
      </c>
      <c r="J1435" s="81" t="s">
        <v>187</v>
      </c>
      <c r="K1435" s="81" t="s">
        <v>187</v>
      </c>
      <c r="L1435" s="81" t="s">
        <v>187</v>
      </c>
    </row>
    <row r="1436" ht="15.75" customHeight="1">
      <c r="A1436" s="262"/>
      <c r="B1436" s="262"/>
      <c r="C1436" s="263"/>
      <c r="D1436" s="262"/>
      <c r="E1436" s="81" t="s">
        <v>187</v>
      </c>
      <c r="F1436" s="81" t="s">
        <v>187</v>
      </c>
      <c r="G1436" s="81" t="s">
        <v>187</v>
      </c>
      <c r="H1436" s="81" t="s">
        <v>187</v>
      </c>
      <c r="I1436" s="81" t="s">
        <v>187</v>
      </c>
      <c r="J1436" s="81" t="s">
        <v>187</v>
      </c>
      <c r="K1436" s="81" t="s">
        <v>187</v>
      </c>
      <c r="L1436" s="81" t="s">
        <v>187</v>
      </c>
    </row>
    <row r="1437" ht="15.75" customHeight="1">
      <c r="A1437" s="262"/>
      <c r="B1437" s="262"/>
      <c r="C1437" s="263"/>
      <c r="D1437" s="262"/>
      <c r="E1437" s="81" t="s">
        <v>187</v>
      </c>
      <c r="F1437" s="81" t="s">
        <v>187</v>
      </c>
      <c r="G1437" s="81" t="s">
        <v>187</v>
      </c>
      <c r="H1437" s="81" t="s">
        <v>187</v>
      </c>
      <c r="I1437" s="81" t="s">
        <v>187</v>
      </c>
      <c r="J1437" s="81" t="s">
        <v>187</v>
      </c>
      <c r="K1437" s="81" t="s">
        <v>187</v>
      </c>
      <c r="L1437" s="81" t="s">
        <v>187</v>
      </c>
    </row>
    <row r="1438" ht="15.75" customHeight="1">
      <c r="A1438" s="262"/>
      <c r="B1438" s="262"/>
      <c r="C1438" s="263"/>
      <c r="D1438" s="262"/>
      <c r="E1438" s="81" t="s">
        <v>187</v>
      </c>
      <c r="F1438" s="81" t="s">
        <v>187</v>
      </c>
      <c r="G1438" s="81" t="s">
        <v>187</v>
      </c>
      <c r="H1438" s="81" t="s">
        <v>187</v>
      </c>
      <c r="I1438" s="81" t="s">
        <v>187</v>
      </c>
      <c r="J1438" s="81" t="s">
        <v>187</v>
      </c>
      <c r="K1438" s="81" t="s">
        <v>187</v>
      </c>
      <c r="L1438" s="81" t="s">
        <v>187</v>
      </c>
    </row>
    <row r="1439" ht="15.75" customHeight="1">
      <c r="A1439" s="262"/>
      <c r="B1439" s="262"/>
      <c r="C1439" s="263"/>
      <c r="D1439" s="262"/>
      <c r="E1439" s="81" t="s">
        <v>187</v>
      </c>
      <c r="F1439" s="81" t="s">
        <v>187</v>
      </c>
      <c r="G1439" s="81" t="s">
        <v>187</v>
      </c>
      <c r="H1439" s="81" t="s">
        <v>187</v>
      </c>
      <c r="I1439" s="81" t="s">
        <v>187</v>
      </c>
      <c r="J1439" s="81" t="s">
        <v>187</v>
      </c>
      <c r="K1439" s="81" t="s">
        <v>187</v>
      </c>
      <c r="L1439" s="81" t="s">
        <v>187</v>
      </c>
    </row>
    <row r="1440" ht="15.75" customHeight="1">
      <c r="A1440" s="262"/>
      <c r="B1440" s="262"/>
      <c r="C1440" s="263"/>
      <c r="D1440" s="262"/>
      <c r="E1440" s="81" t="s">
        <v>187</v>
      </c>
      <c r="F1440" s="81" t="s">
        <v>187</v>
      </c>
      <c r="G1440" s="81" t="s">
        <v>187</v>
      </c>
      <c r="H1440" s="81" t="s">
        <v>187</v>
      </c>
      <c r="I1440" s="81" t="s">
        <v>187</v>
      </c>
      <c r="J1440" s="81" t="s">
        <v>187</v>
      </c>
      <c r="K1440" s="81" t="s">
        <v>187</v>
      </c>
      <c r="L1440" s="81" t="s">
        <v>187</v>
      </c>
    </row>
    <row r="1441" ht="15.75" customHeight="1">
      <c r="A1441" s="262"/>
      <c r="B1441" s="262"/>
      <c r="C1441" s="263"/>
      <c r="D1441" s="262"/>
      <c r="E1441" s="81" t="s">
        <v>187</v>
      </c>
      <c r="F1441" s="81" t="s">
        <v>187</v>
      </c>
      <c r="G1441" s="81" t="s">
        <v>187</v>
      </c>
      <c r="H1441" s="81" t="s">
        <v>187</v>
      </c>
      <c r="I1441" s="81" t="s">
        <v>187</v>
      </c>
      <c r="J1441" s="81" t="s">
        <v>187</v>
      </c>
      <c r="K1441" s="81" t="s">
        <v>187</v>
      </c>
      <c r="L1441" s="81" t="s">
        <v>187</v>
      </c>
    </row>
    <row r="1442" ht="15.75" customHeight="1">
      <c r="A1442" s="262"/>
      <c r="B1442" s="262"/>
      <c r="C1442" s="263"/>
      <c r="D1442" s="262"/>
      <c r="E1442" s="81" t="s">
        <v>187</v>
      </c>
      <c r="F1442" s="81" t="s">
        <v>187</v>
      </c>
      <c r="G1442" s="81" t="s">
        <v>187</v>
      </c>
      <c r="H1442" s="81" t="s">
        <v>187</v>
      </c>
      <c r="I1442" s="81" t="s">
        <v>187</v>
      </c>
      <c r="J1442" s="81" t="s">
        <v>187</v>
      </c>
      <c r="K1442" s="81" t="s">
        <v>187</v>
      </c>
      <c r="L1442" s="81" t="s">
        <v>187</v>
      </c>
    </row>
    <row r="1443" ht="15.75" customHeight="1">
      <c r="A1443" s="262"/>
      <c r="B1443" s="262"/>
      <c r="C1443" s="263"/>
      <c r="D1443" s="262"/>
      <c r="E1443" s="81" t="s">
        <v>187</v>
      </c>
      <c r="F1443" s="81" t="s">
        <v>187</v>
      </c>
      <c r="G1443" s="81" t="s">
        <v>187</v>
      </c>
      <c r="H1443" s="81" t="s">
        <v>187</v>
      </c>
      <c r="I1443" s="81" t="s">
        <v>187</v>
      </c>
      <c r="J1443" s="81" t="s">
        <v>187</v>
      </c>
      <c r="K1443" s="81" t="s">
        <v>187</v>
      </c>
      <c r="L1443" s="81" t="s">
        <v>187</v>
      </c>
    </row>
    <row r="1444" ht="15.75" customHeight="1">
      <c r="A1444" s="262"/>
      <c r="B1444" s="262"/>
      <c r="C1444" s="263"/>
      <c r="D1444" s="262"/>
      <c r="E1444" s="81" t="s">
        <v>187</v>
      </c>
      <c r="F1444" s="81" t="s">
        <v>187</v>
      </c>
      <c r="G1444" s="81" t="s">
        <v>187</v>
      </c>
      <c r="H1444" s="81" t="s">
        <v>187</v>
      </c>
      <c r="I1444" s="81" t="s">
        <v>187</v>
      </c>
      <c r="J1444" s="81" t="s">
        <v>187</v>
      </c>
      <c r="K1444" s="81" t="s">
        <v>187</v>
      </c>
      <c r="L1444" s="81" t="s">
        <v>187</v>
      </c>
    </row>
    <row r="1445" ht="15.75" customHeight="1">
      <c r="A1445" s="262"/>
      <c r="B1445" s="262"/>
      <c r="C1445" s="263"/>
      <c r="D1445" s="262"/>
      <c r="E1445" s="81" t="s">
        <v>187</v>
      </c>
      <c r="F1445" s="81" t="s">
        <v>187</v>
      </c>
      <c r="G1445" s="81" t="s">
        <v>187</v>
      </c>
      <c r="H1445" s="81" t="s">
        <v>187</v>
      </c>
      <c r="I1445" s="81" t="s">
        <v>187</v>
      </c>
      <c r="J1445" s="81" t="s">
        <v>187</v>
      </c>
      <c r="K1445" s="81" t="s">
        <v>187</v>
      </c>
      <c r="L1445" s="81" t="s">
        <v>187</v>
      </c>
    </row>
    <row r="1446" ht="15.75" customHeight="1">
      <c r="A1446" s="262"/>
      <c r="B1446" s="262"/>
      <c r="C1446" s="263"/>
      <c r="D1446" s="262"/>
      <c r="E1446" s="81" t="s">
        <v>187</v>
      </c>
      <c r="F1446" s="81" t="s">
        <v>187</v>
      </c>
      <c r="G1446" s="81" t="s">
        <v>187</v>
      </c>
      <c r="H1446" s="81" t="s">
        <v>187</v>
      </c>
      <c r="I1446" s="81" t="s">
        <v>187</v>
      </c>
      <c r="J1446" s="81" t="s">
        <v>187</v>
      </c>
      <c r="K1446" s="81" t="s">
        <v>187</v>
      </c>
      <c r="L1446" s="81" t="s">
        <v>187</v>
      </c>
    </row>
    <row r="1447" ht="15.75" customHeight="1">
      <c r="A1447" s="262"/>
      <c r="B1447" s="262"/>
      <c r="C1447" s="263"/>
      <c r="D1447" s="262"/>
      <c r="E1447" s="81" t="s">
        <v>187</v>
      </c>
      <c r="F1447" s="81" t="s">
        <v>187</v>
      </c>
      <c r="G1447" s="81" t="s">
        <v>187</v>
      </c>
      <c r="H1447" s="81" t="s">
        <v>187</v>
      </c>
      <c r="I1447" s="81" t="s">
        <v>187</v>
      </c>
      <c r="J1447" s="81" t="s">
        <v>187</v>
      </c>
      <c r="K1447" s="81" t="s">
        <v>187</v>
      </c>
      <c r="L1447" s="81" t="s">
        <v>187</v>
      </c>
    </row>
    <row r="1448" ht="15.75" customHeight="1">
      <c r="A1448" s="262"/>
      <c r="B1448" s="262"/>
      <c r="C1448" s="263"/>
      <c r="D1448" s="262"/>
      <c r="E1448" s="81" t="s">
        <v>187</v>
      </c>
      <c r="F1448" s="81" t="s">
        <v>187</v>
      </c>
      <c r="G1448" s="81" t="s">
        <v>187</v>
      </c>
      <c r="H1448" s="81" t="s">
        <v>187</v>
      </c>
      <c r="I1448" s="81" t="s">
        <v>187</v>
      </c>
      <c r="J1448" s="81" t="s">
        <v>187</v>
      </c>
      <c r="K1448" s="81" t="s">
        <v>187</v>
      </c>
      <c r="L1448" s="81" t="s">
        <v>187</v>
      </c>
    </row>
    <row r="1449" ht="15.75" customHeight="1">
      <c r="A1449" s="262"/>
      <c r="B1449" s="262"/>
      <c r="C1449" s="263"/>
      <c r="D1449" s="262"/>
      <c r="E1449" s="81" t="s">
        <v>187</v>
      </c>
      <c r="F1449" s="81" t="s">
        <v>187</v>
      </c>
      <c r="G1449" s="81" t="s">
        <v>187</v>
      </c>
      <c r="H1449" s="81" t="s">
        <v>187</v>
      </c>
      <c r="I1449" s="81" t="s">
        <v>187</v>
      </c>
      <c r="J1449" s="81" t="s">
        <v>187</v>
      </c>
      <c r="K1449" s="81" t="s">
        <v>187</v>
      </c>
      <c r="L1449" s="81" t="s">
        <v>187</v>
      </c>
    </row>
    <row r="1450" ht="15.75" customHeight="1">
      <c r="A1450" s="262"/>
      <c r="B1450" s="262"/>
      <c r="C1450" s="263"/>
      <c r="D1450" s="262"/>
      <c r="E1450" s="81" t="s">
        <v>187</v>
      </c>
      <c r="F1450" s="81" t="s">
        <v>187</v>
      </c>
      <c r="G1450" s="81" t="s">
        <v>187</v>
      </c>
      <c r="H1450" s="81" t="s">
        <v>187</v>
      </c>
      <c r="I1450" s="81" t="s">
        <v>187</v>
      </c>
      <c r="J1450" s="81" t="s">
        <v>187</v>
      </c>
      <c r="K1450" s="81" t="s">
        <v>187</v>
      </c>
      <c r="L1450" s="81" t="s">
        <v>187</v>
      </c>
    </row>
    <row r="1451" ht="15.75" customHeight="1">
      <c r="A1451" s="262"/>
      <c r="B1451" s="262"/>
      <c r="C1451" s="263"/>
      <c r="D1451" s="262"/>
      <c r="E1451" s="81" t="s">
        <v>187</v>
      </c>
      <c r="F1451" s="81" t="s">
        <v>187</v>
      </c>
      <c r="G1451" s="81" t="s">
        <v>187</v>
      </c>
      <c r="H1451" s="81" t="s">
        <v>187</v>
      </c>
      <c r="I1451" s="81" t="s">
        <v>187</v>
      </c>
      <c r="J1451" s="81" t="s">
        <v>187</v>
      </c>
      <c r="K1451" s="81" t="s">
        <v>187</v>
      </c>
      <c r="L1451" s="81" t="s">
        <v>187</v>
      </c>
    </row>
    <row r="1452" ht="15.75" customHeight="1">
      <c r="A1452" s="262"/>
      <c r="B1452" s="262"/>
      <c r="C1452" s="263"/>
      <c r="D1452" s="262"/>
      <c r="E1452" s="81" t="s">
        <v>187</v>
      </c>
      <c r="F1452" s="81" t="s">
        <v>187</v>
      </c>
      <c r="G1452" s="81" t="s">
        <v>187</v>
      </c>
      <c r="H1452" s="81" t="s">
        <v>187</v>
      </c>
      <c r="I1452" s="81" t="s">
        <v>187</v>
      </c>
      <c r="J1452" s="81" t="s">
        <v>187</v>
      </c>
      <c r="K1452" s="81" t="s">
        <v>187</v>
      </c>
      <c r="L1452" s="81" t="s">
        <v>187</v>
      </c>
    </row>
    <row r="1453" ht="15.75" customHeight="1">
      <c r="A1453" s="262"/>
      <c r="B1453" s="262"/>
      <c r="C1453" s="263"/>
      <c r="D1453" s="262"/>
      <c r="E1453" s="81" t="s">
        <v>187</v>
      </c>
      <c r="F1453" s="81" t="s">
        <v>187</v>
      </c>
      <c r="G1453" s="81" t="s">
        <v>187</v>
      </c>
      <c r="H1453" s="81" t="s">
        <v>187</v>
      </c>
      <c r="I1453" s="81" t="s">
        <v>187</v>
      </c>
      <c r="J1453" s="81" t="s">
        <v>187</v>
      </c>
      <c r="K1453" s="81" t="s">
        <v>187</v>
      </c>
      <c r="L1453" s="81" t="s">
        <v>187</v>
      </c>
    </row>
    <row r="1454" ht="15.75" customHeight="1">
      <c r="A1454" s="262"/>
      <c r="B1454" s="262"/>
      <c r="C1454" s="263"/>
      <c r="D1454" s="262"/>
      <c r="E1454" s="81" t="s">
        <v>187</v>
      </c>
      <c r="F1454" s="81" t="s">
        <v>187</v>
      </c>
      <c r="G1454" s="81" t="s">
        <v>187</v>
      </c>
      <c r="H1454" s="81" t="s">
        <v>187</v>
      </c>
      <c r="I1454" s="81" t="s">
        <v>187</v>
      </c>
      <c r="J1454" s="81" t="s">
        <v>187</v>
      </c>
      <c r="K1454" s="81" t="s">
        <v>187</v>
      </c>
      <c r="L1454" s="81" t="s">
        <v>187</v>
      </c>
    </row>
    <row r="1455" ht="15.75" customHeight="1">
      <c r="A1455" s="262"/>
      <c r="B1455" s="262"/>
      <c r="C1455" s="263"/>
      <c r="D1455" s="262"/>
      <c r="E1455" s="81" t="s">
        <v>187</v>
      </c>
      <c r="F1455" s="81" t="s">
        <v>187</v>
      </c>
      <c r="G1455" s="81" t="s">
        <v>187</v>
      </c>
      <c r="H1455" s="81" t="s">
        <v>187</v>
      </c>
      <c r="I1455" s="81" t="s">
        <v>187</v>
      </c>
      <c r="J1455" s="81" t="s">
        <v>187</v>
      </c>
      <c r="K1455" s="81" t="s">
        <v>187</v>
      </c>
      <c r="L1455" s="81" t="s">
        <v>187</v>
      </c>
    </row>
    <row r="1456" ht="15.75" customHeight="1">
      <c r="A1456" s="262"/>
      <c r="B1456" s="262"/>
      <c r="C1456" s="263"/>
      <c r="D1456" s="262"/>
      <c r="E1456" s="81" t="s">
        <v>187</v>
      </c>
      <c r="F1456" s="81" t="s">
        <v>187</v>
      </c>
      <c r="G1456" s="81" t="s">
        <v>187</v>
      </c>
      <c r="H1456" s="81" t="s">
        <v>187</v>
      </c>
      <c r="I1456" s="81" t="s">
        <v>187</v>
      </c>
      <c r="J1456" s="81" t="s">
        <v>187</v>
      </c>
      <c r="K1456" s="81" t="s">
        <v>187</v>
      </c>
      <c r="L1456" s="81" t="s">
        <v>187</v>
      </c>
    </row>
    <row r="1457" ht="15.75" customHeight="1">
      <c r="A1457" s="262"/>
      <c r="B1457" s="262"/>
      <c r="C1457" s="263"/>
      <c r="D1457" s="262"/>
      <c r="E1457" s="81" t="s">
        <v>187</v>
      </c>
      <c r="F1457" s="81" t="s">
        <v>187</v>
      </c>
      <c r="G1457" s="81" t="s">
        <v>187</v>
      </c>
      <c r="H1457" s="81" t="s">
        <v>187</v>
      </c>
      <c r="I1457" s="81" t="s">
        <v>187</v>
      </c>
      <c r="J1457" s="81" t="s">
        <v>187</v>
      </c>
      <c r="K1457" s="81" t="s">
        <v>187</v>
      </c>
      <c r="L1457" s="81" t="s">
        <v>187</v>
      </c>
    </row>
    <row r="1458" ht="15.75" customHeight="1">
      <c r="A1458" s="262"/>
      <c r="B1458" s="262"/>
      <c r="C1458" s="263"/>
      <c r="D1458" s="262"/>
      <c r="E1458" s="81" t="s">
        <v>187</v>
      </c>
      <c r="F1458" s="81" t="s">
        <v>187</v>
      </c>
      <c r="G1458" s="81" t="s">
        <v>187</v>
      </c>
      <c r="H1458" s="81" t="s">
        <v>187</v>
      </c>
      <c r="I1458" s="81" t="s">
        <v>187</v>
      </c>
      <c r="J1458" s="81" t="s">
        <v>187</v>
      </c>
      <c r="K1458" s="81" t="s">
        <v>187</v>
      </c>
      <c r="L1458" s="81" t="s">
        <v>187</v>
      </c>
    </row>
    <row r="1459" ht="15.75" customHeight="1">
      <c r="A1459" s="262"/>
      <c r="B1459" s="262"/>
      <c r="C1459" s="263"/>
      <c r="D1459" s="262"/>
      <c r="E1459" s="81" t="s">
        <v>187</v>
      </c>
      <c r="F1459" s="81" t="s">
        <v>187</v>
      </c>
      <c r="G1459" s="81" t="s">
        <v>187</v>
      </c>
      <c r="H1459" s="81" t="s">
        <v>187</v>
      </c>
      <c r="I1459" s="81" t="s">
        <v>187</v>
      </c>
      <c r="J1459" s="81" t="s">
        <v>187</v>
      </c>
      <c r="K1459" s="81" t="s">
        <v>187</v>
      </c>
      <c r="L1459" s="81" t="s">
        <v>187</v>
      </c>
    </row>
    <row r="1460" ht="15.75" customHeight="1">
      <c r="A1460" s="262"/>
      <c r="B1460" s="262"/>
      <c r="C1460" s="263"/>
      <c r="D1460" s="262"/>
      <c r="E1460" s="81" t="s">
        <v>187</v>
      </c>
      <c r="F1460" s="81" t="s">
        <v>187</v>
      </c>
      <c r="G1460" s="81" t="s">
        <v>187</v>
      </c>
      <c r="H1460" s="81" t="s">
        <v>187</v>
      </c>
      <c r="I1460" s="81" t="s">
        <v>187</v>
      </c>
      <c r="J1460" s="81" t="s">
        <v>187</v>
      </c>
      <c r="K1460" s="81" t="s">
        <v>187</v>
      </c>
      <c r="L1460" s="81" t="s">
        <v>187</v>
      </c>
    </row>
    <row r="1461" ht="15.75" customHeight="1">
      <c r="A1461" s="262"/>
      <c r="B1461" s="262"/>
      <c r="C1461" s="263"/>
      <c r="D1461" s="262"/>
      <c r="E1461" s="81" t="s">
        <v>187</v>
      </c>
      <c r="F1461" s="81" t="s">
        <v>187</v>
      </c>
      <c r="G1461" s="81" t="s">
        <v>187</v>
      </c>
      <c r="H1461" s="81" t="s">
        <v>187</v>
      </c>
      <c r="I1461" s="81" t="s">
        <v>187</v>
      </c>
      <c r="J1461" s="81" t="s">
        <v>187</v>
      </c>
      <c r="K1461" s="81" t="s">
        <v>187</v>
      </c>
      <c r="L1461" s="81" t="s">
        <v>187</v>
      </c>
    </row>
    <row r="1462" ht="15.75" customHeight="1">
      <c r="A1462" s="262"/>
      <c r="B1462" s="262"/>
      <c r="C1462" s="263"/>
      <c r="D1462" s="262"/>
      <c r="E1462" s="81" t="s">
        <v>187</v>
      </c>
      <c r="F1462" s="81" t="s">
        <v>187</v>
      </c>
      <c r="G1462" s="81" t="s">
        <v>187</v>
      </c>
      <c r="H1462" s="81" t="s">
        <v>187</v>
      </c>
      <c r="I1462" s="81" t="s">
        <v>187</v>
      </c>
      <c r="J1462" s="81" t="s">
        <v>187</v>
      </c>
      <c r="K1462" s="81" t="s">
        <v>187</v>
      </c>
      <c r="L1462" s="81" t="s">
        <v>187</v>
      </c>
    </row>
    <row r="1463" ht="15.75" customHeight="1">
      <c r="A1463" s="262"/>
      <c r="B1463" s="262"/>
      <c r="C1463" s="263"/>
      <c r="D1463" s="262"/>
      <c r="E1463" s="81" t="s">
        <v>187</v>
      </c>
      <c r="F1463" s="81" t="s">
        <v>187</v>
      </c>
      <c r="G1463" s="81" t="s">
        <v>187</v>
      </c>
      <c r="H1463" s="81" t="s">
        <v>187</v>
      </c>
      <c r="I1463" s="81" t="s">
        <v>187</v>
      </c>
      <c r="J1463" s="81" t="s">
        <v>187</v>
      </c>
      <c r="K1463" s="81" t="s">
        <v>187</v>
      </c>
      <c r="L1463" s="81" t="s">
        <v>187</v>
      </c>
    </row>
    <row r="1464" ht="15.75" customHeight="1">
      <c r="A1464" s="262"/>
      <c r="B1464" s="262"/>
      <c r="C1464" s="263"/>
      <c r="D1464" s="262"/>
      <c r="E1464" s="81" t="s">
        <v>187</v>
      </c>
      <c r="F1464" s="81" t="s">
        <v>187</v>
      </c>
      <c r="G1464" s="81" t="s">
        <v>187</v>
      </c>
      <c r="H1464" s="81" t="s">
        <v>187</v>
      </c>
      <c r="I1464" s="81" t="s">
        <v>187</v>
      </c>
      <c r="J1464" s="81" t="s">
        <v>187</v>
      </c>
      <c r="K1464" s="81" t="s">
        <v>187</v>
      </c>
      <c r="L1464" s="81" t="s">
        <v>187</v>
      </c>
    </row>
    <row r="1465" ht="15.75" customHeight="1">
      <c r="A1465" s="262"/>
      <c r="B1465" s="262"/>
      <c r="C1465" s="263"/>
      <c r="D1465" s="262"/>
      <c r="E1465" s="81" t="s">
        <v>187</v>
      </c>
      <c r="F1465" s="81" t="s">
        <v>187</v>
      </c>
      <c r="G1465" s="81" t="s">
        <v>187</v>
      </c>
      <c r="H1465" s="81" t="s">
        <v>187</v>
      </c>
      <c r="I1465" s="81" t="s">
        <v>187</v>
      </c>
      <c r="J1465" s="81" t="s">
        <v>187</v>
      </c>
      <c r="K1465" s="81" t="s">
        <v>187</v>
      </c>
      <c r="L1465" s="81" t="s">
        <v>187</v>
      </c>
    </row>
    <row r="1466" ht="15.75" customHeight="1">
      <c r="A1466" s="262"/>
      <c r="B1466" s="262"/>
      <c r="C1466" s="263"/>
      <c r="D1466" s="262"/>
      <c r="E1466" s="81" t="s">
        <v>187</v>
      </c>
      <c r="F1466" s="81" t="s">
        <v>187</v>
      </c>
      <c r="G1466" s="81" t="s">
        <v>187</v>
      </c>
      <c r="H1466" s="81" t="s">
        <v>187</v>
      </c>
      <c r="I1466" s="81" t="s">
        <v>187</v>
      </c>
      <c r="J1466" s="81" t="s">
        <v>187</v>
      </c>
      <c r="K1466" s="81" t="s">
        <v>187</v>
      </c>
      <c r="L1466" s="81" t="s">
        <v>187</v>
      </c>
    </row>
    <row r="1467" ht="15.75" customHeight="1">
      <c r="A1467" s="262"/>
      <c r="B1467" s="262"/>
      <c r="C1467" s="263"/>
      <c r="D1467" s="262"/>
      <c r="E1467" s="81" t="s">
        <v>187</v>
      </c>
      <c r="F1467" s="81" t="s">
        <v>187</v>
      </c>
      <c r="G1467" s="81" t="s">
        <v>187</v>
      </c>
      <c r="H1467" s="81" t="s">
        <v>187</v>
      </c>
      <c r="I1467" s="81" t="s">
        <v>187</v>
      </c>
      <c r="J1467" s="81" t="s">
        <v>187</v>
      </c>
      <c r="K1467" s="81" t="s">
        <v>187</v>
      </c>
      <c r="L1467" s="81" t="s">
        <v>187</v>
      </c>
    </row>
    <row r="1468" ht="15.75" customHeight="1">
      <c r="A1468" s="262"/>
      <c r="B1468" s="262"/>
      <c r="C1468" s="263"/>
      <c r="D1468" s="262"/>
      <c r="E1468" s="81" t="s">
        <v>187</v>
      </c>
      <c r="F1468" s="81" t="s">
        <v>187</v>
      </c>
      <c r="G1468" s="81" t="s">
        <v>187</v>
      </c>
      <c r="H1468" s="81" t="s">
        <v>187</v>
      </c>
      <c r="I1468" s="81" t="s">
        <v>187</v>
      </c>
      <c r="J1468" s="81" t="s">
        <v>187</v>
      </c>
      <c r="K1468" s="81" t="s">
        <v>187</v>
      </c>
      <c r="L1468" s="81" t="s">
        <v>187</v>
      </c>
    </row>
    <row r="1469" ht="15.75" customHeight="1">
      <c r="A1469" s="262"/>
      <c r="B1469" s="262"/>
      <c r="C1469" s="263"/>
      <c r="D1469" s="262"/>
      <c r="E1469" s="81" t="s">
        <v>187</v>
      </c>
      <c r="F1469" s="81" t="s">
        <v>187</v>
      </c>
      <c r="G1469" s="81" t="s">
        <v>187</v>
      </c>
      <c r="H1469" s="81" t="s">
        <v>187</v>
      </c>
      <c r="I1469" s="81" t="s">
        <v>187</v>
      </c>
      <c r="J1469" s="81" t="s">
        <v>187</v>
      </c>
      <c r="K1469" s="81" t="s">
        <v>187</v>
      </c>
      <c r="L1469" s="81" t="s">
        <v>187</v>
      </c>
    </row>
    <row r="1470" ht="15.75" customHeight="1">
      <c r="A1470" s="262"/>
      <c r="B1470" s="262"/>
      <c r="C1470" s="263"/>
      <c r="D1470" s="262"/>
      <c r="E1470" s="81" t="s">
        <v>187</v>
      </c>
      <c r="F1470" s="81" t="s">
        <v>187</v>
      </c>
      <c r="G1470" s="81" t="s">
        <v>187</v>
      </c>
      <c r="H1470" s="81" t="s">
        <v>187</v>
      </c>
      <c r="I1470" s="81" t="s">
        <v>187</v>
      </c>
      <c r="J1470" s="81" t="s">
        <v>187</v>
      </c>
      <c r="K1470" s="81" t="s">
        <v>187</v>
      </c>
      <c r="L1470" s="81" t="s">
        <v>187</v>
      </c>
    </row>
    <row r="1471" ht="15.75" customHeight="1">
      <c r="A1471" s="262"/>
      <c r="B1471" s="262"/>
      <c r="C1471" s="263"/>
      <c r="D1471" s="262"/>
      <c r="E1471" s="81" t="s">
        <v>187</v>
      </c>
      <c r="F1471" s="81" t="s">
        <v>187</v>
      </c>
      <c r="G1471" s="81" t="s">
        <v>187</v>
      </c>
      <c r="H1471" s="81" t="s">
        <v>187</v>
      </c>
      <c r="I1471" s="81" t="s">
        <v>187</v>
      </c>
      <c r="J1471" s="81" t="s">
        <v>187</v>
      </c>
      <c r="K1471" s="81" t="s">
        <v>187</v>
      </c>
      <c r="L1471" s="81" t="s">
        <v>187</v>
      </c>
    </row>
    <row r="1472" ht="15.75" customHeight="1">
      <c r="A1472" s="262"/>
      <c r="B1472" s="262"/>
      <c r="C1472" s="263"/>
      <c r="D1472" s="262"/>
      <c r="E1472" s="81" t="s">
        <v>187</v>
      </c>
      <c r="F1472" s="81" t="s">
        <v>187</v>
      </c>
      <c r="G1472" s="81" t="s">
        <v>187</v>
      </c>
      <c r="H1472" s="81" t="s">
        <v>187</v>
      </c>
      <c r="I1472" s="81" t="s">
        <v>187</v>
      </c>
      <c r="J1472" s="81" t="s">
        <v>187</v>
      </c>
      <c r="K1472" s="81" t="s">
        <v>187</v>
      </c>
      <c r="L1472" s="81" t="s">
        <v>187</v>
      </c>
    </row>
    <row r="1473" ht="15.75" customHeight="1">
      <c r="A1473" s="262"/>
      <c r="B1473" s="262"/>
      <c r="C1473" s="263"/>
      <c r="D1473" s="262"/>
      <c r="E1473" s="81" t="s">
        <v>187</v>
      </c>
      <c r="F1473" s="81" t="s">
        <v>187</v>
      </c>
      <c r="G1473" s="81" t="s">
        <v>187</v>
      </c>
      <c r="H1473" s="81" t="s">
        <v>187</v>
      </c>
      <c r="I1473" s="81" t="s">
        <v>187</v>
      </c>
      <c r="J1473" s="81" t="s">
        <v>187</v>
      </c>
      <c r="K1473" s="81" t="s">
        <v>187</v>
      </c>
      <c r="L1473" s="81" t="s">
        <v>187</v>
      </c>
    </row>
    <row r="1474" ht="15.75" customHeight="1">
      <c r="A1474" s="262"/>
      <c r="B1474" s="262"/>
      <c r="C1474" s="263"/>
      <c r="D1474" s="262"/>
      <c r="E1474" s="81" t="s">
        <v>187</v>
      </c>
      <c r="F1474" s="81" t="s">
        <v>187</v>
      </c>
      <c r="G1474" s="81" t="s">
        <v>187</v>
      </c>
      <c r="H1474" s="81" t="s">
        <v>187</v>
      </c>
      <c r="I1474" s="81" t="s">
        <v>187</v>
      </c>
      <c r="J1474" s="81" t="s">
        <v>187</v>
      </c>
      <c r="K1474" s="81" t="s">
        <v>187</v>
      </c>
      <c r="L1474" s="81" t="s">
        <v>187</v>
      </c>
    </row>
    <row r="1475" ht="15.75" customHeight="1">
      <c r="A1475" s="262"/>
      <c r="B1475" s="262"/>
      <c r="C1475" s="263"/>
      <c r="D1475" s="262"/>
      <c r="E1475" s="81" t="s">
        <v>187</v>
      </c>
      <c r="F1475" s="81" t="s">
        <v>187</v>
      </c>
      <c r="G1475" s="81" t="s">
        <v>187</v>
      </c>
      <c r="H1475" s="81" t="s">
        <v>187</v>
      </c>
      <c r="I1475" s="81" t="s">
        <v>187</v>
      </c>
      <c r="J1475" s="81" t="s">
        <v>187</v>
      </c>
      <c r="K1475" s="81" t="s">
        <v>187</v>
      </c>
      <c r="L1475" s="81" t="s">
        <v>187</v>
      </c>
    </row>
    <row r="1476" ht="15.75" customHeight="1">
      <c r="A1476" s="262"/>
      <c r="B1476" s="262"/>
      <c r="C1476" s="263"/>
      <c r="D1476" s="262"/>
      <c r="E1476" s="81" t="s">
        <v>187</v>
      </c>
      <c r="F1476" s="81" t="s">
        <v>187</v>
      </c>
      <c r="G1476" s="81" t="s">
        <v>187</v>
      </c>
      <c r="H1476" s="81" t="s">
        <v>187</v>
      </c>
      <c r="I1476" s="81" t="s">
        <v>187</v>
      </c>
      <c r="J1476" s="81" t="s">
        <v>187</v>
      </c>
      <c r="K1476" s="81" t="s">
        <v>187</v>
      </c>
      <c r="L1476" s="81" t="s">
        <v>187</v>
      </c>
    </row>
    <row r="1477" ht="15.75" customHeight="1">
      <c r="A1477" s="262"/>
      <c r="B1477" s="262"/>
      <c r="C1477" s="263"/>
      <c r="D1477" s="262"/>
      <c r="E1477" s="81" t="s">
        <v>187</v>
      </c>
      <c r="F1477" s="81" t="s">
        <v>187</v>
      </c>
      <c r="G1477" s="81" t="s">
        <v>187</v>
      </c>
      <c r="H1477" s="81" t="s">
        <v>187</v>
      </c>
      <c r="I1477" s="81" t="s">
        <v>187</v>
      </c>
      <c r="J1477" s="81" t="s">
        <v>187</v>
      </c>
      <c r="K1477" s="81" t="s">
        <v>187</v>
      </c>
      <c r="L1477" s="81" t="s">
        <v>187</v>
      </c>
    </row>
    <row r="1478" ht="15.75" customHeight="1">
      <c r="A1478" s="262"/>
      <c r="B1478" s="262"/>
      <c r="C1478" s="263"/>
      <c r="D1478" s="262"/>
      <c r="E1478" s="81" t="s">
        <v>187</v>
      </c>
      <c r="F1478" s="81" t="s">
        <v>187</v>
      </c>
      <c r="G1478" s="81" t="s">
        <v>187</v>
      </c>
      <c r="H1478" s="81" t="s">
        <v>187</v>
      </c>
      <c r="I1478" s="81" t="s">
        <v>187</v>
      </c>
      <c r="J1478" s="81" t="s">
        <v>187</v>
      </c>
      <c r="K1478" s="81" t="s">
        <v>187</v>
      </c>
      <c r="L1478" s="81" t="s">
        <v>187</v>
      </c>
    </row>
    <row r="1479" ht="15.75" customHeight="1">
      <c r="A1479" s="262"/>
      <c r="B1479" s="262"/>
      <c r="C1479" s="263"/>
      <c r="D1479" s="262"/>
      <c r="E1479" s="81" t="s">
        <v>187</v>
      </c>
      <c r="F1479" s="81" t="s">
        <v>187</v>
      </c>
      <c r="G1479" s="81" t="s">
        <v>187</v>
      </c>
      <c r="H1479" s="81" t="s">
        <v>187</v>
      </c>
      <c r="I1479" s="81" t="s">
        <v>187</v>
      </c>
      <c r="J1479" s="81" t="s">
        <v>187</v>
      </c>
      <c r="K1479" s="81" t="s">
        <v>187</v>
      </c>
      <c r="L1479" s="81" t="s">
        <v>187</v>
      </c>
    </row>
    <row r="1480" ht="15.75" customHeight="1">
      <c r="A1480" s="262"/>
      <c r="B1480" s="262"/>
      <c r="C1480" s="263"/>
      <c r="D1480" s="262"/>
      <c r="E1480" s="81" t="s">
        <v>187</v>
      </c>
      <c r="F1480" s="81" t="s">
        <v>187</v>
      </c>
      <c r="G1480" s="81" t="s">
        <v>187</v>
      </c>
      <c r="H1480" s="81" t="s">
        <v>187</v>
      </c>
      <c r="I1480" s="81" t="s">
        <v>187</v>
      </c>
      <c r="J1480" s="81" t="s">
        <v>187</v>
      </c>
      <c r="K1480" s="81" t="s">
        <v>187</v>
      </c>
      <c r="L1480" s="81" t="s">
        <v>187</v>
      </c>
    </row>
    <row r="1481" ht="15.75" customHeight="1">
      <c r="A1481" s="262"/>
      <c r="B1481" s="262"/>
      <c r="C1481" s="263"/>
      <c r="D1481" s="262"/>
      <c r="E1481" s="81" t="s">
        <v>187</v>
      </c>
      <c r="F1481" s="81" t="s">
        <v>187</v>
      </c>
      <c r="G1481" s="81" t="s">
        <v>187</v>
      </c>
      <c r="H1481" s="81" t="s">
        <v>187</v>
      </c>
      <c r="I1481" s="81" t="s">
        <v>187</v>
      </c>
      <c r="J1481" s="81" t="s">
        <v>187</v>
      </c>
      <c r="K1481" s="81" t="s">
        <v>187</v>
      </c>
      <c r="L1481" s="81" t="s">
        <v>187</v>
      </c>
    </row>
    <row r="1482" ht="15.75" customHeight="1">
      <c r="A1482" s="262"/>
      <c r="B1482" s="262"/>
      <c r="C1482" s="263"/>
      <c r="D1482" s="262"/>
      <c r="E1482" s="81" t="s">
        <v>187</v>
      </c>
      <c r="F1482" s="81" t="s">
        <v>187</v>
      </c>
      <c r="G1482" s="81" t="s">
        <v>187</v>
      </c>
      <c r="H1482" s="81" t="s">
        <v>187</v>
      </c>
      <c r="I1482" s="81" t="s">
        <v>187</v>
      </c>
      <c r="J1482" s="81" t="s">
        <v>187</v>
      </c>
      <c r="K1482" s="81" t="s">
        <v>187</v>
      </c>
      <c r="L1482" s="81" t="s">
        <v>187</v>
      </c>
    </row>
    <row r="1483" ht="15.75" customHeight="1">
      <c r="A1483" s="262"/>
      <c r="B1483" s="262"/>
      <c r="C1483" s="263"/>
      <c r="D1483" s="262"/>
      <c r="E1483" s="81" t="s">
        <v>187</v>
      </c>
      <c r="F1483" s="81" t="s">
        <v>187</v>
      </c>
      <c r="G1483" s="81" t="s">
        <v>187</v>
      </c>
      <c r="H1483" s="81" t="s">
        <v>187</v>
      </c>
      <c r="I1483" s="81" t="s">
        <v>187</v>
      </c>
      <c r="J1483" s="81" t="s">
        <v>187</v>
      </c>
      <c r="K1483" s="81" t="s">
        <v>187</v>
      </c>
      <c r="L1483" s="81" t="s">
        <v>187</v>
      </c>
    </row>
    <row r="1484" ht="15.75" customHeight="1">
      <c r="A1484" s="262"/>
      <c r="B1484" s="262"/>
      <c r="C1484" s="263"/>
      <c r="D1484" s="262"/>
      <c r="E1484" s="81" t="s">
        <v>187</v>
      </c>
      <c r="F1484" s="81" t="s">
        <v>187</v>
      </c>
      <c r="G1484" s="81" t="s">
        <v>187</v>
      </c>
      <c r="H1484" s="81" t="s">
        <v>187</v>
      </c>
      <c r="I1484" s="81" t="s">
        <v>187</v>
      </c>
      <c r="J1484" s="81" t="s">
        <v>187</v>
      </c>
      <c r="K1484" s="81" t="s">
        <v>187</v>
      </c>
      <c r="L1484" s="81" t="s">
        <v>187</v>
      </c>
    </row>
    <row r="1485" ht="15.75" customHeight="1">
      <c r="A1485" s="262"/>
      <c r="B1485" s="262"/>
      <c r="C1485" s="263"/>
      <c r="D1485" s="262"/>
      <c r="E1485" s="81" t="s">
        <v>187</v>
      </c>
      <c r="F1485" s="81" t="s">
        <v>187</v>
      </c>
      <c r="G1485" s="81" t="s">
        <v>187</v>
      </c>
      <c r="H1485" s="81" t="s">
        <v>187</v>
      </c>
      <c r="I1485" s="81" t="s">
        <v>187</v>
      </c>
      <c r="J1485" s="81" t="s">
        <v>187</v>
      </c>
      <c r="K1485" s="81" t="s">
        <v>187</v>
      </c>
      <c r="L1485" s="81" t="s">
        <v>187</v>
      </c>
    </row>
    <row r="1486" ht="15.75" customHeight="1">
      <c r="A1486" s="262"/>
      <c r="B1486" s="262"/>
      <c r="C1486" s="263"/>
      <c r="D1486" s="262"/>
      <c r="E1486" s="81" t="s">
        <v>187</v>
      </c>
      <c r="F1486" s="81" t="s">
        <v>187</v>
      </c>
      <c r="G1486" s="81" t="s">
        <v>187</v>
      </c>
      <c r="H1486" s="81" t="s">
        <v>187</v>
      </c>
      <c r="I1486" s="81" t="s">
        <v>187</v>
      </c>
      <c r="J1486" s="81" t="s">
        <v>187</v>
      </c>
      <c r="K1486" s="81" t="s">
        <v>187</v>
      </c>
      <c r="L1486" s="81" t="s">
        <v>187</v>
      </c>
    </row>
    <row r="1487" ht="15.75" customHeight="1">
      <c r="A1487" s="262"/>
      <c r="B1487" s="262"/>
      <c r="C1487" s="263"/>
      <c r="D1487" s="262"/>
      <c r="E1487" s="81" t="s">
        <v>187</v>
      </c>
      <c r="F1487" s="81" t="s">
        <v>187</v>
      </c>
      <c r="G1487" s="81" t="s">
        <v>187</v>
      </c>
      <c r="H1487" s="81" t="s">
        <v>187</v>
      </c>
      <c r="I1487" s="81" t="s">
        <v>187</v>
      </c>
      <c r="J1487" s="81" t="s">
        <v>187</v>
      </c>
      <c r="K1487" s="81" t="s">
        <v>187</v>
      </c>
      <c r="L1487" s="81" t="s">
        <v>187</v>
      </c>
    </row>
    <row r="1488" ht="15.75" customHeight="1">
      <c r="A1488" s="262"/>
      <c r="B1488" s="262"/>
      <c r="C1488" s="263"/>
      <c r="D1488" s="262"/>
      <c r="E1488" s="81" t="s">
        <v>187</v>
      </c>
      <c r="F1488" s="81" t="s">
        <v>187</v>
      </c>
      <c r="G1488" s="81" t="s">
        <v>187</v>
      </c>
      <c r="H1488" s="81" t="s">
        <v>187</v>
      </c>
      <c r="I1488" s="81" t="s">
        <v>187</v>
      </c>
      <c r="J1488" s="81" t="s">
        <v>187</v>
      </c>
      <c r="K1488" s="81" t="s">
        <v>187</v>
      </c>
      <c r="L1488" s="81" t="s">
        <v>187</v>
      </c>
    </row>
    <row r="1489" ht="15.75" customHeight="1">
      <c r="A1489" s="262"/>
      <c r="B1489" s="262"/>
      <c r="C1489" s="263"/>
      <c r="D1489" s="262"/>
      <c r="E1489" s="81" t="s">
        <v>187</v>
      </c>
      <c r="F1489" s="81" t="s">
        <v>187</v>
      </c>
      <c r="G1489" s="81" t="s">
        <v>187</v>
      </c>
      <c r="H1489" s="81" t="s">
        <v>187</v>
      </c>
      <c r="I1489" s="81" t="s">
        <v>187</v>
      </c>
      <c r="J1489" s="81" t="s">
        <v>187</v>
      </c>
      <c r="K1489" s="81" t="s">
        <v>187</v>
      </c>
      <c r="L1489" s="81" t="s">
        <v>187</v>
      </c>
    </row>
    <row r="1490" ht="15.75" customHeight="1">
      <c r="A1490" s="262"/>
      <c r="B1490" s="262"/>
      <c r="C1490" s="263"/>
      <c r="D1490" s="262"/>
      <c r="E1490" s="81" t="s">
        <v>187</v>
      </c>
      <c r="F1490" s="81" t="s">
        <v>187</v>
      </c>
      <c r="G1490" s="81" t="s">
        <v>187</v>
      </c>
      <c r="H1490" s="81" t="s">
        <v>187</v>
      </c>
      <c r="I1490" s="81" t="s">
        <v>187</v>
      </c>
      <c r="J1490" s="81" t="s">
        <v>187</v>
      </c>
      <c r="K1490" s="81" t="s">
        <v>187</v>
      </c>
      <c r="L1490" s="81" t="s">
        <v>187</v>
      </c>
    </row>
    <row r="1491" ht="15.75" customHeight="1">
      <c r="A1491" s="262"/>
      <c r="B1491" s="262"/>
      <c r="C1491" s="263"/>
      <c r="D1491" s="262"/>
      <c r="E1491" s="81" t="s">
        <v>187</v>
      </c>
      <c r="F1491" s="81" t="s">
        <v>187</v>
      </c>
      <c r="G1491" s="81" t="s">
        <v>187</v>
      </c>
      <c r="H1491" s="81" t="s">
        <v>187</v>
      </c>
      <c r="I1491" s="81" t="s">
        <v>187</v>
      </c>
      <c r="J1491" s="81" t="s">
        <v>187</v>
      </c>
      <c r="K1491" s="81" t="s">
        <v>187</v>
      </c>
      <c r="L1491" s="81" t="s">
        <v>187</v>
      </c>
    </row>
    <row r="1492" ht="15.75" customHeight="1">
      <c r="A1492" s="262"/>
      <c r="B1492" s="262"/>
      <c r="C1492" s="263"/>
      <c r="D1492" s="262"/>
      <c r="E1492" s="81" t="s">
        <v>187</v>
      </c>
      <c r="F1492" s="81" t="s">
        <v>187</v>
      </c>
      <c r="G1492" s="81" t="s">
        <v>187</v>
      </c>
      <c r="H1492" s="81" t="s">
        <v>187</v>
      </c>
      <c r="I1492" s="81" t="s">
        <v>187</v>
      </c>
      <c r="J1492" s="81" t="s">
        <v>187</v>
      </c>
      <c r="K1492" s="81" t="s">
        <v>187</v>
      </c>
      <c r="L1492" s="81" t="s">
        <v>187</v>
      </c>
    </row>
    <row r="1493" ht="15.75" customHeight="1">
      <c r="A1493" s="262"/>
      <c r="B1493" s="262"/>
      <c r="C1493" s="263"/>
      <c r="D1493" s="262"/>
      <c r="E1493" s="81" t="s">
        <v>187</v>
      </c>
      <c r="F1493" s="81" t="s">
        <v>187</v>
      </c>
      <c r="G1493" s="81" t="s">
        <v>187</v>
      </c>
      <c r="H1493" s="81" t="s">
        <v>187</v>
      </c>
      <c r="I1493" s="81" t="s">
        <v>187</v>
      </c>
      <c r="J1493" s="81" t="s">
        <v>187</v>
      </c>
      <c r="K1493" s="81" t="s">
        <v>187</v>
      </c>
      <c r="L1493" s="81" t="s">
        <v>187</v>
      </c>
    </row>
    <row r="1494" ht="15.75" customHeight="1">
      <c r="A1494" s="262"/>
      <c r="B1494" s="262"/>
      <c r="C1494" s="263"/>
      <c r="D1494" s="262"/>
      <c r="E1494" s="81" t="s">
        <v>187</v>
      </c>
      <c r="F1494" s="81" t="s">
        <v>187</v>
      </c>
      <c r="G1494" s="81" t="s">
        <v>187</v>
      </c>
      <c r="H1494" s="81" t="s">
        <v>187</v>
      </c>
      <c r="I1494" s="81" t="s">
        <v>187</v>
      </c>
      <c r="J1494" s="81" t="s">
        <v>187</v>
      </c>
      <c r="K1494" s="81" t="s">
        <v>187</v>
      </c>
      <c r="L1494" s="81" t="s">
        <v>187</v>
      </c>
    </row>
    <row r="1495" ht="15.75" customHeight="1">
      <c r="A1495" s="262"/>
      <c r="B1495" s="262"/>
      <c r="C1495" s="263"/>
      <c r="D1495" s="262"/>
      <c r="E1495" s="81" t="s">
        <v>187</v>
      </c>
      <c r="F1495" s="81" t="s">
        <v>187</v>
      </c>
      <c r="G1495" s="81" t="s">
        <v>187</v>
      </c>
      <c r="H1495" s="81" t="s">
        <v>187</v>
      </c>
      <c r="I1495" s="81" t="s">
        <v>187</v>
      </c>
      <c r="J1495" s="81" t="s">
        <v>187</v>
      </c>
      <c r="K1495" s="81" t="s">
        <v>187</v>
      </c>
      <c r="L1495" s="81" t="s">
        <v>187</v>
      </c>
    </row>
    <row r="1496" ht="15.75" customHeight="1">
      <c r="A1496" s="262"/>
      <c r="B1496" s="262"/>
      <c r="C1496" s="263"/>
      <c r="D1496" s="262"/>
      <c r="E1496" s="81" t="s">
        <v>187</v>
      </c>
      <c r="F1496" s="81" t="s">
        <v>187</v>
      </c>
      <c r="G1496" s="81" t="s">
        <v>187</v>
      </c>
      <c r="H1496" s="81" t="s">
        <v>187</v>
      </c>
      <c r="I1496" s="81" t="s">
        <v>187</v>
      </c>
      <c r="J1496" s="81" t="s">
        <v>187</v>
      </c>
      <c r="K1496" s="81" t="s">
        <v>187</v>
      </c>
      <c r="L1496" s="81" t="s">
        <v>187</v>
      </c>
    </row>
    <row r="1497" ht="15.75" customHeight="1">
      <c r="A1497" s="262"/>
      <c r="B1497" s="262"/>
      <c r="C1497" s="263"/>
      <c r="D1497" s="262"/>
      <c r="E1497" s="81" t="s">
        <v>187</v>
      </c>
      <c r="F1497" s="81" t="s">
        <v>187</v>
      </c>
      <c r="G1497" s="81" t="s">
        <v>187</v>
      </c>
      <c r="H1497" s="81" t="s">
        <v>187</v>
      </c>
      <c r="I1497" s="81" t="s">
        <v>187</v>
      </c>
      <c r="J1497" s="81" t="s">
        <v>187</v>
      </c>
      <c r="K1497" s="81" t="s">
        <v>187</v>
      </c>
      <c r="L1497" s="81" t="s">
        <v>187</v>
      </c>
    </row>
    <row r="1498" ht="15.75" customHeight="1">
      <c r="A1498" s="262"/>
      <c r="B1498" s="262"/>
      <c r="C1498" s="263"/>
      <c r="D1498" s="262"/>
      <c r="E1498" s="81" t="s">
        <v>187</v>
      </c>
      <c r="F1498" s="81" t="s">
        <v>187</v>
      </c>
      <c r="G1498" s="81" t="s">
        <v>187</v>
      </c>
      <c r="H1498" s="81" t="s">
        <v>187</v>
      </c>
      <c r="I1498" s="81" t="s">
        <v>187</v>
      </c>
      <c r="J1498" s="81" t="s">
        <v>187</v>
      </c>
      <c r="K1498" s="81" t="s">
        <v>187</v>
      </c>
      <c r="L1498" s="81" t="s">
        <v>187</v>
      </c>
    </row>
    <row r="1499" ht="15.75" customHeight="1">
      <c r="A1499" s="262"/>
      <c r="B1499" s="262"/>
      <c r="C1499" s="263"/>
      <c r="D1499" s="262"/>
      <c r="E1499" s="81" t="s">
        <v>187</v>
      </c>
      <c r="F1499" s="81" t="s">
        <v>187</v>
      </c>
      <c r="G1499" s="81" t="s">
        <v>187</v>
      </c>
      <c r="H1499" s="81" t="s">
        <v>187</v>
      </c>
      <c r="I1499" s="81" t="s">
        <v>187</v>
      </c>
      <c r="J1499" s="81" t="s">
        <v>187</v>
      </c>
      <c r="K1499" s="81" t="s">
        <v>187</v>
      </c>
      <c r="L1499" s="81" t="s">
        <v>187</v>
      </c>
    </row>
    <row r="1500" ht="15.75" customHeight="1">
      <c r="A1500" s="262"/>
      <c r="B1500" s="262"/>
      <c r="C1500" s="263"/>
      <c r="D1500" s="262"/>
      <c r="E1500" s="81" t="s">
        <v>187</v>
      </c>
      <c r="F1500" s="81" t="s">
        <v>187</v>
      </c>
      <c r="G1500" s="81" t="s">
        <v>187</v>
      </c>
      <c r="H1500" s="81" t="s">
        <v>187</v>
      </c>
      <c r="I1500" s="81" t="s">
        <v>187</v>
      </c>
      <c r="J1500" s="81" t="s">
        <v>187</v>
      </c>
      <c r="K1500" s="81" t="s">
        <v>187</v>
      </c>
      <c r="L1500" s="81" t="s">
        <v>187</v>
      </c>
    </row>
    <row r="1501" ht="15.75" customHeight="1">
      <c r="A1501" s="262"/>
      <c r="B1501" s="262"/>
      <c r="C1501" s="263"/>
      <c r="D1501" s="262"/>
      <c r="E1501" s="81" t="s">
        <v>187</v>
      </c>
      <c r="F1501" s="81" t="s">
        <v>187</v>
      </c>
      <c r="G1501" s="81" t="s">
        <v>187</v>
      </c>
      <c r="H1501" s="81" t="s">
        <v>187</v>
      </c>
      <c r="I1501" s="81" t="s">
        <v>187</v>
      </c>
      <c r="J1501" s="81" t="s">
        <v>187</v>
      </c>
      <c r="K1501" s="81" t="s">
        <v>187</v>
      </c>
      <c r="L1501" s="81" t="s">
        <v>187</v>
      </c>
    </row>
    <row r="1502" ht="15.75" customHeight="1">
      <c r="A1502" s="262"/>
      <c r="B1502" s="262"/>
      <c r="C1502" s="263"/>
      <c r="D1502" s="262"/>
      <c r="E1502" s="81" t="s">
        <v>187</v>
      </c>
      <c r="F1502" s="81" t="s">
        <v>187</v>
      </c>
      <c r="G1502" s="81" t="s">
        <v>187</v>
      </c>
      <c r="H1502" s="81" t="s">
        <v>187</v>
      </c>
      <c r="I1502" s="81" t="s">
        <v>187</v>
      </c>
      <c r="J1502" s="81" t="s">
        <v>187</v>
      </c>
      <c r="K1502" s="81" t="s">
        <v>187</v>
      </c>
      <c r="L1502" s="81" t="s">
        <v>187</v>
      </c>
    </row>
    <row r="1503" ht="15.75" customHeight="1">
      <c r="A1503" s="262"/>
      <c r="B1503" s="262"/>
      <c r="C1503" s="263"/>
      <c r="D1503" s="262"/>
      <c r="E1503" s="81" t="s">
        <v>187</v>
      </c>
      <c r="F1503" s="81" t="s">
        <v>187</v>
      </c>
      <c r="G1503" s="81" t="s">
        <v>187</v>
      </c>
      <c r="H1503" s="81" t="s">
        <v>187</v>
      </c>
      <c r="I1503" s="81" t="s">
        <v>187</v>
      </c>
      <c r="J1503" s="81" t="s">
        <v>187</v>
      </c>
      <c r="K1503" s="81" t="s">
        <v>187</v>
      </c>
      <c r="L1503" s="81" t="s">
        <v>187</v>
      </c>
    </row>
    <row r="1504" ht="15.75" customHeight="1">
      <c r="A1504" s="262"/>
      <c r="B1504" s="262"/>
      <c r="C1504" s="263"/>
      <c r="D1504" s="262"/>
      <c r="E1504" s="81" t="s">
        <v>187</v>
      </c>
      <c r="F1504" s="81" t="s">
        <v>187</v>
      </c>
      <c r="G1504" s="81" t="s">
        <v>187</v>
      </c>
      <c r="H1504" s="81" t="s">
        <v>187</v>
      </c>
      <c r="I1504" s="81" t="s">
        <v>187</v>
      </c>
      <c r="J1504" s="81" t="s">
        <v>187</v>
      </c>
      <c r="K1504" s="81" t="s">
        <v>187</v>
      </c>
      <c r="L1504" s="81" t="s">
        <v>187</v>
      </c>
    </row>
    <row r="1505" ht="15.75" customHeight="1">
      <c r="A1505" s="262"/>
      <c r="B1505" s="262"/>
      <c r="C1505" s="263"/>
      <c r="D1505" s="262"/>
      <c r="E1505" s="81" t="s">
        <v>187</v>
      </c>
      <c r="F1505" s="81" t="s">
        <v>187</v>
      </c>
      <c r="G1505" s="81" t="s">
        <v>187</v>
      </c>
      <c r="H1505" s="81" t="s">
        <v>187</v>
      </c>
      <c r="I1505" s="81" t="s">
        <v>187</v>
      </c>
      <c r="J1505" s="81" t="s">
        <v>187</v>
      </c>
      <c r="K1505" s="81" t="s">
        <v>187</v>
      </c>
      <c r="L1505" s="81" t="s">
        <v>187</v>
      </c>
    </row>
    <row r="1506" ht="15.75" customHeight="1">
      <c r="A1506" s="262"/>
      <c r="B1506" s="262"/>
      <c r="C1506" s="263"/>
      <c r="D1506" s="262"/>
      <c r="E1506" s="81" t="s">
        <v>187</v>
      </c>
      <c r="F1506" s="81" t="s">
        <v>187</v>
      </c>
      <c r="G1506" s="81" t="s">
        <v>187</v>
      </c>
      <c r="H1506" s="81" t="s">
        <v>187</v>
      </c>
      <c r="I1506" s="81" t="s">
        <v>187</v>
      </c>
      <c r="J1506" s="81" t="s">
        <v>187</v>
      </c>
      <c r="K1506" s="81" t="s">
        <v>187</v>
      </c>
      <c r="L1506" s="81" t="s">
        <v>187</v>
      </c>
    </row>
    <row r="1507" ht="15.75" customHeight="1">
      <c r="A1507" s="262"/>
      <c r="B1507" s="262"/>
      <c r="C1507" s="263"/>
      <c r="D1507" s="262"/>
      <c r="E1507" s="81" t="s">
        <v>187</v>
      </c>
      <c r="F1507" s="81" t="s">
        <v>187</v>
      </c>
      <c r="G1507" s="81" t="s">
        <v>187</v>
      </c>
      <c r="H1507" s="81" t="s">
        <v>187</v>
      </c>
      <c r="I1507" s="81" t="s">
        <v>187</v>
      </c>
      <c r="J1507" s="81" t="s">
        <v>187</v>
      </c>
      <c r="K1507" s="81" t="s">
        <v>187</v>
      </c>
      <c r="L1507" s="81" t="s">
        <v>187</v>
      </c>
    </row>
    <row r="1508" ht="15.75" customHeight="1">
      <c r="A1508" s="262"/>
      <c r="B1508" s="262"/>
      <c r="C1508" s="263"/>
      <c r="D1508" s="262"/>
      <c r="E1508" s="81" t="s">
        <v>187</v>
      </c>
      <c r="F1508" s="81" t="s">
        <v>187</v>
      </c>
      <c r="G1508" s="81" t="s">
        <v>187</v>
      </c>
      <c r="H1508" s="81" t="s">
        <v>187</v>
      </c>
      <c r="I1508" s="81" t="s">
        <v>187</v>
      </c>
      <c r="J1508" s="81" t="s">
        <v>187</v>
      </c>
      <c r="K1508" s="81" t="s">
        <v>187</v>
      </c>
      <c r="L1508" s="81" t="s">
        <v>187</v>
      </c>
    </row>
    <row r="1509" ht="15.75" customHeight="1">
      <c r="A1509" s="262"/>
      <c r="B1509" s="262"/>
      <c r="C1509" s="263"/>
      <c r="D1509" s="262"/>
      <c r="E1509" s="81" t="s">
        <v>187</v>
      </c>
      <c r="F1509" s="81" t="s">
        <v>187</v>
      </c>
      <c r="G1509" s="81" t="s">
        <v>187</v>
      </c>
      <c r="H1509" s="81" t="s">
        <v>187</v>
      </c>
      <c r="I1509" s="81" t="s">
        <v>187</v>
      </c>
      <c r="J1509" s="81" t="s">
        <v>187</v>
      </c>
      <c r="K1509" s="81" t="s">
        <v>187</v>
      </c>
      <c r="L1509" s="81" t="s">
        <v>187</v>
      </c>
    </row>
    <row r="1510" ht="15.75" customHeight="1">
      <c r="A1510" s="262"/>
      <c r="B1510" s="262"/>
      <c r="C1510" s="263"/>
      <c r="D1510" s="262"/>
      <c r="E1510" s="81" t="s">
        <v>187</v>
      </c>
      <c r="F1510" s="81" t="s">
        <v>187</v>
      </c>
      <c r="G1510" s="81" t="s">
        <v>187</v>
      </c>
      <c r="H1510" s="81" t="s">
        <v>187</v>
      </c>
      <c r="I1510" s="81" t="s">
        <v>187</v>
      </c>
      <c r="J1510" s="81" t="s">
        <v>187</v>
      </c>
      <c r="K1510" s="81" t="s">
        <v>187</v>
      </c>
      <c r="L1510" s="81" t="s">
        <v>187</v>
      </c>
    </row>
    <row r="1511" ht="15.75" customHeight="1">
      <c r="A1511" s="262"/>
      <c r="B1511" s="262"/>
      <c r="C1511" s="263"/>
      <c r="D1511" s="262"/>
      <c r="E1511" s="81" t="s">
        <v>187</v>
      </c>
      <c r="F1511" s="81" t="s">
        <v>187</v>
      </c>
      <c r="G1511" s="81" t="s">
        <v>187</v>
      </c>
      <c r="H1511" s="81" t="s">
        <v>187</v>
      </c>
      <c r="I1511" s="81" t="s">
        <v>187</v>
      </c>
      <c r="J1511" s="81" t="s">
        <v>187</v>
      </c>
      <c r="K1511" s="81" t="s">
        <v>187</v>
      </c>
      <c r="L1511" s="81" t="s">
        <v>187</v>
      </c>
    </row>
    <row r="1512" ht="15.75" customHeight="1">
      <c r="A1512" s="262"/>
      <c r="B1512" s="262"/>
      <c r="C1512" s="263"/>
      <c r="D1512" s="262"/>
      <c r="E1512" s="81" t="s">
        <v>187</v>
      </c>
      <c r="F1512" s="81" t="s">
        <v>187</v>
      </c>
      <c r="G1512" s="81" t="s">
        <v>187</v>
      </c>
      <c r="H1512" s="81" t="s">
        <v>187</v>
      </c>
      <c r="I1512" s="81" t="s">
        <v>187</v>
      </c>
      <c r="J1512" s="81" t="s">
        <v>187</v>
      </c>
      <c r="K1512" s="81" t="s">
        <v>187</v>
      </c>
      <c r="L1512" s="81" t="s">
        <v>187</v>
      </c>
    </row>
    <row r="1513" ht="15.75" customHeight="1">
      <c r="A1513" s="262"/>
      <c r="B1513" s="262"/>
      <c r="C1513" s="263"/>
      <c r="D1513" s="262"/>
      <c r="E1513" s="81" t="s">
        <v>187</v>
      </c>
      <c r="F1513" s="81" t="s">
        <v>187</v>
      </c>
      <c r="G1513" s="81" t="s">
        <v>187</v>
      </c>
      <c r="H1513" s="81" t="s">
        <v>187</v>
      </c>
      <c r="I1513" s="81" t="s">
        <v>187</v>
      </c>
      <c r="J1513" s="81" t="s">
        <v>187</v>
      </c>
      <c r="K1513" s="81" t="s">
        <v>187</v>
      </c>
      <c r="L1513" s="81" t="s">
        <v>187</v>
      </c>
    </row>
    <row r="1514" ht="15.75" customHeight="1">
      <c r="A1514" s="262"/>
      <c r="B1514" s="262"/>
      <c r="C1514" s="263"/>
      <c r="D1514" s="262"/>
      <c r="E1514" s="81" t="s">
        <v>187</v>
      </c>
      <c r="F1514" s="81" t="s">
        <v>187</v>
      </c>
      <c r="G1514" s="81" t="s">
        <v>187</v>
      </c>
      <c r="H1514" s="81" t="s">
        <v>187</v>
      </c>
      <c r="I1514" s="81" t="s">
        <v>187</v>
      </c>
      <c r="J1514" s="81" t="s">
        <v>187</v>
      </c>
      <c r="K1514" s="81" t="s">
        <v>187</v>
      </c>
      <c r="L1514" s="81" t="s">
        <v>187</v>
      </c>
    </row>
    <row r="1515" ht="15.75" customHeight="1">
      <c r="A1515" s="262"/>
      <c r="B1515" s="262"/>
      <c r="C1515" s="263"/>
      <c r="D1515" s="262"/>
      <c r="E1515" s="81" t="s">
        <v>187</v>
      </c>
      <c r="F1515" s="81" t="s">
        <v>187</v>
      </c>
      <c r="G1515" s="81" t="s">
        <v>187</v>
      </c>
      <c r="H1515" s="81" t="s">
        <v>187</v>
      </c>
      <c r="I1515" s="81" t="s">
        <v>187</v>
      </c>
      <c r="J1515" s="81" t="s">
        <v>187</v>
      </c>
      <c r="K1515" s="81" t="s">
        <v>187</v>
      </c>
      <c r="L1515" s="81" t="s">
        <v>187</v>
      </c>
    </row>
    <row r="1516" ht="15.75" customHeight="1">
      <c r="A1516" s="262"/>
      <c r="B1516" s="262"/>
      <c r="C1516" s="263"/>
      <c r="D1516" s="262"/>
      <c r="E1516" s="81" t="s">
        <v>187</v>
      </c>
      <c r="F1516" s="81" t="s">
        <v>187</v>
      </c>
      <c r="G1516" s="81" t="s">
        <v>187</v>
      </c>
      <c r="H1516" s="81" t="s">
        <v>187</v>
      </c>
      <c r="I1516" s="81" t="s">
        <v>187</v>
      </c>
      <c r="J1516" s="81" t="s">
        <v>187</v>
      </c>
      <c r="K1516" s="81" t="s">
        <v>187</v>
      </c>
      <c r="L1516" s="81" t="s">
        <v>187</v>
      </c>
    </row>
    <row r="1517" ht="15.75" customHeight="1">
      <c r="A1517" s="262"/>
      <c r="B1517" s="262"/>
      <c r="C1517" s="263"/>
      <c r="D1517" s="262"/>
      <c r="E1517" s="81" t="s">
        <v>187</v>
      </c>
      <c r="F1517" s="81" t="s">
        <v>187</v>
      </c>
      <c r="G1517" s="81" t="s">
        <v>187</v>
      </c>
      <c r="H1517" s="81" t="s">
        <v>187</v>
      </c>
      <c r="I1517" s="81" t="s">
        <v>187</v>
      </c>
      <c r="J1517" s="81" t="s">
        <v>187</v>
      </c>
      <c r="K1517" s="81" t="s">
        <v>187</v>
      </c>
      <c r="L1517" s="81" t="s">
        <v>187</v>
      </c>
    </row>
    <row r="1518" ht="15.75" customHeight="1">
      <c r="A1518" s="262"/>
      <c r="B1518" s="262"/>
      <c r="C1518" s="263"/>
      <c r="D1518" s="262"/>
      <c r="E1518" s="81" t="s">
        <v>187</v>
      </c>
      <c r="F1518" s="81" t="s">
        <v>187</v>
      </c>
      <c r="G1518" s="81" t="s">
        <v>187</v>
      </c>
      <c r="H1518" s="81" t="s">
        <v>187</v>
      </c>
      <c r="I1518" s="81" t="s">
        <v>187</v>
      </c>
      <c r="J1518" s="81" t="s">
        <v>187</v>
      </c>
      <c r="K1518" s="81" t="s">
        <v>187</v>
      </c>
      <c r="L1518" s="81" t="s">
        <v>187</v>
      </c>
    </row>
    <row r="1519" ht="15.75" customHeight="1">
      <c r="A1519" s="262"/>
      <c r="B1519" s="262"/>
      <c r="C1519" s="263"/>
      <c r="D1519" s="262"/>
      <c r="E1519" s="81" t="s">
        <v>187</v>
      </c>
      <c r="F1519" s="81" t="s">
        <v>187</v>
      </c>
      <c r="G1519" s="81" t="s">
        <v>187</v>
      </c>
      <c r="H1519" s="81" t="s">
        <v>187</v>
      </c>
      <c r="I1519" s="81" t="s">
        <v>187</v>
      </c>
      <c r="J1519" s="81" t="s">
        <v>187</v>
      </c>
      <c r="K1519" s="81" t="s">
        <v>187</v>
      </c>
      <c r="L1519" s="81" t="s">
        <v>187</v>
      </c>
    </row>
    <row r="1520" ht="15.75" customHeight="1">
      <c r="A1520" s="262"/>
      <c r="B1520" s="262"/>
      <c r="C1520" s="263"/>
      <c r="D1520" s="262"/>
      <c r="E1520" s="81" t="s">
        <v>187</v>
      </c>
      <c r="F1520" s="81" t="s">
        <v>187</v>
      </c>
      <c r="G1520" s="81" t="s">
        <v>187</v>
      </c>
      <c r="H1520" s="81" t="s">
        <v>187</v>
      </c>
      <c r="I1520" s="81" t="s">
        <v>187</v>
      </c>
      <c r="J1520" s="81" t="s">
        <v>187</v>
      </c>
      <c r="K1520" s="81" t="s">
        <v>187</v>
      </c>
      <c r="L1520" s="81" t="s">
        <v>187</v>
      </c>
    </row>
    <row r="1521" ht="15.75" customHeight="1">
      <c r="A1521" s="262"/>
      <c r="B1521" s="262"/>
      <c r="C1521" s="263"/>
      <c r="D1521" s="262"/>
      <c r="E1521" s="81" t="s">
        <v>187</v>
      </c>
      <c r="F1521" s="81" t="s">
        <v>187</v>
      </c>
      <c r="G1521" s="81" t="s">
        <v>187</v>
      </c>
      <c r="H1521" s="81" t="s">
        <v>187</v>
      </c>
      <c r="I1521" s="81" t="s">
        <v>187</v>
      </c>
      <c r="J1521" s="81" t="s">
        <v>187</v>
      </c>
      <c r="K1521" s="81" t="s">
        <v>187</v>
      </c>
      <c r="L1521" s="81" t="s">
        <v>187</v>
      </c>
    </row>
    <row r="1522" ht="15.75" customHeight="1">
      <c r="A1522" s="262"/>
      <c r="B1522" s="262"/>
      <c r="C1522" s="263"/>
      <c r="D1522" s="262"/>
      <c r="E1522" s="81" t="s">
        <v>187</v>
      </c>
      <c r="F1522" s="81" t="s">
        <v>187</v>
      </c>
      <c r="G1522" s="81" t="s">
        <v>187</v>
      </c>
      <c r="H1522" s="81" t="s">
        <v>187</v>
      </c>
      <c r="I1522" s="81" t="s">
        <v>187</v>
      </c>
      <c r="J1522" s="81" t="s">
        <v>187</v>
      </c>
      <c r="K1522" s="81" t="s">
        <v>187</v>
      </c>
      <c r="L1522" s="81" t="s">
        <v>187</v>
      </c>
    </row>
    <row r="1523" ht="15.75" customHeight="1">
      <c r="A1523" s="262"/>
      <c r="B1523" s="262"/>
      <c r="C1523" s="263"/>
      <c r="D1523" s="262"/>
      <c r="E1523" s="81" t="s">
        <v>187</v>
      </c>
      <c r="F1523" s="81" t="s">
        <v>187</v>
      </c>
      <c r="G1523" s="81" t="s">
        <v>187</v>
      </c>
      <c r="H1523" s="81" t="s">
        <v>187</v>
      </c>
      <c r="I1523" s="81" t="s">
        <v>187</v>
      </c>
      <c r="J1523" s="81" t="s">
        <v>187</v>
      </c>
      <c r="K1523" s="81" t="s">
        <v>187</v>
      </c>
      <c r="L1523" s="81" t="s">
        <v>187</v>
      </c>
    </row>
    <row r="1524" ht="15.75" customHeight="1">
      <c r="A1524" s="262"/>
      <c r="B1524" s="262"/>
      <c r="C1524" s="263"/>
      <c r="D1524" s="262"/>
      <c r="E1524" s="81" t="s">
        <v>187</v>
      </c>
      <c r="F1524" s="81" t="s">
        <v>187</v>
      </c>
      <c r="G1524" s="81" t="s">
        <v>187</v>
      </c>
      <c r="H1524" s="81" t="s">
        <v>187</v>
      </c>
      <c r="I1524" s="81" t="s">
        <v>187</v>
      </c>
      <c r="J1524" s="81" t="s">
        <v>187</v>
      </c>
      <c r="K1524" s="81" t="s">
        <v>187</v>
      </c>
      <c r="L1524" s="81" t="s">
        <v>187</v>
      </c>
    </row>
    <row r="1525" ht="15.75" customHeight="1">
      <c r="A1525" s="262"/>
      <c r="B1525" s="262"/>
      <c r="C1525" s="263"/>
      <c r="D1525" s="262"/>
      <c r="E1525" s="81" t="s">
        <v>187</v>
      </c>
      <c r="F1525" s="81" t="s">
        <v>187</v>
      </c>
      <c r="G1525" s="81" t="s">
        <v>187</v>
      </c>
      <c r="H1525" s="81" t="s">
        <v>187</v>
      </c>
      <c r="I1525" s="81" t="s">
        <v>187</v>
      </c>
      <c r="J1525" s="81" t="s">
        <v>187</v>
      </c>
      <c r="K1525" s="81" t="s">
        <v>187</v>
      </c>
      <c r="L1525" s="81" t="s">
        <v>187</v>
      </c>
    </row>
    <row r="1526" ht="15.75" customHeight="1">
      <c r="A1526" s="262"/>
      <c r="B1526" s="262"/>
      <c r="C1526" s="263"/>
      <c r="D1526" s="262"/>
      <c r="E1526" s="81" t="s">
        <v>187</v>
      </c>
      <c r="F1526" s="81" t="s">
        <v>187</v>
      </c>
      <c r="G1526" s="81" t="s">
        <v>187</v>
      </c>
      <c r="H1526" s="81" t="s">
        <v>187</v>
      </c>
      <c r="I1526" s="81" t="s">
        <v>187</v>
      </c>
      <c r="J1526" s="81" t="s">
        <v>187</v>
      </c>
      <c r="K1526" s="81" t="s">
        <v>187</v>
      </c>
      <c r="L1526" s="81" t="s">
        <v>187</v>
      </c>
    </row>
    <row r="1527" ht="15.75" customHeight="1">
      <c r="A1527" s="262"/>
      <c r="B1527" s="262"/>
      <c r="C1527" s="263"/>
      <c r="D1527" s="262"/>
      <c r="E1527" s="81" t="s">
        <v>187</v>
      </c>
      <c r="F1527" s="81" t="s">
        <v>187</v>
      </c>
      <c r="G1527" s="81" t="s">
        <v>187</v>
      </c>
      <c r="H1527" s="81" t="s">
        <v>187</v>
      </c>
      <c r="I1527" s="81" t="s">
        <v>187</v>
      </c>
      <c r="J1527" s="81" t="s">
        <v>187</v>
      </c>
      <c r="K1527" s="81" t="s">
        <v>187</v>
      </c>
      <c r="L1527" s="81" t="s">
        <v>187</v>
      </c>
    </row>
    <row r="1528" ht="15.75" customHeight="1">
      <c r="A1528" s="262"/>
      <c r="B1528" s="262"/>
      <c r="C1528" s="263"/>
      <c r="D1528" s="262"/>
      <c r="E1528" s="81" t="s">
        <v>187</v>
      </c>
      <c r="F1528" s="81" t="s">
        <v>187</v>
      </c>
      <c r="G1528" s="81" t="s">
        <v>187</v>
      </c>
      <c r="H1528" s="81" t="s">
        <v>187</v>
      </c>
      <c r="I1528" s="81" t="s">
        <v>187</v>
      </c>
      <c r="J1528" s="81" t="s">
        <v>187</v>
      </c>
      <c r="K1528" s="81" t="s">
        <v>187</v>
      </c>
      <c r="L1528" s="81" t="s">
        <v>187</v>
      </c>
    </row>
    <row r="1529" ht="15.75" customHeight="1">
      <c r="A1529" s="262"/>
      <c r="B1529" s="262"/>
      <c r="C1529" s="263"/>
      <c r="D1529" s="262"/>
      <c r="E1529" s="81" t="s">
        <v>187</v>
      </c>
      <c r="F1529" s="81" t="s">
        <v>187</v>
      </c>
      <c r="G1529" s="81" t="s">
        <v>187</v>
      </c>
      <c r="H1529" s="81" t="s">
        <v>187</v>
      </c>
      <c r="I1529" s="81" t="s">
        <v>187</v>
      </c>
      <c r="J1529" s="81" t="s">
        <v>187</v>
      </c>
      <c r="K1529" s="81" t="s">
        <v>187</v>
      </c>
      <c r="L1529" s="81" t="s">
        <v>187</v>
      </c>
    </row>
    <row r="1530" ht="15.75" customHeight="1">
      <c r="A1530" s="262"/>
      <c r="B1530" s="262"/>
      <c r="C1530" s="263"/>
      <c r="D1530" s="262"/>
      <c r="E1530" s="81" t="s">
        <v>187</v>
      </c>
      <c r="F1530" s="81" t="s">
        <v>187</v>
      </c>
      <c r="G1530" s="81" t="s">
        <v>187</v>
      </c>
      <c r="H1530" s="81" t="s">
        <v>187</v>
      </c>
      <c r="I1530" s="81" t="s">
        <v>187</v>
      </c>
      <c r="J1530" s="81" t="s">
        <v>187</v>
      </c>
      <c r="K1530" s="81" t="s">
        <v>187</v>
      </c>
      <c r="L1530" s="81" t="s">
        <v>187</v>
      </c>
    </row>
    <row r="1531" ht="15.75" customHeight="1">
      <c r="A1531" s="262"/>
      <c r="B1531" s="262"/>
      <c r="C1531" s="263"/>
      <c r="D1531" s="262"/>
      <c r="E1531" s="81" t="s">
        <v>187</v>
      </c>
      <c r="F1531" s="81" t="s">
        <v>187</v>
      </c>
      <c r="G1531" s="81" t="s">
        <v>187</v>
      </c>
      <c r="H1531" s="81" t="s">
        <v>187</v>
      </c>
      <c r="I1531" s="81" t="s">
        <v>187</v>
      </c>
      <c r="J1531" s="81" t="s">
        <v>187</v>
      </c>
      <c r="K1531" s="81" t="s">
        <v>187</v>
      </c>
      <c r="L1531" s="81" t="s">
        <v>187</v>
      </c>
    </row>
    <row r="1532" ht="15.75" customHeight="1">
      <c r="A1532" s="262"/>
      <c r="B1532" s="262"/>
      <c r="C1532" s="263"/>
      <c r="D1532" s="262"/>
      <c r="E1532" s="81" t="s">
        <v>187</v>
      </c>
      <c r="F1532" s="81" t="s">
        <v>187</v>
      </c>
      <c r="G1532" s="81" t="s">
        <v>187</v>
      </c>
      <c r="H1532" s="81" t="s">
        <v>187</v>
      </c>
      <c r="I1532" s="81" t="s">
        <v>187</v>
      </c>
      <c r="J1532" s="81" t="s">
        <v>187</v>
      </c>
      <c r="K1532" s="81" t="s">
        <v>187</v>
      </c>
      <c r="L1532" s="81" t="s">
        <v>187</v>
      </c>
    </row>
    <row r="1533" ht="15.75" customHeight="1">
      <c r="A1533" s="262"/>
      <c r="B1533" s="262"/>
      <c r="C1533" s="263"/>
      <c r="D1533" s="262"/>
      <c r="E1533" s="81" t="s">
        <v>187</v>
      </c>
      <c r="F1533" s="81" t="s">
        <v>187</v>
      </c>
      <c r="G1533" s="81" t="s">
        <v>187</v>
      </c>
      <c r="H1533" s="81" t="s">
        <v>187</v>
      </c>
      <c r="I1533" s="81" t="s">
        <v>187</v>
      </c>
      <c r="J1533" s="81" t="s">
        <v>187</v>
      </c>
      <c r="K1533" s="81" t="s">
        <v>187</v>
      </c>
      <c r="L1533" s="81" t="s">
        <v>187</v>
      </c>
    </row>
    <row r="1534" ht="15.75" customHeight="1">
      <c r="A1534" s="262"/>
      <c r="B1534" s="262"/>
      <c r="C1534" s="263"/>
      <c r="D1534" s="262"/>
      <c r="E1534" s="81" t="s">
        <v>187</v>
      </c>
      <c r="F1534" s="81" t="s">
        <v>187</v>
      </c>
      <c r="G1534" s="81" t="s">
        <v>187</v>
      </c>
      <c r="H1534" s="81" t="s">
        <v>187</v>
      </c>
      <c r="I1534" s="81" t="s">
        <v>187</v>
      </c>
      <c r="J1534" s="81" t="s">
        <v>187</v>
      </c>
      <c r="K1534" s="81" t="s">
        <v>187</v>
      </c>
      <c r="L1534" s="81" t="s">
        <v>187</v>
      </c>
    </row>
    <row r="1535" ht="15.75" customHeight="1">
      <c r="A1535" s="262"/>
      <c r="B1535" s="262"/>
      <c r="C1535" s="263"/>
      <c r="D1535" s="262"/>
      <c r="E1535" s="81" t="s">
        <v>187</v>
      </c>
      <c r="F1535" s="81" t="s">
        <v>187</v>
      </c>
      <c r="G1535" s="81" t="s">
        <v>187</v>
      </c>
      <c r="H1535" s="81" t="s">
        <v>187</v>
      </c>
      <c r="I1535" s="81" t="s">
        <v>187</v>
      </c>
      <c r="J1535" s="81" t="s">
        <v>187</v>
      </c>
      <c r="K1535" s="81" t="s">
        <v>187</v>
      </c>
      <c r="L1535" s="81" t="s">
        <v>187</v>
      </c>
    </row>
    <row r="1536" ht="15.75" customHeight="1">
      <c r="A1536" s="262"/>
      <c r="B1536" s="262"/>
      <c r="C1536" s="263"/>
      <c r="D1536" s="262"/>
      <c r="E1536" s="81" t="s">
        <v>187</v>
      </c>
      <c r="F1536" s="81" t="s">
        <v>187</v>
      </c>
      <c r="G1536" s="81" t="s">
        <v>187</v>
      </c>
      <c r="H1536" s="81" t="s">
        <v>187</v>
      </c>
      <c r="I1536" s="81" t="s">
        <v>187</v>
      </c>
      <c r="J1536" s="81" t="s">
        <v>187</v>
      </c>
      <c r="K1536" s="81" t="s">
        <v>187</v>
      </c>
      <c r="L1536" s="81" t="s">
        <v>187</v>
      </c>
    </row>
    <row r="1537" ht="15.75" customHeight="1">
      <c r="A1537" s="262"/>
      <c r="B1537" s="262"/>
      <c r="C1537" s="263"/>
      <c r="D1537" s="262"/>
      <c r="E1537" s="81" t="s">
        <v>187</v>
      </c>
      <c r="F1537" s="81" t="s">
        <v>187</v>
      </c>
      <c r="G1537" s="81" t="s">
        <v>187</v>
      </c>
      <c r="H1537" s="81" t="s">
        <v>187</v>
      </c>
      <c r="I1537" s="81" t="s">
        <v>187</v>
      </c>
      <c r="J1537" s="81" t="s">
        <v>187</v>
      </c>
      <c r="K1537" s="81" t="s">
        <v>187</v>
      </c>
      <c r="L1537" s="81" t="s">
        <v>187</v>
      </c>
    </row>
    <row r="1538" ht="15.75" customHeight="1">
      <c r="A1538" s="262"/>
      <c r="B1538" s="262"/>
      <c r="C1538" s="263"/>
      <c r="D1538" s="262"/>
      <c r="E1538" s="81" t="s">
        <v>187</v>
      </c>
      <c r="F1538" s="81" t="s">
        <v>187</v>
      </c>
      <c r="G1538" s="81" t="s">
        <v>187</v>
      </c>
      <c r="H1538" s="81" t="s">
        <v>187</v>
      </c>
      <c r="I1538" s="81" t="s">
        <v>187</v>
      </c>
      <c r="J1538" s="81" t="s">
        <v>187</v>
      </c>
      <c r="K1538" s="81" t="s">
        <v>187</v>
      </c>
      <c r="L1538" s="81" t="s">
        <v>187</v>
      </c>
    </row>
    <row r="1539" ht="15.75" customHeight="1">
      <c r="A1539" s="262"/>
      <c r="B1539" s="262"/>
      <c r="C1539" s="263"/>
      <c r="D1539" s="262"/>
      <c r="E1539" s="81" t="s">
        <v>187</v>
      </c>
      <c r="F1539" s="81" t="s">
        <v>187</v>
      </c>
      <c r="G1539" s="81" t="s">
        <v>187</v>
      </c>
      <c r="H1539" s="81" t="s">
        <v>187</v>
      </c>
      <c r="I1539" s="81" t="s">
        <v>187</v>
      </c>
      <c r="J1539" s="81" t="s">
        <v>187</v>
      </c>
      <c r="K1539" s="81" t="s">
        <v>187</v>
      </c>
      <c r="L1539" s="81" t="s">
        <v>187</v>
      </c>
    </row>
    <row r="1540" ht="15.75" customHeight="1">
      <c r="A1540" s="262"/>
      <c r="B1540" s="262"/>
      <c r="C1540" s="263"/>
      <c r="D1540" s="262"/>
      <c r="E1540" s="81" t="s">
        <v>187</v>
      </c>
      <c r="F1540" s="81" t="s">
        <v>187</v>
      </c>
      <c r="G1540" s="81" t="s">
        <v>187</v>
      </c>
      <c r="H1540" s="81" t="s">
        <v>187</v>
      </c>
      <c r="I1540" s="81" t="s">
        <v>187</v>
      </c>
      <c r="J1540" s="81" t="s">
        <v>187</v>
      </c>
      <c r="K1540" s="81" t="s">
        <v>187</v>
      </c>
      <c r="L1540" s="81" t="s">
        <v>187</v>
      </c>
    </row>
    <row r="1541" ht="15.75" customHeight="1">
      <c r="A1541" s="262"/>
      <c r="B1541" s="262"/>
      <c r="C1541" s="263"/>
      <c r="D1541" s="262"/>
      <c r="E1541" s="81" t="s">
        <v>187</v>
      </c>
      <c r="F1541" s="81" t="s">
        <v>187</v>
      </c>
      <c r="G1541" s="81" t="s">
        <v>187</v>
      </c>
      <c r="H1541" s="81" t="s">
        <v>187</v>
      </c>
      <c r="I1541" s="81" t="s">
        <v>187</v>
      </c>
      <c r="J1541" s="81" t="s">
        <v>187</v>
      </c>
      <c r="K1541" s="81" t="s">
        <v>187</v>
      </c>
      <c r="L1541" s="81" t="s">
        <v>187</v>
      </c>
    </row>
    <row r="1542" ht="15.75" customHeight="1">
      <c r="A1542" s="262"/>
      <c r="B1542" s="262"/>
      <c r="C1542" s="263"/>
      <c r="D1542" s="262"/>
      <c r="E1542" s="81" t="s">
        <v>187</v>
      </c>
      <c r="F1542" s="81" t="s">
        <v>187</v>
      </c>
      <c r="G1542" s="81" t="s">
        <v>187</v>
      </c>
      <c r="H1542" s="81" t="s">
        <v>187</v>
      </c>
      <c r="I1542" s="81" t="s">
        <v>187</v>
      </c>
      <c r="J1542" s="81" t="s">
        <v>187</v>
      </c>
      <c r="K1542" s="81" t="s">
        <v>187</v>
      </c>
      <c r="L1542" s="81" t="s">
        <v>187</v>
      </c>
    </row>
    <row r="1543" ht="15.75" customHeight="1">
      <c r="A1543" s="262"/>
      <c r="B1543" s="262"/>
      <c r="C1543" s="263"/>
      <c r="D1543" s="262"/>
      <c r="E1543" s="81" t="s">
        <v>187</v>
      </c>
      <c r="F1543" s="81" t="s">
        <v>187</v>
      </c>
      <c r="G1543" s="81" t="s">
        <v>187</v>
      </c>
      <c r="H1543" s="81" t="s">
        <v>187</v>
      </c>
      <c r="I1543" s="81" t="s">
        <v>187</v>
      </c>
      <c r="J1543" s="81" t="s">
        <v>187</v>
      </c>
      <c r="K1543" s="81" t="s">
        <v>187</v>
      </c>
      <c r="L1543" s="81" t="s">
        <v>187</v>
      </c>
    </row>
    <row r="1544" ht="15.75" customHeight="1">
      <c r="A1544" s="262"/>
      <c r="B1544" s="262"/>
      <c r="C1544" s="263"/>
      <c r="D1544" s="262"/>
      <c r="E1544" s="81" t="s">
        <v>187</v>
      </c>
      <c r="F1544" s="81" t="s">
        <v>187</v>
      </c>
      <c r="G1544" s="81" t="s">
        <v>187</v>
      </c>
      <c r="H1544" s="81" t="s">
        <v>187</v>
      </c>
      <c r="I1544" s="81" t="s">
        <v>187</v>
      </c>
      <c r="J1544" s="81" t="s">
        <v>187</v>
      </c>
      <c r="K1544" s="81" t="s">
        <v>187</v>
      </c>
      <c r="L1544" s="81" t="s">
        <v>187</v>
      </c>
    </row>
    <row r="1545" ht="15.75" customHeight="1">
      <c r="A1545" s="262"/>
      <c r="B1545" s="262"/>
      <c r="C1545" s="263"/>
      <c r="D1545" s="262"/>
      <c r="E1545" s="81" t="s">
        <v>187</v>
      </c>
      <c r="F1545" s="81" t="s">
        <v>187</v>
      </c>
      <c r="G1545" s="81" t="s">
        <v>187</v>
      </c>
      <c r="H1545" s="81" t="s">
        <v>187</v>
      </c>
      <c r="I1545" s="81" t="s">
        <v>187</v>
      </c>
      <c r="J1545" s="81" t="s">
        <v>187</v>
      </c>
      <c r="K1545" s="81" t="s">
        <v>187</v>
      </c>
      <c r="L1545" s="81" t="s">
        <v>187</v>
      </c>
    </row>
    <row r="1546" ht="15.75" customHeight="1">
      <c r="A1546" s="262"/>
      <c r="B1546" s="262"/>
      <c r="C1546" s="263"/>
      <c r="D1546" s="262"/>
      <c r="E1546" s="81" t="s">
        <v>187</v>
      </c>
      <c r="F1546" s="81" t="s">
        <v>187</v>
      </c>
      <c r="G1546" s="81" t="s">
        <v>187</v>
      </c>
      <c r="H1546" s="81" t="s">
        <v>187</v>
      </c>
      <c r="I1546" s="81" t="s">
        <v>187</v>
      </c>
      <c r="J1546" s="81" t="s">
        <v>187</v>
      </c>
      <c r="K1546" s="81" t="s">
        <v>187</v>
      </c>
      <c r="L1546" s="81" t="s">
        <v>187</v>
      </c>
    </row>
    <row r="1547" ht="15.75" customHeight="1">
      <c r="A1547" s="262"/>
      <c r="B1547" s="262"/>
      <c r="C1547" s="263"/>
      <c r="D1547" s="262"/>
      <c r="E1547" s="81" t="s">
        <v>187</v>
      </c>
      <c r="F1547" s="81" t="s">
        <v>187</v>
      </c>
      <c r="G1547" s="81" t="s">
        <v>187</v>
      </c>
      <c r="H1547" s="81" t="s">
        <v>187</v>
      </c>
      <c r="I1547" s="81" t="s">
        <v>187</v>
      </c>
      <c r="J1547" s="81" t="s">
        <v>187</v>
      </c>
      <c r="K1547" s="81" t="s">
        <v>187</v>
      </c>
      <c r="L1547" s="81" t="s">
        <v>187</v>
      </c>
    </row>
    <row r="1548" ht="15.75" customHeight="1">
      <c r="A1548" s="262"/>
      <c r="B1548" s="262"/>
      <c r="C1548" s="263"/>
      <c r="D1548" s="262"/>
      <c r="E1548" s="81" t="s">
        <v>187</v>
      </c>
      <c r="F1548" s="81" t="s">
        <v>187</v>
      </c>
      <c r="G1548" s="81" t="s">
        <v>187</v>
      </c>
      <c r="H1548" s="81" t="s">
        <v>187</v>
      </c>
      <c r="I1548" s="81" t="s">
        <v>187</v>
      </c>
      <c r="J1548" s="81" t="s">
        <v>187</v>
      </c>
      <c r="K1548" s="81" t="s">
        <v>187</v>
      </c>
      <c r="L1548" s="81" t="s">
        <v>187</v>
      </c>
    </row>
    <row r="1549" ht="15.75" customHeight="1">
      <c r="A1549" s="262"/>
      <c r="B1549" s="262"/>
      <c r="C1549" s="263"/>
      <c r="D1549" s="262"/>
      <c r="E1549" s="81" t="s">
        <v>187</v>
      </c>
      <c r="F1549" s="81" t="s">
        <v>187</v>
      </c>
      <c r="G1549" s="81" t="s">
        <v>187</v>
      </c>
      <c r="H1549" s="81" t="s">
        <v>187</v>
      </c>
      <c r="I1549" s="81" t="s">
        <v>187</v>
      </c>
      <c r="J1549" s="81" t="s">
        <v>187</v>
      </c>
      <c r="K1549" s="81" t="s">
        <v>187</v>
      </c>
      <c r="L1549" s="81" t="s">
        <v>187</v>
      </c>
    </row>
    <row r="1550" ht="15.75" customHeight="1">
      <c r="A1550" s="262"/>
      <c r="B1550" s="262"/>
      <c r="C1550" s="263"/>
      <c r="D1550" s="262"/>
      <c r="E1550" s="81" t="s">
        <v>187</v>
      </c>
      <c r="F1550" s="81" t="s">
        <v>187</v>
      </c>
      <c r="G1550" s="81" t="s">
        <v>187</v>
      </c>
      <c r="H1550" s="81" t="s">
        <v>187</v>
      </c>
      <c r="I1550" s="81" t="s">
        <v>187</v>
      </c>
      <c r="J1550" s="81" t="s">
        <v>187</v>
      </c>
      <c r="K1550" s="81" t="s">
        <v>187</v>
      </c>
      <c r="L1550" s="81" t="s">
        <v>187</v>
      </c>
    </row>
    <row r="1551" ht="15.75" customHeight="1">
      <c r="A1551" s="262"/>
      <c r="B1551" s="262"/>
      <c r="C1551" s="263"/>
      <c r="D1551" s="262"/>
      <c r="E1551" s="81" t="s">
        <v>187</v>
      </c>
      <c r="F1551" s="81" t="s">
        <v>187</v>
      </c>
      <c r="G1551" s="81" t="s">
        <v>187</v>
      </c>
      <c r="H1551" s="81" t="s">
        <v>187</v>
      </c>
      <c r="I1551" s="81" t="s">
        <v>187</v>
      </c>
      <c r="J1551" s="81" t="s">
        <v>187</v>
      </c>
      <c r="K1551" s="81" t="s">
        <v>187</v>
      </c>
      <c r="L1551" s="81" t="s">
        <v>187</v>
      </c>
    </row>
    <row r="1552" ht="15.75" customHeight="1">
      <c r="A1552" s="262"/>
      <c r="B1552" s="262"/>
      <c r="C1552" s="263"/>
      <c r="D1552" s="262"/>
      <c r="E1552" s="81" t="s">
        <v>187</v>
      </c>
      <c r="F1552" s="81" t="s">
        <v>187</v>
      </c>
      <c r="G1552" s="81" t="s">
        <v>187</v>
      </c>
      <c r="H1552" s="81" t="s">
        <v>187</v>
      </c>
      <c r="I1552" s="81" t="s">
        <v>187</v>
      </c>
      <c r="J1552" s="81" t="s">
        <v>187</v>
      </c>
      <c r="K1552" s="81" t="s">
        <v>187</v>
      </c>
      <c r="L1552" s="81" t="s">
        <v>187</v>
      </c>
    </row>
    <row r="1553" ht="15.75" customHeight="1">
      <c r="A1553" s="262"/>
      <c r="B1553" s="262"/>
      <c r="C1553" s="263"/>
      <c r="D1553" s="262"/>
      <c r="E1553" s="81" t="s">
        <v>187</v>
      </c>
      <c r="F1553" s="81" t="s">
        <v>187</v>
      </c>
      <c r="G1553" s="81" t="s">
        <v>187</v>
      </c>
      <c r="H1553" s="81" t="s">
        <v>187</v>
      </c>
      <c r="I1553" s="81" t="s">
        <v>187</v>
      </c>
      <c r="J1553" s="81" t="s">
        <v>187</v>
      </c>
      <c r="K1553" s="81" t="s">
        <v>187</v>
      </c>
      <c r="L1553" s="81" t="s">
        <v>187</v>
      </c>
    </row>
    <row r="1554" ht="15.75" customHeight="1">
      <c r="A1554" s="262"/>
      <c r="B1554" s="262"/>
      <c r="C1554" s="263"/>
      <c r="D1554" s="262"/>
      <c r="E1554" s="81" t="s">
        <v>187</v>
      </c>
      <c r="F1554" s="81" t="s">
        <v>187</v>
      </c>
      <c r="G1554" s="81" t="s">
        <v>187</v>
      </c>
      <c r="H1554" s="81" t="s">
        <v>187</v>
      </c>
      <c r="I1554" s="81" t="s">
        <v>187</v>
      </c>
      <c r="J1554" s="81" t="s">
        <v>187</v>
      </c>
      <c r="K1554" s="81" t="s">
        <v>187</v>
      </c>
      <c r="L1554" s="81" t="s">
        <v>187</v>
      </c>
    </row>
    <row r="1555" ht="15.75" customHeight="1">
      <c r="A1555" s="262"/>
      <c r="B1555" s="262"/>
      <c r="C1555" s="263"/>
      <c r="D1555" s="262"/>
      <c r="E1555" s="81" t="s">
        <v>187</v>
      </c>
      <c r="F1555" s="81" t="s">
        <v>187</v>
      </c>
      <c r="G1555" s="81" t="s">
        <v>187</v>
      </c>
      <c r="H1555" s="81" t="s">
        <v>187</v>
      </c>
      <c r="I1555" s="81" t="s">
        <v>187</v>
      </c>
      <c r="J1555" s="81" t="s">
        <v>187</v>
      </c>
      <c r="K1555" s="81" t="s">
        <v>187</v>
      </c>
      <c r="L1555" s="81" t="s">
        <v>187</v>
      </c>
    </row>
    <row r="1556" ht="15.75" customHeight="1">
      <c r="A1556" s="262"/>
      <c r="B1556" s="262"/>
      <c r="C1556" s="263"/>
      <c r="D1556" s="262"/>
      <c r="E1556" s="81" t="s">
        <v>187</v>
      </c>
      <c r="F1556" s="81" t="s">
        <v>187</v>
      </c>
      <c r="G1556" s="81" t="s">
        <v>187</v>
      </c>
      <c r="H1556" s="81" t="s">
        <v>187</v>
      </c>
      <c r="I1556" s="81" t="s">
        <v>187</v>
      </c>
      <c r="J1556" s="81" t="s">
        <v>187</v>
      </c>
      <c r="K1556" s="81" t="s">
        <v>187</v>
      </c>
      <c r="L1556" s="81" t="s">
        <v>187</v>
      </c>
    </row>
    <row r="1557" ht="15.75" customHeight="1">
      <c r="A1557" s="262"/>
      <c r="B1557" s="262"/>
      <c r="C1557" s="263"/>
      <c r="D1557" s="262"/>
      <c r="E1557" s="81" t="s">
        <v>187</v>
      </c>
      <c r="F1557" s="81" t="s">
        <v>187</v>
      </c>
      <c r="G1557" s="81" t="s">
        <v>187</v>
      </c>
      <c r="H1557" s="81" t="s">
        <v>187</v>
      </c>
      <c r="I1557" s="81" t="s">
        <v>187</v>
      </c>
      <c r="J1557" s="81" t="s">
        <v>187</v>
      </c>
      <c r="K1557" s="81" t="s">
        <v>187</v>
      </c>
      <c r="L1557" s="81" t="s">
        <v>187</v>
      </c>
    </row>
    <row r="1558" ht="15.75" customHeight="1">
      <c r="A1558" s="262"/>
      <c r="B1558" s="262"/>
      <c r="C1558" s="263"/>
      <c r="D1558" s="262"/>
      <c r="E1558" s="81" t="s">
        <v>187</v>
      </c>
      <c r="F1558" s="81" t="s">
        <v>187</v>
      </c>
      <c r="G1558" s="81" t="s">
        <v>187</v>
      </c>
      <c r="H1558" s="81" t="s">
        <v>187</v>
      </c>
      <c r="I1558" s="81" t="s">
        <v>187</v>
      </c>
      <c r="J1558" s="81" t="s">
        <v>187</v>
      </c>
      <c r="K1558" s="81" t="s">
        <v>187</v>
      </c>
      <c r="L1558" s="81" t="s">
        <v>187</v>
      </c>
    </row>
    <row r="1559" ht="15.75" customHeight="1">
      <c r="A1559" s="262"/>
      <c r="B1559" s="262"/>
      <c r="C1559" s="263"/>
      <c r="D1559" s="262"/>
      <c r="E1559" s="81" t="s">
        <v>187</v>
      </c>
      <c r="F1559" s="81" t="s">
        <v>187</v>
      </c>
      <c r="G1559" s="81" t="s">
        <v>187</v>
      </c>
      <c r="H1559" s="81" t="s">
        <v>187</v>
      </c>
      <c r="I1559" s="81" t="s">
        <v>187</v>
      </c>
      <c r="J1559" s="81" t="s">
        <v>187</v>
      </c>
      <c r="K1559" s="81" t="s">
        <v>187</v>
      </c>
      <c r="L1559" s="81" t="s">
        <v>187</v>
      </c>
    </row>
    <row r="1560" ht="15.75" customHeight="1">
      <c r="A1560" s="262"/>
      <c r="B1560" s="262"/>
      <c r="C1560" s="263"/>
      <c r="D1560" s="262"/>
      <c r="E1560" s="81" t="s">
        <v>187</v>
      </c>
      <c r="F1560" s="81" t="s">
        <v>187</v>
      </c>
      <c r="G1560" s="81" t="s">
        <v>187</v>
      </c>
      <c r="H1560" s="81" t="s">
        <v>187</v>
      </c>
      <c r="I1560" s="81" t="s">
        <v>187</v>
      </c>
      <c r="J1560" s="81" t="s">
        <v>187</v>
      </c>
      <c r="K1560" s="81" t="s">
        <v>187</v>
      </c>
      <c r="L1560" s="81" t="s">
        <v>187</v>
      </c>
    </row>
    <row r="1561" ht="15.75" customHeight="1">
      <c r="A1561" s="262"/>
      <c r="B1561" s="262"/>
      <c r="C1561" s="263"/>
      <c r="D1561" s="262"/>
      <c r="E1561" s="81" t="s">
        <v>187</v>
      </c>
      <c r="F1561" s="81" t="s">
        <v>187</v>
      </c>
      <c r="G1561" s="81" t="s">
        <v>187</v>
      </c>
      <c r="H1561" s="81" t="s">
        <v>187</v>
      </c>
      <c r="I1561" s="81" t="s">
        <v>187</v>
      </c>
      <c r="J1561" s="81" t="s">
        <v>187</v>
      </c>
      <c r="K1561" s="81" t="s">
        <v>187</v>
      </c>
      <c r="L1561" s="81" t="s">
        <v>187</v>
      </c>
    </row>
    <row r="1562" ht="15.75" customHeight="1">
      <c r="A1562" s="262"/>
      <c r="B1562" s="262"/>
      <c r="C1562" s="263"/>
      <c r="D1562" s="262"/>
      <c r="E1562" s="81" t="s">
        <v>187</v>
      </c>
      <c r="F1562" s="81" t="s">
        <v>187</v>
      </c>
      <c r="G1562" s="81" t="s">
        <v>187</v>
      </c>
      <c r="H1562" s="81" t="s">
        <v>187</v>
      </c>
      <c r="I1562" s="81" t="s">
        <v>187</v>
      </c>
      <c r="J1562" s="81" t="s">
        <v>187</v>
      </c>
      <c r="K1562" s="81" t="s">
        <v>187</v>
      </c>
      <c r="L1562" s="81" t="s">
        <v>187</v>
      </c>
    </row>
    <row r="1563" ht="15.75" customHeight="1">
      <c r="A1563" s="262"/>
      <c r="B1563" s="262"/>
      <c r="C1563" s="263"/>
      <c r="D1563" s="262"/>
      <c r="E1563" s="81" t="s">
        <v>187</v>
      </c>
      <c r="F1563" s="81" t="s">
        <v>187</v>
      </c>
      <c r="G1563" s="81" t="s">
        <v>187</v>
      </c>
      <c r="H1563" s="81" t="s">
        <v>187</v>
      </c>
      <c r="I1563" s="81" t="s">
        <v>187</v>
      </c>
      <c r="J1563" s="81" t="s">
        <v>187</v>
      </c>
      <c r="K1563" s="81" t="s">
        <v>187</v>
      </c>
      <c r="L1563" s="81" t="s">
        <v>187</v>
      </c>
    </row>
    <row r="1564" ht="15.75" customHeight="1">
      <c r="A1564" s="262"/>
      <c r="B1564" s="262"/>
      <c r="C1564" s="263"/>
      <c r="D1564" s="262"/>
      <c r="E1564" s="81" t="s">
        <v>187</v>
      </c>
      <c r="F1564" s="81" t="s">
        <v>187</v>
      </c>
      <c r="G1564" s="81" t="s">
        <v>187</v>
      </c>
      <c r="H1564" s="81" t="s">
        <v>187</v>
      </c>
      <c r="I1564" s="81" t="s">
        <v>187</v>
      </c>
      <c r="J1564" s="81" t="s">
        <v>187</v>
      </c>
      <c r="K1564" s="81" t="s">
        <v>187</v>
      </c>
      <c r="L1564" s="81" t="s">
        <v>187</v>
      </c>
    </row>
    <row r="1565" ht="15.75" customHeight="1">
      <c r="A1565" s="262"/>
      <c r="B1565" s="262"/>
      <c r="C1565" s="263"/>
      <c r="D1565" s="262"/>
      <c r="E1565" s="81" t="s">
        <v>187</v>
      </c>
      <c r="F1565" s="81" t="s">
        <v>187</v>
      </c>
      <c r="G1565" s="81" t="s">
        <v>187</v>
      </c>
      <c r="H1565" s="81" t="s">
        <v>187</v>
      </c>
      <c r="I1565" s="81" t="s">
        <v>187</v>
      </c>
      <c r="J1565" s="81" t="s">
        <v>187</v>
      </c>
      <c r="K1565" s="81" t="s">
        <v>187</v>
      </c>
      <c r="L1565" s="81" t="s">
        <v>187</v>
      </c>
    </row>
    <row r="1566" ht="15.75" customHeight="1">
      <c r="A1566" s="262"/>
      <c r="B1566" s="262"/>
      <c r="C1566" s="263"/>
      <c r="D1566" s="262"/>
      <c r="E1566" s="81" t="s">
        <v>187</v>
      </c>
      <c r="F1566" s="81" t="s">
        <v>187</v>
      </c>
      <c r="G1566" s="81" t="s">
        <v>187</v>
      </c>
      <c r="H1566" s="81" t="s">
        <v>187</v>
      </c>
      <c r="I1566" s="81" t="s">
        <v>187</v>
      </c>
      <c r="J1566" s="81" t="s">
        <v>187</v>
      </c>
      <c r="K1566" s="81" t="s">
        <v>187</v>
      </c>
      <c r="L1566" s="81" t="s">
        <v>187</v>
      </c>
    </row>
    <row r="1567" ht="15.75" customHeight="1">
      <c r="A1567" s="262"/>
      <c r="B1567" s="262"/>
      <c r="C1567" s="263"/>
      <c r="D1567" s="262"/>
      <c r="E1567" s="81" t="s">
        <v>187</v>
      </c>
      <c r="F1567" s="81" t="s">
        <v>187</v>
      </c>
      <c r="G1567" s="81" t="s">
        <v>187</v>
      </c>
      <c r="H1567" s="81" t="s">
        <v>187</v>
      </c>
      <c r="I1567" s="81" t="s">
        <v>187</v>
      </c>
      <c r="J1567" s="81" t="s">
        <v>187</v>
      </c>
      <c r="K1567" s="81" t="s">
        <v>187</v>
      </c>
      <c r="L1567" s="81" t="s">
        <v>187</v>
      </c>
    </row>
    <row r="1568" ht="15.75" customHeight="1">
      <c r="A1568" s="262"/>
      <c r="B1568" s="262"/>
      <c r="C1568" s="263"/>
      <c r="D1568" s="262"/>
      <c r="E1568" s="81" t="s">
        <v>187</v>
      </c>
      <c r="F1568" s="81" t="s">
        <v>187</v>
      </c>
      <c r="G1568" s="81" t="s">
        <v>187</v>
      </c>
      <c r="H1568" s="81" t="s">
        <v>187</v>
      </c>
      <c r="I1568" s="81" t="s">
        <v>187</v>
      </c>
      <c r="J1568" s="81" t="s">
        <v>187</v>
      </c>
      <c r="K1568" s="81" t="s">
        <v>187</v>
      </c>
      <c r="L1568" s="81" t="s">
        <v>187</v>
      </c>
    </row>
    <row r="1569" ht="15.75" customHeight="1">
      <c r="A1569" s="262"/>
      <c r="B1569" s="262"/>
      <c r="C1569" s="263"/>
      <c r="D1569" s="262"/>
      <c r="E1569" s="81" t="s">
        <v>187</v>
      </c>
      <c r="F1569" s="81" t="s">
        <v>187</v>
      </c>
      <c r="G1569" s="81" t="s">
        <v>187</v>
      </c>
      <c r="H1569" s="81" t="s">
        <v>187</v>
      </c>
      <c r="I1569" s="81" t="s">
        <v>187</v>
      </c>
      <c r="J1569" s="81" t="s">
        <v>187</v>
      </c>
      <c r="K1569" s="81" t="s">
        <v>187</v>
      </c>
      <c r="L1569" s="81" t="s">
        <v>187</v>
      </c>
    </row>
    <row r="1570" ht="15.75" customHeight="1">
      <c r="A1570" s="262"/>
      <c r="B1570" s="262"/>
      <c r="C1570" s="263"/>
      <c r="D1570" s="262"/>
      <c r="E1570" s="81" t="s">
        <v>187</v>
      </c>
      <c r="F1570" s="81" t="s">
        <v>187</v>
      </c>
      <c r="G1570" s="81" t="s">
        <v>187</v>
      </c>
      <c r="H1570" s="81" t="s">
        <v>187</v>
      </c>
      <c r="I1570" s="81" t="s">
        <v>187</v>
      </c>
      <c r="J1570" s="81" t="s">
        <v>187</v>
      </c>
      <c r="K1570" s="81" t="s">
        <v>187</v>
      </c>
      <c r="L1570" s="81" t="s">
        <v>187</v>
      </c>
    </row>
    <row r="1571" ht="15.75" customHeight="1">
      <c r="A1571" s="262"/>
      <c r="B1571" s="262"/>
      <c r="C1571" s="263"/>
      <c r="D1571" s="262"/>
      <c r="E1571" s="81" t="s">
        <v>187</v>
      </c>
      <c r="F1571" s="81" t="s">
        <v>187</v>
      </c>
      <c r="G1571" s="81" t="s">
        <v>187</v>
      </c>
      <c r="H1571" s="81" t="s">
        <v>187</v>
      </c>
      <c r="I1571" s="81" t="s">
        <v>187</v>
      </c>
      <c r="J1571" s="81" t="s">
        <v>187</v>
      </c>
      <c r="K1571" s="81" t="s">
        <v>187</v>
      </c>
      <c r="L1571" s="81" t="s">
        <v>187</v>
      </c>
    </row>
    <row r="1572" ht="15.75" customHeight="1">
      <c r="A1572" s="262"/>
      <c r="B1572" s="262"/>
      <c r="C1572" s="263"/>
      <c r="D1572" s="262"/>
      <c r="E1572" s="81" t="s">
        <v>187</v>
      </c>
      <c r="F1572" s="81" t="s">
        <v>187</v>
      </c>
      <c r="G1572" s="81" t="s">
        <v>187</v>
      </c>
      <c r="H1572" s="81" t="s">
        <v>187</v>
      </c>
      <c r="I1572" s="81" t="s">
        <v>187</v>
      </c>
      <c r="J1572" s="81" t="s">
        <v>187</v>
      </c>
      <c r="K1572" s="81" t="s">
        <v>187</v>
      </c>
      <c r="L1572" s="81" t="s">
        <v>187</v>
      </c>
    </row>
    <row r="1573" ht="15.75" customHeight="1">
      <c r="A1573" s="262"/>
      <c r="B1573" s="262"/>
      <c r="C1573" s="263"/>
      <c r="D1573" s="262"/>
      <c r="E1573" s="81" t="s">
        <v>187</v>
      </c>
      <c r="F1573" s="81" t="s">
        <v>187</v>
      </c>
      <c r="G1573" s="81" t="s">
        <v>187</v>
      </c>
      <c r="H1573" s="81" t="s">
        <v>187</v>
      </c>
      <c r="I1573" s="81" t="s">
        <v>187</v>
      </c>
      <c r="J1573" s="81" t="s">
        <v>187</v>
      </c>
      <c r="K1573" s="81" t="s">
        <v>187</v>
      </c>
      <c r="L1573" s="81" t="s">
        <v>187</v>
      </c>
    </row>
    <row r="1574" ht="15.75" customHeight="1">
      <c r="A1574" s="262"/>
      <c r="B1574" s="262"/>
      <c r="C1574" s="263"/>
      <c r="D1574" s="262"/>
      <c r="E1574" s="81" t="s">
        <v>187</v>
      </c>
      <c r="F1574" s="81" t="s">
        <v>187</v>
      </c>
      <c r="G1574" s="81" t="s">
        <v>187</v>
      </c>
      <c r="H1574" s="81" t="s">
        <v>187</v>
      </c>
      <c r="I1574" s="81" t="s">
        <v>187</v>
      </c>
      <c r="J1574" s="81" t="s">
        <v>187</v>
      </c>
      <c r="K1574" s="81" t="s">
        <v>187</v>
      </c>
      <c r="L1574" s="81" t="s">
        <v>187</v>
      </c>
    </row>
    <row r="1575" ht="15.75" customHeight="1">
      <c r="A1575" s="262"/>
      <c r="B1575" s="262"/>
      <c r="C1575" s="263"/>
      <c r="D1575" s="262"/>
      <c r="E1575" s="81" t="s">
        <v>187</v>
      </c>
      <c r="F1575" s="81" t="s">
        <v>187</v>
      </c>
      <c r="G1575" s="81" t="s">
        <v>187</v>
      </c>
      <c r="H1575" s="81" t="s">
        <v>187</v>
      </c>
      <c r="I1575" s="81" t="s">
        <v>187</v>
      </c>
      <c r="J1575" s="81" t="s">
        <v>187</v>
      </c>
      <c r="K1575" s="81" t="s">
        <v>187</v>
      </c>
      <c r="L1575" s="81" t="s">
        <v>187</v>
      </c>
    </row>
    <row r="1576" ht="15.75" customHeight="1">
      <c r="A1576" s="262"/>
      <c r="B1576" s="262"/>
      <c r="C1576" s="263"/>
      <c r="D1576" s="262"/>
      <c r="E1576" s="81" t="s">
        <v>187</v>
      </c>
      <c r="F1576" s="81" t="s">
        <v>187</v>
      </c>
      <c r="G1576" s="81" t="s">
        <v>187</v>
      </c>
      <c r="H1576" s="81" t="s">
        <v>187</v>
      </c>
      <c r="I1576" s="81" t="s">
        <v>187</v>
      </c>
      <c r="J1576" s="81" t="s">
        <v>187</v>
      </c>
      <c r="K1576" s="81" t="s">
        <v>187</v>
      </c>
      <c r="L1576" s="81" t="s">
        <v>187</v>
      </c>
    </row>
    <row r="1577" ht="15.75" customHeight="1">
      <c r="A1577" s="262"/>
      <c r="B1577" s="262"/>
      <c r="C1577" s="263"/>
      <c r="D1577" s="262"/>
      <c r="E1577" s="81" t="s">
        <v>187</v>
      </c>
      <c r="F1577" s="81" t="s">
        <v>187</v>
      </c>
      <c r="G1577" s="81" t="s">
        <v>187</v>
      </c>
      <c r="H1577" s="81" t="s">
        <v>187</v>
      </c>
      <c r="I1577" s="81" t="s">
        <v>187</v>
      </c>
      <c r="J1577" s="81" t="s">
        <v>187</v>
      </c>
      <c r="K1577" s="81" t="s">
        <v>187</v>
      </c>
      <c r="L1577" s="81" t="s">
        <v>187</v>
      </c>
    </row>
    <row r="1578" ht="15.75" customHeight="1">
      <c r="A1578" s="262"/>
      <c r="B1578" s="262"/>
      <c r="C1578" s="263"/>
      <c r="D1578" s="262"/>
      <c r="E1578" s="81" t="s">
        <v>187</v>
      </c>
      <c r="F1578" s="81" t="s">
        <v>187</v>
      </c>
      <c r="G1578" s="81" t="s">
        <v>187</v>
      </c>
      <c r="H1578" s="81" t="s">
        <v>187</v>
      </c>
      <c r="I1578" s="81" t="s">
        <v>187</v>
      </c>
      <c r="J1578" s="81" t="s">
        <v>187</v>
      </c>
      <c r="K1578" s="81" t="s">
        <v>187</v>
      </c>
      <c r="L1578" s="81" t="s">
        <v>187</v>
      </c>
    </row>
    <row r="1579" ht="15.75" customHeight="1">
      <c r="A1579" s="262"/>
      <c r="B1579" s="262"/>
      <c r="C1579" s="263"/>
      <c r="D1579" s="262"/>
      <c r="E1579" s="81" t="s">
        <v>187</v>
      </c>
      <c r="F1579" s="81" t="s">
        <v>187</v>
      </c>
      <c r="G1579" s="81" t="s">
        <v>187</v>
      </c>
      <c r="H1579" s="81" t="s">
        <v>187</v>
      </c>
      <c r="I1579" s="81" t="s">
        <v>187</v>
      </c>
      <c r="J1579" s="81" t="s">
        <v>187</v>
      </c>
      <c r="K1579" s="81" t="s">
        <v>187</v>
      </c>
      <c r="L1579" s="81" t="s">
        <v>187</v>
      </c>
    </row>
    <row r="1580" ht="15.75" customHeight="1">
      <c r="A1580" s="262"/>
      <c r="B1580" s="262"/>
      <c r="C1580" s="263"/>
      <c r="D1580" s="262"/>
      <c r="E1580" s="81" t="s">
        <v>187</v>
      </c>
      <c r="F1580" s="81" t="s">
        <v>187</v>
      </c>
      <c r="G1580" s="81" t="s">
        <v>187</v>
      </c>
      <c r="H1580" s="81" t="s">
        <v>187</v>
      </c>
      <c r="I1580" s="81" t="s">
        <v>187</v>
      </c>
      <c r="J1580" s="81" t="s">
        <v>187</v>
      </c>
      <c r="K1580" s="81" t="s">
        <v>187</v>
      </c>
      <c r="L1580" s="81" t="s">
        <v>187</v>
      </c>
    </row>
    <row r="1581" ht="15.75" customHeight="1">
      <c r="A1581" s="262"/>
      <c r="B1581" s="262"/>
      <c r="C1581" s="263"/>
      <c r="D1581" s="262"/>
      <c r="E1581" s="81" t="s">
        <v>187</v>
      </c>
      <c r="F1581" s="81" t="s">
        <v>187</v>
      </c>
      <c r="G1581" s="81" t="s">
        <v>187</v>
      </c>
      <c r="H1581" s="81" t="s">
        <v>187</v>
      </c>
      <c r="I1581" s="81" t="s">
        <v>187</v>
      </c>
      <c r="J1581" s="81" t="s">
        <v>187</v>
      </c>
      <c r="K1581" s="81" t="s">
        <v>187</v>
      </c>
      <c r="L1581" s="81" t="s">
        <v>187</v>
      </c>
    </row>
    <row r="1582" ht="15.75" customHeight="1">
      <c r="A1582" s="262"/>
      <c r="B1582" s="262"/>
      <c r="C1582" s="263"/>
      <c r="D1582" s="262"/>
      <c r="E1582" s="81" t="s">
        <v>187</v>
      </c>
      <c r="F1582" s="81" t="s">
        <v>187</v>
      </c>
      <c r="G1582" s="81" t="s">
        <v>187</v>
      </c>
      <c r="H1582" s="81" t="s">
        <v>187</v>
      </c>
      <c r="I1582" s="81" t="s">
        <v>187</v>
      </c>
      <c r="J1582" s="81" t="s">
        <v>187</v>
      </c>
      <c r="K1582" s="81" t="s">
        <v>187</v>
      </c>
      <c r="L1582" s="81" t="s">
        <v>187</v>
      </c>
    </row>
    <row r="1583" ht="15.75" customHeight="1">
      <c r="A1583" s="262"/>
      <c r="B1583" s="262"/>
      <c r="C1583" s="263"/>
      <c r="D1583" s="262"/>
      <c r="E1583" s="81" t="s">
        <v>187</v>
      </c>
      <c r="F1583" s="81" t="s">
        <v>187</v>
      </c>
      <c r="G1583" s="81" t="s">
        <v>187</v>
      </c>
      <c r="H1583" s="81" t="s">
        <v>187</v>
      </c>
      <c r="I1583" s="81" t="s">
        <v>187</v>
      </c>
      <c r="J1583" s="81" t="s">
        <v>187</v>
      </c>
      <c r="K1583" s="81" t="s">
        <v>187</v>
      </c>
      <c r="L1583" s="81" t="s">
        <v>187</v>
      </c>
    </row>
    <row r="1584" ht="15.75" customHeight="1">
      <c r="A1584" s="262"/>
      <c r="B1584" s="262"/>
      <c r="C1584" s="263"/>
      <c r="D1584" s="262"/>
      <c r="E1584" s="81" t="s">
        <v>187</v>
      </c>
      <c r="F1584" s="81" t="s">
        <v>187</v>
      </c>
      <c r="G1584" s="81" t="s">
        <v>187</v>
      </c>
      <c r="H1584" s="81" t="s">
        <v>187</v>
      </c>
      <c r="I1584" s="81" t="s">
        <v>187</v>
      </c>
      <c r="J1584" s="81" t="s">
        <v>187</v>
      </c>
      <c r="K1584" s="81" t="s">
        <v>187</v>
      </c>
      <c r="L1584" s="81" t="s">
        <v>187</v>
      </c>
    </row>
    <row r="1585" ht="15.75" customHeight="1">
      <c r="A1585" s="262"/>
      <c r="B1585" s="262"/>
      <c r="C1585" s="263"/>
      <c r="D1585" s="262"/>
      <c r="E1585" s="81" t="s">
        <v>187</v>
      </c>
      <c r="F1585" s="81" t="s">
        <v>187</v>
      </c>
      <c r="G1585" s="81" t="s">
        <v>187</v>
      </c>
      <c r="H1585" s="81" t="s">
        <v>187</v>
      </c>
      <c r="I1585" s="81" t="s">
        <v>187</v>
      </c>
      <c r="J1585" s="81" t="s">
        <v>187</v>
      </c>
      <c r="K1585" s="81" t="s">
        <v>187</v>
      </c>
      <c r="L1585" s="81" t="s">
        <v>187</v>
      </c>
    </row>
    <row r="1586" ht="15.75" customHeight="1">
      <c r="A1586" s="262"/>
      <c r="B1586" s="262"/>
      <c r="C1586" s="263"/>
      <c r="D1586" s="262"/>
      <c r="E1586" s="81" t="s">
        <v>187</v>
      </c>
      <c r="F1586" s="81" t="s">
        <v>187</v>
      </c>
      <c r="G1586" s="81" t="s">
        <v>187</v>
      </c>
      <c r="H1586" s="81" t="s">
        <v>187</v>
      </c>
      <c r="I1586" s="81" t="s">
        <v>187</v>
      </c>
      <c r="J1586" s="81" t="s">
        <v>187</v>
      </c>
      <c r="K1586" s="81" t="s">
        <v>187</v>
      </c>
      <c r="L1586" s="81" t="s">
        <v>187</v>
      </c>
    </row>
    <row r="1587" ht="15.75" customHeight="1">
      <c r="A1587" s="262"/>
      <c r="B1587" s="262"/>
      <c r="C1587" s="263"/>
      <c r="D1587" s="262"/>
      <c r="E1587" s="81" t="s">
        <v>187</v>
      </c>
      <c r="F1587" s="81" t="s">
        <v>187</v>
      </c>
      <c r="G1587" s="81" t="s">
        <v>187</v>
      </c>
      <c r="H1587" s="81" t="s">
        <v>187</v>
      </c>
      <c r="I1587" s="81" t="s">
        <v>187</v>
      </c>
      <c r="J1587" s="81" t="s">
        <v>187</v>
      </c>
      <c r="K1587" s="81" t="s">
        <v>187</v>
      </c>
      <c r="L1587" s="81" t="s">
        <v>187</v>
      </c>
    </row>
    <row r="1588" ht="15.75" customHeight="1">
      <c r="A1588" s="262"/>
      <c r="B1588" s="262"/>
      <c r="C1588" s="263"/>
      <c r="D1588" s="262"/>
      <c r="E1588" s="81" t="s">
        <v>187</v>
      </c>
      <c r="F1588" s="81" t="s">
        <v>187</v>
      </c>
      <c r="G1588" s="81" t="s">
        <v>187</v>
      </c>
      <c r="H1588" s="81" t="s">
        <v>187</v>
      </c>
      <c r="I1588" s="81" t="s">
        <v>187</v>
      </c>
      <c r="J1588" s="81" t="s">
        <v>187</v>
      </c>
      <c r="K1588" s="81" t="s">
        <v>187</v>
      </c>
      <c r="L1588" s="81" t="s">
        <v>187</v>
      </c>
    </row>
    <row r="1589" ht="15.75" customHeight="1">
      <c r="A1589" s="262"/>
      <c r="B1589" s="262"/>
      <c r="C1589" s="263"/>
      <c r="D1589" s="262"/>
      <c r="E1589" s="81" t="s">
        <v>187</v>
      </c>
      <c r="F1589" s="81" t="s">
        <v>187</v>
      </c>
      <c r="G1589" s="81" t="s">
        <v>187</v>
      </c>
      <c r="H1589" s="81" t="s">
        <v>187</v>
      </c>
      <c r="I1589" s="81" t="s">
        <v>187</v>
      </c>
      <c r="J1589" s="81" t="s">
        <v>187</v>
      </c>
      <c r="K1589" s="81" t="s">
        <v>187</v>
      </c>
      <c r="L1589" s="81" t="s">
        <v>187</v>
      </c>
    </row>
    <row r="1590" ht="15.75" customHeight="1">
      <c r="A1590" s="262"/>
      <c r="B1590" s="262"/>
      <c r="C1590" s="263"/>
      <c r="D1590" s="262"/>
      <c r="E1590" s="81" t="s">
        <v>187</v>
      </c>
      <c r="F1590" s="81" t="s">
        <v>187</v>
      </c>
      <c r="G1590" s="81" t="s">
        <v>187</v>
      </c>
      <c r="H1590" s="81" t="s">
        <v>187</v>
      </c>
      <c r="I1590" s="81" t="s">
        <v>187</v>
      </c>
      <c r="J1590" s="81" t="s">
        <v>187</v>
      </c>
      <c r="K1590" s="81" t="s">
        <v>187</v>
      </c>
      <c r="L1590" s="81" t="s">
        <v>187</v>
      </c>
    </row>
    <row r="1591" ht="15.75" customHeight="1">
      <c r="A1591" s="262"/>
      <c r="B1591" s="262"/>
      <c r="C1591" s="263"/>
      <c r="D1591" s="262"/>
      <c r="E1591" s="81" t="s">
        <v>187</v>
      </c>
      <c r="F1591" s="81" t="s">
        <v>187</v>
      </c>
      <c r="G1591" s="81" t="s">
        <v>187</v>
      </c>
      <c r="H1591" s="81" t="s">
        <v>187</v>
      </c>
      <c r="I1591" s="81" t="s">
        <v>187</v>
      </c>
      <c r="J1591" s="81" t="s">
        <v>187</v>
      </c>
      <c r="K1591" s="81" t="s">
        <v>187</v>
      </c>
      <c r="L1591" s="81" t="s">
        <v>187</v>
      </c>
    </row>
    <row r="1592" ht="15.75" customHeight="1">
      <c r="A1592" s="262"/>
      <c r="B1592" s="262"/>
      <c r="C1592" s="263"/>
      <c r="D1592" s="262"/>
      <c r="E1592" s="81" t="s">
        <v>187</v>
      </c>
      <c r="F1592" s="81" t="s">
        <v>187</v>
      </c>
      <c r="G1592" s="81" t="s">
        <v>187</v>
      </c>
      <c r="H1592" s="81" t="s">
        <v>187</v>
      </c>
      <c r="I1592" s="81" t="s">
        <v>187</v>
      </c>
      <c r="J1592" s="81" t="s">
        <v>187</v>
      </c>
      <c r="K1592" s="81" t="s">
        <v>187</v>
      </c>
      <c r="L1592" s="81" t="s">
        <v>187</v>
      </c>
    </row>
    <row r="1593" ht="15.75" customHeight="1">
      <c r="A1593" s="262"/>
      <c r="B1593" s="262"/>
      <c r="C1593" s="263"/>
      <c r="D1593" s="262"/>
      <c r="E1593" s="81" t="s">
        <v>187</v>
      </c>
      <c r="F1593" s="81" t="s">
        <v>187</v>
      </c>
      <c r="G1593" s="81" t="s">
        <v>187</v>
      </c>
      <c r="H1593" s="81" t="s">
        <v>187</v>
      </c>
      <c r="I1593" s="81" t="s">
        <v>187</v>
      </c>
      <c r="J1593" s="81" t="s">
        <v>187</v>
      </c>
      <c r="K1593" s="81" t="s">
        <v>187</v>
      </c>
      <c r="L1593" s="81" t="s">
        <v>187</v>
      </c>
    </row>
    <row r="1594" ht="15.75" customHeight="1">
      <c r="A1594" s="262"/>
      <c r="B1594" s="262"/>
      <c r="C1594" s="263"/>
      <c r="D1594" s="262"/>
      <c r="E1594" s="81" t="s">
        <v>187</v>
      </c>
      <c r="F1594" s="81" t="s">
        <v>187</v>
      </c>
      <c r="G1594" s="81" t="s">
        <v>187</v>
      </c>
      <c r="H1594" s="81" t="s">
        <v>187</v>
      </c>
      <c r="I1594" s="81" t="s">
        <v>187</v>
      </c>
      <c r="J1594" s="81" t="s">
        <v>187</v>
      </c>
      <c r="K1594" s="81" t="s">
        <v>187</v>
      </c>
      <c r="L1594" s="81" t="s">
        <v>187</v>
      </c>
    </row>
    <row r="1595" ht="15.75" customHeight="1">
      <c r="A1595" s="262"/>
      <c r="B1595" s="262"/>
      <c r="C1595" s="263"/>
      <c r="D1595" s="262"/>
      <c r="E1595" s="81" t="s">
        <v>187</v>
      </c>
      <c r="F1595" s="81" t="s">
        <v>187</v>
      </c>
      <c r="G1595" s="81" t="s">
        <v>187</v>
      </c>
      <c r="H1595" s="81" t="s">
        <v>187</v>
      </c>
      <c r="I1595" s="81" t="s">
        <v>187</v>
      </c>
      <c r="J1595" s="81" t="s">
        <v>187</v>
      </c>
      <c r="K1595" s="81" t="s">
        <v>187</v>
      </c>
      <c r="L1595" s="81" t="s">
        <v>187</v>
      </c>
    </row>
    <row r="1596" ht="15.75" customHeight="1">
      <c r="A1596" s="262"/>
      <c r="B1596" s="262"/>
      <c r="C1596" s="263"/>
      <c r="D1596" s="262"/>
      <c r="E1596" s="81" t="s">
        <v>187</v>
      </c>
      <c r="F1596" s="81" t="s">
        <v>187</v>
      </c>
      <c r="G1596" s="81" t="s">
        <v>187</v>
      </c>
      <c r="H1596" s="81" t="s">
        <v>187</v>
      </c>
      <c r="I1596" s="81" t="s">
        <v>187</v>
      </c>
      <c r="J1596" s="81" t="s">
        <v>187</v>
      </c>
      <c r="K1596" s="81" t="s">
        <v>187</v>
      </c>
      <c r="L1596" s="81" t="s">
        <v>187</v>
      </c>
    </row>
    <row r="1597" ht="15.75" customHeight="1">
      <c r="A1597" s="262"/>
      <c r="B1597" s="262"/>
      <c r="C1597" s="263"/>
      <c r="D1597" s="262"/>
      <c r="E1597" s="81" t="s">
        <v>187</v>
      </c>
      <c r="F1597" s="81" t="s">
        <v>187</v>
      </c>
      <c r="G1597" s="81" t="s">
        <v>187</v>
      </c>
      <c r="H1597" s="81" t="s">
        <v>187</v>
      </c>
      <c r="I1597" s="81" t="s">
        <v>187</v>
      </c>
      <c r="J1597" s="81" t="s">
        <v>187</v>
      </c>
      <c r="K1597" s="81" t="s">
        <v>187</v>
      </c>
      <c r="L1597" s="81" t="s">
        <v>187</v>
      </c>
    </row>
    <row r="1598" ht="15.75" customHeight="1">
      <c r="A1598" s="262"/>
      <c r="B1598" s="262"/>
      <c r="C1598" s="263"/>
      <c r="D1598" s="262"/>
      <c r="E1598" s="81" t="s">
        <v>187</v>
      </c>
      <c r="F1598" s="81" t="s">
        <v>187</v>
      </c>
      <c r="G1598" s="81" t="s">
        <v>187</v>
      </c>
      <c r="H1598" s="81" t="s">
        <v>187</v>
      </c>
      <c r="I1598" s="81" t="s">
        <v>187</v>
      </c>
      <c r="J1598" s="81" t="s">
        <v>187</v>
      </c>
      <c r="K1598" s="81" t="s">
        <v>187</v>
      </c>
      <c r="L1598" s="81" t="s">
        <v>187</v>
      </c>
    </row>
    <row r="1599" ht="15.75" customHeight="1">
      <c r="A1599" s="262"/>
      <c r="B1599" s="262"/>
      <c r="C1599" s="263"/>
      <c r="D1599" s="262"/>
      <c r="E1599" s="81" t="s">
        <v>187</v>
      </c>
      <c r="F1599" s="81" t="s">
        <v>187</v>
      </c>
      <c r="G1599" s="81" t="s">
        <v>187</v>
      </c>
      <c r="H1599" s="81" t="s">
        <v>187</v>
      </c>
      <c r="I1599" s="81" t="s">
        <v>187</v>
      </c>
      <c r="J1599" s="81" t="s">
        <v>187</v>
      </c>
      <c r="K1599" s="81" t="s">
        <v>187</v>
      </c>
      <c r="L1599" s="81" t="s">
        <v>187</v>
      </c>
    </row>
    <row r="1600" ht="15.75" customHeight="1">
      <c r="A1600" s="262"/>
      <c r="B1600" s="262"/>
      <c r="C1600" s="263"/>
      <c r="D1600" s="262"/>
      <c r="E1600" s="81" t="s">
        <v>187</v>
      </c>
      <c r="F1600" s="81" t="s">
        <v>187</v>
      </c>
      <c r="G1600" s="81" t="s">
        <v>187</v>
      </c>
      <c r="H1600" s="81" t="s">
        <v>187</v>
      </c>
      <c r="I1600" s="81" t="s">
        <v>187</v>
      </c>
      <c r="J1600" s="81" t="s">
        <v>187</v>
      </c>
      <c r="K1600" s="81" t="s">
        <v>187</v>
      </c>
      <c r="L1600" s="81" t="s">
        <v>187</v>
      </c>
    </row>
    <row r="1601" ht="15.75" customHeight="1">
      <c r="A1601" s="262"/>
      <c r="B1601" s="262"/>
      <c r="C1601" s="263"/>
      <c r="D1601" s="262"/>
      <c r="E1601" s="81" t="s">
        <v>187</v>
      </c>
      <c r="F1601" s="81" t="s">
        <v>187</v>
      </c>
      <c r="G1601" s="81" t="s">
        <v>187</v>
      </c>
      <c r="H1601" s="81" t="s">
        <v>187</v>
      </c>
      <c r="I1601" s="81" t="s">
        <v>187</v>
      </c>
      <c r="J1601" s="81" t="s">
        <v>187</v>
      </c>
      <c r="K1601" s="81" t="s">
        <v>187</v>
      </c>
      <c r="L1601" s="81" t="s">
        <v>187</v>
      </c>
    </row>
    <row r="1602" ht="15.75" customHeight="1">
      <c r="A1602" s="262"/>
      <c r="B1602" s="262"/>
      <c r="C1602" s="263"/>
      <c r="D1602" s="262"/>
      <c r="E1602" s="81" t="s">
        <v>187</v>
      </c>
      <c r="F1602" s="81" t="s">
        <v>187</v>
      </c>
      <c r="G1602" s="81" t="s">
        <v>187</v>
      </c>
      <c r="H1602" s="81" t="s">
        <v>187</v>
      </c>
      <c r="I1602" s="81" t="s">
        <v>187</v>
      </c>
      <c r="J1602" s="81" t="s">
        <v>187</v>
      </c>
      <c r="K1602" s="81" t="s">
        <v>187</v>
      </c>
      <c r="L1602" s="81" t="s">
        <v>187</v>
      </c>
    </row>
    <row r="1603" ht="15.75" customHeight="1">
      <c r="A1603" s="262"/>
      <c r="B1603" s="262"/>
      <c r="C1603" s="263"/>
      <c r="D1603" s="262"/>
      <c r="E1603" s="81" t="s">
        <v>187</v>
      </c>
      <c r="F1603" s="81" t="s">
        <v>187</v>
      </c>
      <c r="G1603" s="81" t="s">
        <v>187</v>
      </c>
      <c r="H1603" s="81" t="s">
        <v>187</v>
      </c>
      <c r="I1603" s="81" t="s">
        <v>187</v>
      </c>
      <c r="J1603" s="81" t="s">
        <v>187</v>
      </c>
      <c r="K1603" s="81" t="s">
        <v>187</v>
      </c>
      <c r="L1603" s="81" t="s">
        <v>187</v>
      </c>
    </row>
    <row r="1604" ht="15.75" customHeight="1">
      <c r="A1604" s="262"/>
      <c r="B1604" s="262"/>
      <c r="C1604" s="263"/>
      <c r="D1604" s="262"/>
      <c r="E1604" s="81" t="s">
        <v>187</v>
      </c>
      <c r="F1604" s="81" t="s">
        <v>187</v>
      </c>
      <c r="G1604" s="81" t="s">
        <v>187</v>
      </c>
      <c r="H1604" s="81" t="s">
        <v>187</v>
      </c>
      <c r="I1604" s="81" t="s">
        <v>187</v>
      </c>
      <c r="J1604" s="81" t="s">
        <v>187</v>
      </c>
      <c r="K1604" s="81" t="s">
        <v>187</v>
      </c>
      <c r="L1604" s="81" t="s">
        <v>187</v>
      </c>
    </row>
    <row r="1605" ht="15.75" customHeight="1">
      <c r="A1605" s="262"/>
      <c r="B1605" s="262"/>
      <c r="C1605" s="263"/>
      <c r="D1605" s="262"/>
      <c r="E1605" s="81" t="s">
        <v>187</v>
      </c>
      <c r="F1605" s="81" t="s">
        <v>187</v>
      </c>
      <c r="G1605" s="81" t="s">
        <v>187</v>
      </c>
      <c r="H1605" s="81" t="s">
        <v>187</v>
      </c>
      <c r="I1605" s="81" t="s">
        <v>187</v>
      </c>
      <c r="J1605" s="81" t="s">
        <v>187</v>
      </c>
      <c r="K1605" s="81" t="s">
        <v>187</v>
      </c>
      <c r="L1605" s="81" t="s">
        <v>187</v>
      </c>
    </row>
    <row r="1606" ht="15.75" customHeight="1">
      <c r="A1606" s="262"/>
      <c r="B1606" s="262"/>
      <c r="C1606" s="263"/>
      <c r="D1606" s="262"/>
      <c r="E1606" s="81" t="s">
        <v>187</v>
      </c>
      <c r="F1606" s="81" t="s">
        <v>187</v>
      </c>
      <c r="G1606" s="81" t="s">
        <v>187</v>
      </c>
      <c r="H1606" s="81" t="s">
        <v>187</v>
      </c>
      <c r="I1606" s="81" t="s">
        <v>187</v>
      </c>
      <c r="J1606" s="81" t="s">
        <v>187</v>
      </c>
      <c r="K1606" s="81" t="s">
        <v>187</v>
      </c>
      <c r="L1606" s="81" t="s">
        <v>187</v>
      </c>
    </row>
    <row r="1607" ht="15.75" customHeight="1">
      <c r="A1607" s="262"/>
      <c r="B1607" s="262"/>
      <c r="C1607" s="263"/>
      <c r="D1607" s="262"/>
      <c r="E1607" s="81" t="s">
        <v>187</v>
      </c>
      <c r="F1607" s="81" t="s">
        <v>187</v>
      </c>
      <c r="G1607" s="81" t="s">
        <v>187</v>
      </c>
      <c r="H1607" s="81" t="s">
        <v>187</v>
      </c>
      <c r="I1607" s="81" t="s">
        <v>187</v>
      </c>
      <c r="J1607" s="81" t="s">
        <v>187</v>
      </c>
      <c r="K1607" s="81" t="s">
        <v>187</v>
      </c>
      <c r="L1607" s="81" t="s">
        <v>187</v>
      </c>
    </row>
    <row r="1608" ht="15.75" customHeight="1">
      <c r="A1608" s="262"/>
      <c r="B1608" s="262"/>
      <c r="C1608" s="263"/>
      <c r="D1608" s="262"/>
      <c r="E1608" s="81" t="s">
        <v>187</v>
      </c>
      <c r="F1608" s="81" t="s">
        <v>187</v>
      </c>
      <c r="G1608" s="81" t="s">
        <v>187</v>
      </c>
      <c r="H1608" s="81" t="s">
        <v>187</v>
      </c>
      <c r="I1608" s="81" t="s">
        <v>187</v>
      </c>
      <c r="J1608" s="81" t="s">
        <v>187</v>
      </c>
      <c r="K1608" s="81" t="s">
        <v>187</v>
      </c>
      <c r="L1608" s="81" t="s">
        <v>187</v>
      </c>
    </row>
    <row r="1609" ht="15.75" customHeight="1">
      <c r="A1609" s="262"/>
      <c r="B1609" s="262"/>
      <c r="C1609" s="263"/>
      <c r="D1609" s="262"/>
      <c r="E1609" s="81" t="s">
        <v>187</v>
      </c>
      <c r="F1609" s="81" t="s">
        <v>187</v>
      </c>
      <c r="G1609" s="81" t="s">
        <v>187</v>
      </c>
      <c r="H1609" s="81" t="s">
        <v>187</v>
      </c>
      <c r="I1609" s="81" t="s">
        <v>187</v>
      </c>
      <c r="J1609" s="81" t="s">
        <v>187</v>
      </c>
      <c r="K1609" s="81" t="s">
        <v>187</v>
      </c>
      <c r="L1609" s="81" t="s">
        <v>187</v>
      </c>
    </row>
    <row r="1610" ht="15.75" customHeight="1">
      <c r="A1610" s="262"/>
      <c r="B1610" s="262"/>
      <c r="C1610" s="263"/>
      <c r="D1610" s="262"/>
      <c r="E1610" s="81" t="s">
        <v>187</v>
      </c>
      <c r="F1610" s="81" t="s">
        <v>187</v>
      </c>
      <c r="G1610" s="81" t="s">
        <v>187</v>
      </c>
      <c r="H1610" s="81" t="s">
        <v>187</v>
      </c>
      <c r="I1610" s="81" t="s">
        <v>187</v>
      </c>
      <c r="J1610" s="81" t="s">
        <v>187</v>
      </c>
      <c r="K1610" s="81" t="s">
        <v>187</v>
      </c>
      <c r="L1610" s="81" t="s">
        <v>187</v>
      </c>
    </row>
    <row r="1611" ht="15.75" customHeight="1">
      <c r="A1611" s="262"/>
      <c r="B1611" s="262"/>
      <c r="C1611" s="263"/>
      <c r="D1611" s="262"/>
      <c r="E1611" s="81" t="s">
        <v>187</v>
      </c>
      <c r="F1611" s="81" t="s">
        <v>187</v>
      </c>
      <c r="G1611" s="81" t="s">
        <v>187</v>
      </c>
      <c r="H1611" s="81" t="s">
        <v>187</v>
      </c>
      <c r="I1611" s="81" t="s">
        <v>187</v>
      </c>
      <c r="J1611" s="81" t="s">
        <v>187</v>
      </c>
      <c r="K1611" s="81" t="s">
        <v>187</v>
      </c>
      <c r="L1611" s="81" t="s">
        <v>187</v>
      </c>
    </row>
    <row r="1612" ht="15.75" customHeight="1">
      <c r="A1612" s="262"/>
      <c r="B1612" s="262"/>
      <c r="C1612" s="263"/>
      <c r="D1612" s="262"/>
      <c r="E1612" s="81" t="s">
        <v>187</v>
      </c>
      <c r="F1612" s="81" t="s">
        <v>187</v>
      </c>
      <c r="G1612" s="81" t="s">
        <v>187</v>
      </c>
      <c r="H1612" s="81" t="s">
        <v>187</v>
      </c>
      <c r="I1612" s="81" t="s">
        <v>187</v>
      </c>
      <c r="J1612" s="81" t="s">
        <v>187</v>
      </c>
      <c r="K1612" s="81" t="s">
        <v>187</v>
      </c>
      <c r="L1612" s="81" t="s">
        <v>187</v>
      </c>
    </row>
    <row r="1613" ht="15.75" customHeight="1">
      <c r="A1613" s="262"/>
      <c r="B1613" s="262"/>
      <c r="C1613" s="263"/>
      <c r="D1613" s="262"/>
      <c r="E1613" s="81" t="s">
        <v>187</v>
      </c>
      <c r="F1613" s="81" t="s">
        <v>187</v>
      </c>
      <c r="G1613" s="81" t="s">
        <v>187</v>
      </c>
      <c r="H1613" s="81" t="s">
        <v>187</v>
      </c>
      <c r="I1613" s="81" t="s">
        <v>187</v>
      </c>
      <c r="J1613" s="81" t="s">
        <v>187</v>
      </c>
      <c r="K1613" s="81" t="s">
        <v>187</v>
      </c>
      <c r="L1613" s="81" t="s">
        <v>187</v>
      </c>
    </row>
    <row r="1614" ht="15.75" customHeight="1">
      <c r="A1614" s="262"/>
      <c r="B1614" s="262"/>
      <c r="C1614" s="263"/>
      <c r="D1614" s="262"/>
      <c r="E1614" s="81" t="s">
        <v>187</v>
      </c>
      <c r="F1614" s="81" t="s">
        <v>187</v>
      </c>
      <c r="G1614" s="81" t="s">
        <v>187</v>
      </c>
      <c r="H1614" s="81" t="s">
        <v>187</v>
      </c>
      <c r="I1614" s="81" t="s">
        <v>187</v>
      </c>
      <c r="J1614" s="81" t="s">
        <v>187</v>
      </c>
      <c r="K1614" s="81" t="s">
        <v>187</v>
      </c>
      <c r="L1614" s="81" t="s">
        <v>187</v>
      </c>
    </row>
    <row r="1615" ht="15.75" customHeight="1">
      <c r="A1615" s="262"/>
      <c r="B1615" s="262"/>
      <c r="C1615" s="263"/>
      <c r="D1615" s="262"/>
      <c r="E1615" s="81" t="s">
        <v>187</v>
      </c>
      <c r="F1615" s="81" t="s">
        <v>187</v>
      </c>
      <c r="G1615" s="81" t="s">
        <v>187</v>
      </c>
      <c r="H1615" s="81" t="s">
        <v>187</v>
      </c>
      <c r="I1615" s="81" t="s">
        <v>187</v>
      </c>
      <c r="J1615" s="81" t="s">
        <v>187</v>
      </c>
      <c r="K1615" s="81" t="s">
        <v>187</v>
      </c>
      <c r="L1615" s="81" t="s">
        <v>187</v>
      </c>
    </row>
    <row r="1616" ht="15.75" customHeight="1">
      <c r="A1616" s="262"/>
      <c r="B1616" s="262"/>
      <c r="C1616" s="263"/>
      <c r="D1616" s="262"/>
      <c r="E1616" s="81" t="s">
        <v>187</v>
      </c>
      <c r="F1616" s="81" t="s">
        <v>187</v>
      </c>
      <c r="G1616" s="81" t="s">
        <v>187</v>
      </c>
      <c r="H1616" s="81" t="s">
        <v>187</v>
      </c>
      <c r="I1616" s="81" t="s">
        <v>187</v>
      </c>
      <c r="J1616" s="81" t="s">
        <v>187</v>
      </c>
      <c r="K1616" s="81" t="s">
        <v>187</v>
      </c>
      <c r="L1616" s="81" t="s">
        <v>187</v>
      </c>
    </row>
    <row r="1617" ht="15.75" customHeight="1">
      <c r="A1617" s="262"/>
      <c r="B1617" s="262"/>
      <c r="C1617" s="263"/>
      <c r="D1617" s="262"/>
      <c r="E1617" s="81" t="s">
        <v>187</v>
      </c>
      <c r="F1617" s="81" t="s">
        <v>187</v>
      </c>
      <c r="G1617" s="81" t="s">
        <v>187</v>
      </c>
      <c r="H1617" s="81" t="s">
        <v>187</v>
      </c>
      <c r="I1617" s="81" t="s">
        <v>187</v>
      </c>
      <c r="J1617" s="81" t="s">
        <v>187</v>
      </c>
      <c r="K1617" s="81" t="s">
        <v>187</v>
      </c>
      <c r="L1617" s="81" t="s">
        <v>187</v>
      </c>
    </row>
    <row r="1618" ht="15.75" customHeight="1">
      <c r="A1618" s="262"/>
      <c r="B1618" s="262"/>
      <c r="C1618" s="263"/>
      <c r="D1618" s="262"/>
      <c r="E1618" s="81" t="s">
        <v>187</v>
      </c>
      <c r="F1618" s="81" t="s">
        <v>187</v>
      </c>
      <c r="G1618" s="81" t="s">
        <v>187</v>
      </c>
      <c r="H1618" s="81" t="s">
        <v>187</v>
      </c>
      <c r="I1618" s="81" t="s">
        <v>187</v>
      </c>
      <c r="J1618" s="81" t="s">
        <v>187</v>
      </c>
      <c r="K1618" s="81" t="s">
        <v>187</v>
      </c>
      <c r="L1618" s="81" t="s">
        <v>187</v>
      </c>
    </row>
    <row r="1619" ht="15.75" customHeight="1">
      <c r="A1619" s="262"/>
      <c r="B1619" s="262"/>
      <c r="C1619" s="263"/>
      <c r="D1619" s="262"/>
      <c r="E1619" s="81" t="s">
        <v>187</v>
      </c>
      <c r="F1619" s="81" t="s">
        <v>187</v>
      </c>
      <c r="G1619" s="81" t="s">
        <v>187</v>
      </c>
      <c r="H1619" s="81" t="s">
        <v>187</v>
      </c>
      <c r="I1619" s="81" t="s">
        <v>187</v>
      </c>
      <c r="J1619" s="81" t="s">
        <v>187</v>
      </c>
      <c r="K1619" s="81" t="s">
        <v>187</v>
      </c>
      <c r="L1619" s="81" t="s">
        <v>187</v>
      </c>
    </row>
    <row r="1620" ht="15.75" customHeight="1">
      <c r="A1620" s="262"/>
      <c r="B1620" s="262"/>
      <c r="C1620" s="263"/>
      <c r="D1620" s="262"/>
      <c r="E1620" s="81" t="s">
        <v>187</v>
      </c>
      <c r="F1620" s="81" t="s">
        <v>187</v>
      </c>
      <c r="G1620" s="81" t="s">
        <v>187</v>
      </c>
      <c r="H1620" s="81" t="s">
        <v>187</v>
      </c>
      <c r="I1620" s="81" t="s">
        <v>187</v>
      </c>
      <c r="J1620" s="81" t="s">
        <v>187</v>
      </c>
      <c r="K1620" s="81" t="s">
        <v>187</v>
      </c>
      <c r="L1620" s="81" t="s">
        <v>187</v>
      </c>
    </row>
    <row r="1621" ht="15.75" customHeight="1">
      <c r="A1621" s="262"/>
      <c r="B1621" s="262"/>
      <c r="C1621" s="263"/>
      <c r="D1621" s="262"/>
      <c r="E1621" s="81" t="s">
        <v>187</v>
      </c>
      <c r="F1621" s="81" t="s">
        <v>187</v>
      </c>
      <c r="G1621" s="81" t="s">
        <v>187</v>
      </c>
      <c r="H1621" s="81" t="s">
        <v>187</v>
      </c>
      <c r="I1621" s="81" t="s">
        <v>187</v>
      </c>
      <c r="J1621" s="81" t="s">
        <v>187</v>
      </c>
      <c r="K1621" s="81" t="s">
        <v>187</v>
      </c>
      <c r="L1621" s="81" t="s">
        <v>187</v>
      </c>
    </row>
    <row r="1622" ht="15.75" customHeight="1">
      <c r="A1622" s="262"/>
      <c r="B1622" s="262"/>
      <c r="C1622" s="263"/>
      <c r="D1622" s="262"/>
      <c r="E1622" s="81" t="s">
        <v>187</v>
      </c>
      <c r="F1622" s="81" t="s">
        <v>187</v>
      </c>
      <c r="G1622" s="81" t="s">
        <v>187</v>
      </c>
      <c r="H1622" s="81" t="s">
        <v>187</v>
      </c>
      <c r="I1622" s="81" t="s">
        <v>187</v>
      </c>
      <c r="J1622" s="81" t="s">
        <v>187</v>
      </c>
      <c r="K1622" s="81" t="s">
        <v>187</v>
      </c>
      <c r="L1622" s="81" t="s">
        <v>187</v>
      </c>
    </row>
    <row r="1623" ht="15.75" customHeight="1">
      <c r="A1623" s="262"/>
      <c r="B1623" s="262"/>
      <c r="C1623" s="263"/>
      <c r="D1623" s="262"/>
      <c r="E1623" s="81" t="s">
        <v>187</v>
      </c>
      <c r="F1623" s="81" t="s">
        <v>187</v>
      </c>
      <c r="G1623" s="81" t="s">
        <v>187</v>
      </c>
      <c r="H1623" s="81" t="s">
        <v>187</v>
      </c>
      <c r="I1623" s="81" t="s">
        <v>187</v>
      </c>
      <c r="J1623" s="81" t="s">
        <v>187</v>
      </c>
      <c r="K1623" s="81" t="s">
        <v>187</v>
      </c>
      <c r="L1623" s="81" t="s">
        <v>187</v>
      </c>
    </row>
    <row r="1624" ht="15.75" customHeight="1">
      <c r="A1624" s="262"/>
      <c r="B1624" s="262"/>
      <c r="C1624" s="263"/>
      <c r="D1624" s="262"/>
      <c r="E1624" s="81" t="s">
        <v>187</v>
      </c>
      <c r="F1624" s="81" t="s">
        <v>187</v>
      </c>
      <c r="G1624" s="81" t="s">
        <v>187</v>
      </c>
      <c r="H1624" s="81" t="s">
        <v>187</v>
      </c>
      <c r="I1624" s="81" t="s">
        <v>187</v>
      </c>
      <c r="J1624" s="81" t="s">
        <v>187</v>
      </c>
      <c r="K1624" s="81" t="s">
        <v>187</v>
      </c>
      <c r="L1624" s="81" t="s">
        <v>187</v>
      </c>
    </row>
    <row r="1625" ht="15.75" customHeight="1">
      <c r="A1625" s="262"/>
      <c r="B1625" s="262"/>
      <c r="C1625" s="263"/>
      <c r="D1625" s="262"/>
      <c r="E1625" s="81" t="s">
        <v>187</v>
      </c>
      <c r="F1625" s="81" t="s">
        <v>187</v>
      </c>
      <c r="G1625" s="81" t="s">
        <v>187</v>
      </c>
      <c r="H1625" s="81" t="s">
        <v>187</v>
      </c>
      <c r="I1625" s="81" t="s">
        <v>187</v>
      </c>
      <c r="J1625" s="81" t="s">
        <v>187</v>
      </c>
      <c r="K1625" s="81" t="s">
        <v>187</v>
      </c>
      <c r="L1625" s="81" t="s">
        <v>187</v>
      </c>
    </row>
    <row r="1626" ht="15.75" customHeight="1">
      <c r="A1626" s="262"/>
      <c r="B1626" s="262"/>
      <c r="C1626" s="263"/>
      <c r="D1626" s="262"/>
      <c r="E1626" s="81" t="s">
        <v>187</v>
      </c>
      <c r="F1626" s="81" t="s">
        <v>187</v>
      </c>
      <c r="G1626" s="81" t="s">
        <v>187</v>
      </c>
      <c r="H1626" s="81" t="s">
        <v>187</v>
      </c>
      <c r="I1626" s="81" t="s">
        <v>187</v>
      </c>
      <c r="J1626" s="81" t="s">
        <v>187</v>
      </c>
      <c r="K1626" s="81" t="s">
        <v>187</v>
      </c>
      <c r="L1626" s="81" t="s">
        <v>187</v>
      </c>
    </row>
    <row r="1627" ht="15.75" customHeight="1">
      <c r="A1627" s="262"/>
      <c r="B1627" s="262"/>
      <c r="C1627" s="263"/>
      <c r="D1627" s="262"/>
      <c r="E1627" s="81" t="s">
        <v>187</v>
      </c>
      <c r="F1627" s="81" t="s">
        <v>187</v>
      </c>
      <c r="G1627" s="81" t="s">
        <v>187</v>
      </c>
      <c r="H1627" s="81" t="s">
        <v>187</v>
      </c>
      <c r="I1627" s="81" t="s">
        <v>187</v>
      </c>
      <c r="J1627" s="81" t="s">
        <v>187</v>
      </c>
      <c r="K1627" s="81" t="s">
        <v>187</v>
      </c>
      <c r="L1627" s="81" t="s">
        <v>187</v>
      </c>
    </row>
    <row r="1628" ht="15.75" customHeight="1">
      <c r="A1628" s="262"/>
      <c r="B1628" s="262"/>
      <c r="C1628" s="263"/>
      <c r="D1628" s="262"/>
      <c r="E1628" s="81" t="s">
        <v>187</v>
      </c>
      <c r="F1628" s="81" t="s">
        <v>187</v>
      </c>
      <c r="G1628" s="81" t="s">
        <v>187</v>
      </c>
      <c r="H1628" s="81" t="s">
        <v>187</v>
      </c>
      <c r="I1628" s="81" t="s">
        <v>187</v>
      </c>
      <c r="J1628" s="81" t="s">
        <v>187</v>
      </c>
      <c r="K1628" s="81" t="s">
        <v>187</v>
      </c>
      <c r="L1628" s="81" t="s">
        <v>187</v>
      </c>
    </row>
    <row r="1629" ht="15.75" customHeight="1">
      <c r="A1629" s="262"/>
      <c r="B1629" s="262"/>
      <c r="C1629" s="263"/>
      <c r="D1629" s="262"/>
      <c r="E1629" s="81" t="s">
        <v>187</v>
      </c>
      <c r="F1629" s="81" t="s">
        <v>187</v>
      </c>
      <c r="G1629" s="81" t="s">
        <v>187</v>
      </c>
      <c r="H1629" s="81" t="s">
        <v>187</v>
      </c>
      <c r="I1629" s="81" t="s">
        <v>187</v>
      </c>
      <c r="J1629" s="81" t="s">
        <v>187</v>
      </c>
      <c r="K1629" s="81" t="s">
        <v>187</v>
      </c>
      <c r="L1629" s="81" t="s">
        <v>187</v>
      </c>
    </row>
    <row r="1630" ht="15.75" customHeight="1">
      <c r="A1630" s="262"/>
      <c r="B1630" s="262"/>
      <c r="C1630" s="263"/>
      <c r="D1630" s="262"/>
      <c r="E1630" s="81" t="s">
        <v>187</v>
      </c>
      <c r="F1630" s="81" t="s">
        <v>187</v>
      </c>
      <c r="G1630" s="81" t="s">
        <v>187</v>
      </c>
      <c r="H1630" s="81" t="s">
        <v>187</v>
      </c>
      <c r="I1630" s="81" t="s">
        <v>187</v>
      </c>
      <c r="J1630" s="81" t="s">
        <v>187</v>
      </c>
      <c r="K1630" s="81" t="s">
        <v>187</v>
      </c>
      <c r="L1630" s="81" t="s">
        <v>187</v>
      </c>
    </row>
    <row r="1631" ht="15.75" customHeight="1">
      <c r="A1631" s="262"/>
      <c r="B1631" s="262"/>
      <c r="C1631" s="263"/>
      <c r="D1631" s="262"/>
      <c r="E1631" s="81" t="s">
        <v>187</v>
      </c>
      <c r="F1631" s="81" t="s">
        <v>187</v>
      </c>
      <c r="G1631" s="81" t="s">
        <v>187</v>
      </c>
      <c r="H1631" s="81" t="s">
        <v>187</v>
      </c>
      <c r="I1631" s="81" t="s">
        <v>187</v>
      </c>
      <c r="J1631" s="81" t="s">
        <v>187</v>
      </c>
      <c r="K1631" s="81" t="s">
        <v>187</v>
      </c>
      <c r="L1631" s="81" t="s">
        <v>187</v>
      </c>
    </row>
    <row r="1632" ht="15.75" customHeight="1">
      <c r="A1632" s="262"/>
      <c r="B1632" s="262"/>
      <c r="C1632" s="263"/>
      <c r="D1632" s="262"/>
      <c r="E1632" s="81" t="s">
        <v>187</v>
      </c>
      <c r="F1632" s="81" t="s">
        <v>187</v>
      </c>
      <c r="G1632" s="81" t="s">
        <v>187</v>
      </c>
      <c r="H1632" s="81" t="s">
        <v>187</v>
      </c>
      <c r="I1632" s="81" t="s">
        <v>187</v>
      </c>
      <c r="J1632" s="81" t="s">
        <v>187</v>
      </c>
      <c r="K1632" s="81" t="s">
        <v>187</v>
      </c>
      <c r="L1632" s="81" t="s">
        <v>187</v>
      </c>
    </row>
    <row r="1633" ht="15.75" customHeight="1">
      <c r="A1633" s="262"/>
      <c r="B1633" s="262"/>
      <c r="C1633" s="263"/>
      <c r="D1633" s="262"/>
      <c r="E1633" s="81" t="s">
        <v>187</v>
      </c>
      <c r="F1633" s="81" t="s">
        <v>187</v>
      </c>
      <c r="G1633" s="81" t="s">
        <v>187</v>
      </c>
      <c r="H1633" s="81" t="s">
        <v>187</v>
      </c>
      <c r="I1633" s="81" t="s">
        <v>187</v>
      </c>
      <c r="J1633" s="81" t="s">
        <v>187</v>
      </c>
      <c r="K1633" s="81" t="s">
        <v>187</v>
      </c>
      <c r="L1633" s="81" t="s">
        <v>187</v>
      </c>
    </row>
    <row r="1634" ht="15.75" customHeight="1">
      <c r="A1634" s="262"/>
      <c r="B1634" s="262"/>
      <c r="C1634" s="263"/>
      <c r="D1634" s="262"/>
      <c r="E1634" s="81" t="s">
        <v>187</v>
      </c>
      <c r="F1634" s="81" t="s">
        <v>187</v>
      </c>
      <c r="G1634" s="81" t="s">
        <v>187</v>
      </c>
      <c r="H1634" s="81" t="s">
        <v>187</v>
      </c>
      <c r="I1634" s="81" t="s">
        <v>187</v>
      </c>
      <c r="J1634" s="81" t="s">
        <v>187</v>
      </c>
      <c r="K1634" s="81" t="s">
        <v>187</v>
      </c>
      <c r="L1634" s="81" t="s">
        <v>187</v>
      </c>
    </row>
    <row r="1635" ht="15.75" customHeight="1">
      <c r="A1635" s="262"/>
      <c r="B1635" s="262"/>
      <c r="C1635" s="263"/>
      <c r="D1635" s="262"/>
      <c r="E1635" s="81" t="s">
        <v>187</v>
      </c>
      <c r="F1635" s="81" t="s">
        <v>187</v>
      </c>
      <c r="G1635" s="81" t="s">
        <v>187</v>
      </c>
      <c r="H1635" s="81" t="s">
        <v>187</v>
      </c>
      <c r="I1635" s="81" t="s">
        <v>187</v>
      </c>
      <c r="J1635" s="81" t="s">
        <v>187</v>
      </c>
      <c r="K1635" s="81" t="s">
        <v>187</v>
      </c>
      <c r="L1635" s="81" t="s">
        <v>187</v>
      </c>
    </row>
    <row r="1636" ht="15.75" customHeight="1">
      <c r="A1636" s="262"/>
      <c r="B1636" s="262"/>
      <c r="C1636" s="263"/>
      <c r="D1636" s="262"/>
      <c r="E1636" s="81" t="s">
        <v>187</v>
      </c>
      <c r="F1636" s="81" t="s">
        <v>187</v>
      </c>
      <c r="G1636" s="81" t="s">
        <v>187</v>
      </c>
      <c r="H1636" s="81" t="s">
        <v>187</v>
      </c>
      <c r="I1636" s="81" t="s">
        <v>187</v>
      </c>
      <c r="J1636" s="81" t="s">
        <v>187</v>
      </c>
      <c r="K1636" s="81" t="s">
        <v>187</v>
      </c>
      <c r="L1636" s="81" t="s">
        <v>187</v>
      </c>
    </row>
    <row r="1637" ht="15.75" customHeight="1">
      <c r="A1637" s="262"/>
      <c r="B1637" s="262"/>
      <c r="C1637" s="263"/>
      <c r="D1637" s="262"/>
      <c r="E1637" s="81" t="s">
        <v>187</v>
      </c>
      <c r="F1637" s="81" t="s">
        <v>187</v>
      </c>
      <c r="G1637" s="81" t="s">
        <v>187</v>
      </c>
      <c r="H1637" s="81" t="s">
        <v>187</v>
      </c>
      <c r="I1637" s="81" t="s">
        <v>187</v>
      </c>
      <c r="J1637" s="81" t="s">
        <v>187</v>
      </c>
      <c r="K1637" s="81" t="s">
        <v>187</v>
      </c>
      <c r="L1637" s="81" t="s">
        <v>187</v>
      </c>
    </row>
    <row r="1638" ht="15.75" customHeight="1">
      <c r="A1638" s="262"/>
      <c r="B1638" s="262"/>
      <c r="C1638" s="263"/>
      <c r="D1638" s="262"/>
      <c r="E1638" s="81" t="s">
        <v>187</v>
      </c>
      <c r="F1638" s="81" t="s">
        <v>187</v>
      </c>
      <c r="G1638" s="81" t="s">
        <v>187</v>
      </c>
      <c r="H1638" s="81" t="s">
        <v>187</v>
      </c>
      <c r="I1638" s="81" t="s">
        <v>187</v>
      </c>
      <c r="J1638" s="81" t="s">
        <v>187</v>
      </c>
      <c r="K1638" s="81" t="s">
        <v>187</v>
      </c>
      <c r="L1638" s="81" t="s">
        <v>187</v>
      </c>
    </row>
    <row r="1639" ht="15.75" customHeight="1">
      <c r="A1639" s="262"/>
      <c r="B1639" s="262"/>
      <c r="C1639" s="263"/>
      <c r="D1639" s="262"/>
      <c r="E1639" s="81" t="s">
        <v>187</v>
      </c>
      <c r="F1639" s="81" t="s">
        <v>187</v>
      </c>
      <c r="G1639" s="81" t="s">
        <v>187</v>
      </c>
      <c r="H1639" s="81" t="s">
        <v>187</v>
      </c>
      <c r="I1639" s="81" t="s">
        <v>187</v>
      </c>
      <c r="J1639" s="81" t="s">
        <v>187</v>
      </c>
      <c r="K1639" s="81" t="s">
        <v>187</v>
      </c>
      <c r="L1639" s="81" t="s">
        <v>187</v>
      </c>
    </row>
    <row r="1640" ht="15.75" customHeight="1">
      <c r="A1640" s="262"/>
      <c r="B1640" s="262"/>
      <c r="C1640" s="263"/>
      <c r="D1640" s="262"/>
      <c r="E1640" s="81" t="s">
        <v>187</v>
      </c>
      <c r="F1640" s="81" t="s">
        <v>187</v>
      </c>
      <c r="G1640" s="81" t="s">
        <v>187</v>
      </c>
      <c r="H1640" s="81" t="s">
        <v>187</v>
      </c>
      <c r="I1640" s="81" t="s">
        <v>187</v>
      </c>
      <c r="J1640" s="81" t="s">
        <v>187</v>
      </c>
      <c r="K1640" s="81" t="s">
        <v>187</v>
      </c>
      <c r="L1640" s="81" t="s">
        <v>187</v>
      </c>
    </row>
    <row r="1641" ht="15.75" customHeight="1">
      <c r="A1641" s="262"/>
      <c r="B1641" s="262"/>
      <c r="C1641" s="263"/>
      <c r="D1641" s="262"/>
      <c r="E1641" s="81" t="s">
        <v>187</v>
      </c>
      <c r="F1641" s="81" t="s">
        <v>187</v>
      </c>
      <c r="G1641" s="81" t="s">
        <v>187</v>
      </c>
      <c r="H1641" s="81" t="s">
        <v>187</v>
      </c>
      <c r="I1641" s="81" t="s">
        <v>187</v>
      </c>
      <c r="J1641" s="81" t="s">
        <v>187</v>
      </c>
      <c r="K1641" s="81" t="s">
        <v>187</v>
      </c>
      <c r="L1641" s="81" t="s">
        <v>187</v>
      </c>
    </row>
    <row r="1642" ht="15.75" customHeight="1">
      <c r="A1642" s="262"/>
      <c r="B1642" s="262"/>
      <c r="C1642" s="263"/>
      <c r="D1642" s="262"/>
      <c r="E1642" s="81" t="s">
        <v>187</v>
      </c>
      <c r="F1642" s="81" t="s">
        <v>187</v>
      </c>
      <c r="G1642" s="81" t="s">
        <v>187</v>
      </c>
      <c r="H1642" s="81" t="s">
        <v>187</v>
      </c>
      <c r="I1642" s="81" t="s">
        <v>187</v>
      </c>
      <c r="J1642" s="81" t="s">
        <v>187</v>
      </c>
      <c r="K1642" s="81" t="s">
        <v>187</v>
      </c>
      <c r="L1642" s="81" t="s">
        <v>187</v>
      </c>
    </row>
    <row r="1643" ht="15.75" customHeight="1">
      <c r="A1643" s="262"/>
      <c r="B1643" s="262"/>
      <c r="C1643" s="263"/>
      <c r="D1643" s="262"/>
      <c r="E1643" s="81" t="s">
        <v>187</v>
      </c>
      <c r="F1643" s="81" t="s">
        <v>187</v>
      </c>
      <c r="G1643" s="81" t="s">
        <v>187</v>
      </c>
      <c r="H1643" s="81" t="s">
        <v>187</v>
      </c>
      <c r="I1643" s="81" t="s">
        <v>187</v>
      </c>
      <c r="J1643" s="81" t="s">
        <v>187</v>
      </c>
      <c r="K1643" s="81" t="s">
        <v>187</v>
      </c>
      <c r="L1643" s="81" t="s">
        <v>187</v>
      </c>
    </row>
    <row r="1644" ht="15.75" customHeight="1">
      <c r="A1644" s="262"/>
      <c r="B1644" s="262"/>
      <c r="C1644" s="263"/>
      <c r="D1644" s="262"/>
      <c r="E1644" s="81" t="s">
        <v>187</v>
      </c>
      <c r="F1644" s="81" t="s">
        <v>187</v>
      </c>
      <c r="G1644" s="81" t="s">
        <v>187</v>
      </c>
      <c r="H1644" s="81" t="s">
        <v>187</v>
      </c>
      <c r="I1644" s="81" t="s">
        <v>187</v>
      </c>
      <c r="J1644" s="81" t="s">
        <v>187</v>
      </c>
      <c r="K1644" s="81" t="s">
        <v>187</v>
      </c>
      <c r="L1644" s="81" t="s">
        <v>187</v>
      </c>
    </row>
    <row r="1645" ht="15.75" customHeight="1">
      <c r="A1645" s="262"/>
      <c r="B1645" s="262"/>
      <c r="C1645" s="263"/>
      <c r="D1645" s="262"/>
      <c r="E1645" s="81" t="s">
        <v>187</v>
      </c>
      <c r="F1645" s="81" t="s">
        <v>187</v>
      </c>
      <c r="G1645" s="81" t="s">
        <v>187</v>
      </c>
      <c r="H1645" s="81" t="s">
        <v>187</v>
      </c>
      <c r="I1645" s="81" t="s">
        <v>187</v>
      </c>
      <c r="J1645" s="81" t="s">
        <v>187</v>
      </c>
      <c r="K1645" s="81" t="s">
        <v>187</v>
      </c>
      <c r="L1645" s="81" t="s">
        <v>187</v>
      </c>
    </row>
    <row r="1646" ht="15.75" customHeight="1">
      <c r="A1646" s="262"/>
      <c r="B1646" s="262"/>
      <c r="C1646" s="263"/>
      <c r="D1646" s="262"/>
      <c r="E1646" s="81" t="s">
        <v>187</v>
      </c>
      <c r="F1646" s="81" t="s">
        <v>187</v>
      </c>
      <c r="G1646" s="81" t="s">
        <v>187</v>
      </c>
      <c r="H1646" s="81" t="s">
        <v>187</v>
      </c>
      <c r="I1646" s="81" t="s">
        <v>187</v>
      </c>
      <c r="J1646" s="81" t="s">
        <v>187</v>
      </c>
      <c r="K1646" s="81" t="s">
        <v>187</v>
      </c>
      <c r="L1646" s="81" t="s">
        <v>187</v>
      </c>
    </row>
    <row r="1647" ht="15.75" customHeight="1">
      <c r="A1647" s="262"/>
      <c r="B1647" s="262"/>
      <c r="C1647" s="263"/>
      <c r="D1647" s="262"/>
      <c r="E1647" s="81" t="s">
        <v>187</v>
      </c>
      <c r="F1647" s="81" t="s">
        <v>187</v>
      </c>
      <c r="G1647" s="81" t="s">
        <v>187</v>
      </c>
      <c r="H1647" s="81" t="s">
        <v>187</v>
      </c>
      <c r="I1647" s="81" t="s">
        <v>187</v>
      </c>
      <c r="J1647" s="81" t="s">
        <v>187</v>
      </c>
      <c r="K1647" s="81" t="s">
        <v>187</v>
      </c>
      <c r="L1647" s="81" t="s">
        <v>187</v>
      </c>
    </row>
    <row r="1648" ht="15.75" customHeight="1">
      <c r="A1648" s="262"/>
      <c r="B1648" s="262"/>
      <c r="C1648" s="263"/>
      <c r="D1648" s="262"/>
      <c r="E1648" s="81" t="s">
        <v>187</v>
      </c>
      <c r="F1648" s="81" t="s">
        <v>187</v>
      </c>
      <c r="G1648" s="81" t="s">
        <v>187</v>
      </c>
      <c r="H1648" s="81" t="s">
        <v>187</v>
      </c>
      <c r="I1648" s="81" t="s">
        <v>187</v>
      </c>
      <c r="J1648" s="81" t="s">
        <v>187</v>
      </c>
      <c r="K1648" s="81" t="s">
        <v>187</v>
      </c>
      <c r="L1648" s="81" t="s">
        <v>187</v>
      </c>
    </row>
    <row r="1649" ht="15.75" customHeight="1">
      <c r="A1649" s="262"/>
      <c r="B1649" s="262"/>
      <c r="C1649" s="263"/>
      <c r="D1649" s="262"/>
      <c r="E1649" s="81" t="s">
        <v>187</v>
      </c>
      <c r="F1649" s="81" t="s">
        <v>187</v>
      </c>
      <c r="G1649" s="81" t="s">
        <v>187</v>
      </c>
      <c r="H1649" s="81" t="s">
        <v>187</v>
      </c>
      <c r="I1649" s="81" t="s">
        <v>187</v>
      </c>
      <c r="J1649" s="81" t="s">
        <v>187</v>
      </c>
      <c r="K1649" s="81" t="s">
        <v>187</v>
      </c>
      <c r="L1649" s="81" t="s">
        <v>187</v>
      </c>
    </row>
    <row r="1650" ht="15.75" customHeight="1">
      <c r="A1650" s="262"/>
      <c r="B1650" s="262"/>
      <c r="C1650" s="263"/>
      <c r="D1650" s="262"/>
      <c r="E1650" s="81" t="s">
        <v>187</v>
      </c>
      <c r="F1650" s="81" t="s">
        <v>187</v>
      </c>
      <c r="G1650" s="81" t="s">
        <v>187</v>
      </c>
      <c r="H1650" s="81" t="s">
        <v>187</v>
      </c>
      <c r="I1650" s="81" t="s">
        <v>187</v>
      </c>
      <c r="J1650" s="81" t="s">
        <v>187</v>
      </c>
      <c r="K1650" s="81" t="s">
        <v>187</v>
      </c>
      <c r="L1650" s="81" t="s">
        <v>187</v>
      </c>
    </row>
    <row r="1651" ht="15.75" customHeight="1">
      <c r="A1651" s="262"/>
      <c r="B1651" s="262"/>
      <c r="C1651" s="263"/>
      <c r="D1651" s="262"/>
      <c r="E1651" s="81" t="s">
        <v>187</v>
      </c>
      <c r="F1651" s="81" t="s">
        <v>187</v>
      </c>
      <c r="G1651" s="81" t="s">
        <v>187</v>
      </c>
      <c r="H1651" s="81" t="s">
        <v>187</v>
      </c>
      <c r="I1651" s="81" t="s">
        <v>187</v>
      </c>
      <c r="J1651" s="81" t="s">
        <v>187</v>
      </c>
      <c r="K1651" s="81" t="s">
        <v>187</v>
      </c>
      <c r="L1651" s="81" t="s">
        <v>187</v>
      </c>
    </row>
    <row r="1652" ht="15.75" customHeight="1">
      <c r="A1652" s="262"/>
      <c r="B1652" s="262"/>
      <c r="C1652" s="263"/>
      <c r="D1652" s="262"/>
      <c r="E1652" s="81" t="s">
        <v>187</v>
      </c>
      <c r="F1652" s="81" t="s">
        <v>187</v>
      </c>
      <c r="G1652" s="81" t="s">
        <v>187</v>
      </c>
      <c r="H1652" s="81" t="s">
        <v>187</v>
      </c>
      <c r="I1652" s="81" t="s">
        <v>187</v>
      </c>
      <c r="J1652" s="81" t="s">
        <v>187</v>
      </c>
      <c r="K1652" s="81" t="s">
        <v>187</v>
      </c>
      <c r="L1652" s="81" t="s">
        <v>187</v>
      </c>
    </row>
    <row r="1653" ht="15.75" customHeight="1">
      <c r="A1653" s="262"/>
      <c r="B1653" s="262"/>
      <c r="C1653" s="263"/>
      <c r="D1653" s="262"/>
      <c r="E1653" s="81" t="s">
        <v>187</v>
      </c>
      <c r="F1653" s="81" t="s">
        <v>187</v>
      </c>
      <c r="G1653" s="81" t="s">
        <v>187</v>
      </c>
      <c r="H1653" s="81" t="s">
        <v>187</v>
      </c>
      <c r="I1653" s="81" t="s">
        <v>187</v>
      </c>
      <c r="J1653" s="81" t="s">
        <v>187</v>
      </c>
      <c r="K1653" s="81" t="s">
        <v>187</v>
      </c>
      <c r="L1653" s="81" t="s">
        <v>187</v>
      </c>
    </row>
    <row r="1654" ht="15.75" customHeight="1">
      <c r="A1654" s="262"/>
      <c r="B1654" s="262"/>
      <c r="C1654" s="263"/>
      <c r="D1654" s="262"/>
      <c r="E1654" s="81" t="s">
        <v>187</v>
      </c>
      <c r="F1654" s="81" t="s">
        <v>187</v>
      </c>
      <c r="G1654" s="81" t="s">
        <v>187</v>
      </c>
      <c r="H1654" s="81" t="s">
        <v>187</v>
      </c>
      <c r="I1654" s="81" t="s">
        <v>187</v>
      </c>
      <c r="J1654" s="81" t="s">
        <v>187</v>
      </c>
      <c r="K1654" s="81" t="s">
        <v>187</v>
      </c>
      <c r="L1654" s="81" t="s">
        <v>187</v>
      </c>
    </row>
    <row r="1655" ht="15.75" customHeight="1">
      <c r="A1655" s="262"/>
      <c r="B1655" s="262"/>
      <c r="C1655" s="263"/>
      <c r="D1655" s="262"/>
      <c r="E1655" s="81" t="s">
        <v>187</v>
      </c>
      <c r="F1655" s="81" t="s">
        <v>187</v>
      </c>
      <c r="G1655" s="81" t="s">
        <v>187</v>
      </c>
      <c r="H1655" s="81" t="s">
        <v>187</v>
      </c>
      <c r="I1655" s="81" t="s">
        <v>187</v>
      </c>
      <c r="J1655" s="81" t="s">
        <v>187</v>
      </c>
      <c r="K1655" s="81" t="s">
        <v>187</v>
      </c>
      <c r="L1655" s="81" t="s">
        <v>187</v>
      </c>
    </row>
    <row r="1656" ht="15.75" customHeight="1">
      <c r="A1656" s="262"/>
      <c r="B1656" s="262"/>
      <c r="C1656" s="263"/>
      <c r="D1656" s="262"/>
      <c r="E1656" s="81" t="s">
        <v>187</v>
      </c>
      <c r="F1656" s="81" t="s">
        <v>187</v>
      </c>
      <c r="G1656" s="81" t="s">
        <v>187</v>
      </c>
      <c r="H1656" s="81" t="s">
        <v>187</v>
      </c>
      <c r="I1656" s="81" t="s">
        <v>187</v>
      </c>
      <c r="J1656" s="81" t="s">
        <v>187</v>
      </c>
      <c r="K1656" s="81" t="s">
        <v>187</v>
      </c>
      <c r="L1656" s="81" t="s">
        <v>187</v>
      </c>
    </row>
    <row r="1657" ht="15.75" customHeight="1">
      <c r="A1657" s="262"/>
      <c r="B1657" s="262"/>
      <c r="C1657" s="263"/>
      <c r="D1657" s="262"/>
      <c r="E1657" s="81" t="s">
        <v>187</v>
      </c>
      <c r="F1657" s="81" t="s">
        <v>187</v>
      </c>
      <c r="G1657" s="81" t="s">
        <v>187</v>
      </c>
      <c r="H1657" s="81" t="s">
        <v>187</v>
      </c>
      <c r="I1657" s="81" t="s">
        <v>187</v>
      </c>
      <c r="J1657" s="81" t="s">
        <v>187</v>
      </c>
      <c r="K1657" s="81" t="s">
        <v>187</v>
      </c>
      <c r="L1657" s="81" t="s">
        <v>187</v>
      </c>
    </row>
    <row r="1658" ht="15.75" customHeight="1">
      <c r="A1658" s="262"/>
      <c r="B1658" s="262"/>
      <c r="C1658" s="263"/>
      <c r="D1658" s="262"/>
      <c r="E1658" s="81" t="s">
        <v>187</v>
      </c>
      <c r="F1658" s="81" t="s">
        <v>187</v>
      </c>
      <c r="G1658" s="81" t="s">
        <v>187</v>
      </c>
      <c r="H1658" s="81" t="s">
        <v>187</v>
      </c>
      <c r="I1658" s="81" t="s">
        <v>187</v>
      </c>
      <c r="J1658" s="81" t="s">
        <v>187</v>
      </c>
      <c r="K1658" s="81" t="s">
        <v>187</v>
      </c>
      <c r="L1658" s="81" t="s">
        <v>187</v>
      </c>
    </row>
    <row r="1659" ht="15.75" customHeight="1">
      <c r="A1659" s="262"/>
      <c r="B1659" s="262"/>
      <c r="C1659" s="263"/>
      <c r="D1659" s="262"/>
      <c r="E1659" s="81" t="s">
        <v>187</v>
      </c>
      <c r="F1659" s="81" t="s">
        <v>187</v>
      </c>
      <c r="G1659" s="81" t="s">
        <v>187</v>
      </c>
      <c r="H1659" s="81" t="s">
        <v>187</v>
      </c>
      <c r="I1659" s="81" t="s">
        <v>187</v>
      </c>
      <c r="J1659" s="81" t="s">
        <v>187</v>
      </c>
      <c r="K1659" s="81" t="s">
        <v>187</v>
      </c>
      <c r="L1659" s="81" t="s">
        <v>187</v>
      </c>
    </row>
    <row r="1660" ht="15.75" customHeight="1">
      <c r="A1660" s="262"/>
      <c r="B1660" s="262"/>
      <c r="C1660" s="263"/>
      <c r="D1660" s="262"/>
      <c r="E1660" s="81" t="s">
        <v>187</v>
      </c>
      <c r="F1660" s="81" t="s">
        <v>187</v>
      </c>
      <c r="G1660" s="81" t="s">
        <v>187</v>
      </c>
      <c r="H1660" s="81" t="s">
        <v>187</v>
      </c>
      <c r="I1660" s="81" t="s">
        <v>187</v>
      </c>
      <c r="J1660" s="81" t="s">
        <v>187</v>
      </c>
      <c r="K1660" s="81" t="s">
        <v>187</v>
      </c>
      <c r="L1660" s="81" t="s">
        <v>187</v>
      </c>
    </row>
    <row r="1661" ht="15.75" customHeight="1">
      <c r="A1661" s="262"/>
      <c r="B1661" s="262"/>
      <c r="C1661" s="263"/>
      <c r="D1661" s="262"/>
      <c r="E1661" s="81" t="s">
        <v>187</v>
      </c>
      <c r="F1661" s="81" t="s">
        <v>187</v>
      </c>
      <c r="G1661" s="81" t="s">
        <v>187</v>
      </c>
      <c r="H1661" s="81" t="s">
        <v>187</v>
      </c>
      <c r="I1661" s="81" t="s">
        <v>187</v>
      </c>
      <c r="J1661" s="81" t="s">
        <v>187</v>
      </c>
      <c r="K1661" s="81" t="s">
        <v>187</v>
      </c>
      <c r="L1661" s="81" t="s">
        <v>187</v>
      </c>
    </row>
    <row r="1662" ht="15.75" customHeight="1">
      <c r="A1662" s="262"/>
      <c r="B1662" s="262"/>
      <c r="C1662" s="263"/>
      <c r="D1662" s="262"/>
      <c r="E1662" s="81" t="s">
        <v>187</v>
      </c>
      <c r="F1662" s="81" t="s">
        <v>187</v>
      </c>
      <c r="G1662" s="81" t="s">
        <v>187</v>
      </c>
      <c r="H1662" s="81" t="s">
        <v>187</v>
      </c>
      <c r="I1662" s="81" t="s">
        <v>187</v>
      </c>
      <c r="J1662" s="81" t="s">
        <v>187</v>
      </c>
      <c r="K1662" s="81" t="s">
        <v>187</v>
      </c>
      <c r="L1662" s="81" t="s">
        <v>187</v>
      </c>
    </row>
    <row r="1663" ht="15.75" customHeight="1">
      <c r="A1663" s="262"/>
      <c r="B1663" s="262"/>
      <c r="C1663" s="263"/>
      <c r="D1663" s="262"/>
      <c r="E1663" s="81" t="s">
        <v>187</v>
      </c>
      <c r="F1663" s="81" t="s">
        <v>187</v>
      </c>
      <c r="G1663" s="81" t="s">
        <v>187</v>
      </c>
      <c r="H1663" s="81" t="s">
        <v>187</v>
      </c>
      <c r="I1663" s="81" t="s">
        <v>187</v>
      </c>
      <c r="J1663" s="81" t="s">
        <v>187</v>
      </c>
      <c r="K1663" s="81" t="s">
        <v>187</v>
      </c>
      <c r="L1663" s="81" t="s">
        <v>187</v>
      </c>
    </row>
    <row r="1664" ht="15.75" customHeight="1">
      <c r="A1664" s="262"/>
      <c r="B1664" s="262"/>
      <c r="C1664" s="263"/>
      <c r="D1664" s="262"/>
      <c r="E1664" s="81" t="s">
        <v>187</v>
      </c>
      <c r="F1664" s="81" t="s">
        <v>187</v>
      </c>
      <c r="G1664" s="81" t="s">
        <v>187</v>
      </c>
      <c r="H1664" s="81" t="s">
        <v>187</v>
      </c>
      <c r="I1664" s="81" t="s">
        <v>187</v>
      </c>
      <c r="J1664" s="81" t="s">
        <v>187</v>
      </c>
      <c r="K1664" s="81" t="s">
        <v>187</v>
      </c>
      <c r="L1664" s="81" t="s">
        <v>187</v>
      </c>
    </row>
    <row r="1665" ht="15.75" customHeight="1">
      <c r="A1665" s="262"/>
      <c r="B1665" s="262"/>
      <c r="C1665" s="263"/>
      <c r="D1665" s="262"/>
      <c r="E1665" s="81" t="s">
        <v>187</v>
      </c>
      <c r="F1665" s="81" t="s">
        <v>187</v>
      </c>
      <c r="G1665" s="81" t="s">
        <v>187</v>
      </c>
      <c r="H1665" s="81" t="s">
        <v>187</v>
      </c>
      <c r="I1665" s="81" t="s">
        <v>187</v>
      </c>
      <c r="J1665" s="81" t="s">
        <v>187</v>
      </c>
      <c r="K1665" s="81" t="s">
        <v>187</v>
      </c>
      <c r="L1665" s="81" t="s">
        <v>187</v>
      </c>
    </row>
    <row r="1666" ht="15.75" customHeight="1">
      <c r="A1666" s="262"/>
      <c r="B1666" s="262"/>
      <c r="C1666" s="263"/>
      <c r="D1666" s="262"/>
      <c r="E1666" s="81" t="s">
        <v>187</v>
      </c>
      <c r="F1666" s="81" t="s">
        <v>187</v>
      </c>
      <c r="G1666" s="81" t="s">
        <v>187</v>
      </c>
      <c r="H1666" s="81" t="s">
        <v>187</v>
      </c>
      <c r="I1666" s="81" t="s">
        <v>187</v>
      </c>
      <c r="J1666" s="81" t="s">
        <v>187</v>
      </c>
      <c r="K1666" s="81" t="s">
        <v>187</v>
      </c>
      <c r="L1666" s="81" t="s">
        <v>187</v>
      </c>
    </row>
    <row r="1667" ht="15.75" customHeight="1">
      <c r="A1667" s="262"/>
      <c r="B1667" s="262"/>
      <c r="C1667" s="263"/>
      <c r="D1667" s="262"/>
      <c r="E1667" s="81" t="s">
        <v>187</v>
      </c>
      <c r="F1667" s="81" t="s">
        <v>187</v>
      </c>
      <c r="G1667" s="81" t="s">
        <v>187</v>
      </c>
      <c r="H1667" s="81" t="s">
        <v>187</v>
      </c>
      <c r="I1667" s="81" t="s">
        <v>187</v>
      </c>
      <c r="J1667" s="81" t="s">
        <v>187</v>
      </c>
      <c r="K1667" s="81" t="s">
        <v>187</v>
      </c>
      <c r="L1667" s="81" t="s">
        <v>187</v>
      </c>
    </row>
    <row r="1668" ht="15.75" customHeight="1">
      <c r="A1668" s="262"/>
      <c r="B1668" s="262"/>
      <c r="C1668" s="263"/>
      <c r="D1668" s="262"/>
      <c r="E1668" s="81" t="s">
        <v>187</v>
      </c>
      <c r="F1668" s="81" t="s">
        <v>187</v>
      </c>
      <c r="G1668" s="81" t="s">
        <v>187</v>
      </c>
      <c r="H1668" s="81" t="s">
        <v>187</v>
      </c>
      <c r="I1668" s="81" t="s">
        <v>187</v>
      </c>
      <c r="J1668" s="81" t="s">
        <v>187</v>
      </c>
      <c r="K1668" s="81" t="s">
        <v>187</v>
      </c>
      <c r="L1668" s="81" t="s">
        <v>187</v>
      </c>
    </row>
    <row r="1669" ht="15.75" customHeight="1">
      <c r="A1669" s="262"/>
      <c r="B1669" s="262"/>
      <c r="C1669" s="263"/>
      <c r="D1669" s="262"/>
      <c r="E1669" s="81" t="s">
        <v>187</v>
      </c>
      <c r="F1669" s="81" t="s">
        <v>187</v>
      </c>
      <c r="G1669" s="81" t="s">
        <v>187</v>
      </c>
      <c r="H1669" s="81" t="s">
        <v>187</v>
      </c>
      <c r="I1669" s="81" t="s">
        <v>187</v>
      </c>
      <c r="J1669" s="81" t="s">
        <v>187</v>
      </c>
      <c r="K1669" s="81" t="s">
        <v>187</v>
      </c>
      <c r="L1669" s="81" t="s">
        <v>187</v>
      </c>
    </row>
    <row r="1670" ht="15.75" customHeight="1">
      <c r="A1670" s="262"/>
      <c r="B1670" s="262"/>
      <c r="C1670" s="263"/>
      <c r="D1670" s="262"/>
      <c r="E1670" s="81" t="s">
        <v>187</v>
      </c>
      <c r="F1670" s="81" t="s">
        <v>187</v>
      </c>
      <c r="G1670" s="81" t="s">
        <v>187</v>
      </c>
      <c r="H1670" s="81" t="s">
        <v>187</v>
      </c>
      <c r="I1670" s="81" t="s">
        <v>187</v>
      </c>
      <c r="J1670" s="81" t="s">
        <v>187</v>
      </c>
      <c r="K1670" s="81" t="s">
        <v>187</v>
      </c>
      <c r="L1670" s="81" t="s">
        <v>187</v>
      </c>
    </row>
    <row r="1671" ht="15.75" customHeight="1">
      <c r="A1671" s="262"/>
      <c r="B1671" s="262"/>
      <c r="C1671" s="263"/>
      <c r="D1671" s="262"/>
      <c r="E1671" s="81" t="s">
        <v>187</v>
      </c>
      <c r="F1671" s="81" t="s">
        <v>187</v>
      </c>
      <c r="G1671" s="81" t="s">
        <v>187</v>
      </c>
      <c r="H1671" s="81" t="s">
        <v>187</v>
      </c>
      <c r="I1671" s="81" t="s">
        <v>187</v>
      </c>
      <c r="J1671" s="81" t="s">
        <v>187</v>
      </c>
      <c r="K1671" s="81" t="s">
        <v>187</v>
      </c>
      <c r="L1671" s="81" t="s">
        <v>187</v>
      </c>
    </row>
    <row r="1672" ht="15.75" customHeight="1">
      <c r="A1672" s="262"/>
      <c r="B1672" s="262"/>
      <c r="C1672" s="263"/>
      <c r="D1672" s="262"/>
      <c r="E1672" s="81" t="s">
        <v>187</v>
      </c>
      <c r="F1672" s="81" t="s">
        <v>187</v>
      </c>
      <c r="G1672" s="81" t="s">
        <v>187</v>
      </c>
      <c r="H1672" s="81" t="s">
        <v>187</v>
      </c>
      <c r="I1672" s="81" t="s">
        <v>187</v>
      </c>
      <c r="J1672" s="81" t="s">
        <v>187</v>
      </c>
      <c r="K1672" s="81" t="s">
        <v>187</v>
      </c>
      <c r="L1672" s="81" t="s">
        <v>187</v>
      </c>
    </row>
    <row r="1673" ht="15.75" customHeight="1">
      <c r="A1673" s="262"/>
      <c r="B1673" s="262"/>
      <c r="C1673" s="263"/>
      <c r="D1673" s="262"/>
      <c r="E1673" s="81" t="s">
        <v>187</v>
      </c>
      <c r="F1673" s="81" t="s">
        <v>187</v>
      </c>
      <c r="G1673" s="81" t="s">
        <v>187</v>
      </c>
      <c r="H1673" s="81" t="s">
        <v>187</v>
      </c>
      <c r="I1673" s="81" t="s">
        <v>187</v>
      </c>
      <c r="J1673" s="81" t="s">
        <v>187</v>
      </c>
      <c r="K1673" s="81" t="s">
        <v>187</v>
      </c>
      <c r="L1673" s="81" t="s">
        <v>187</v>
      </c>
    </row>
    <row r="1674" ht="15.75" customHeight="1">
      <c r="A1674" s="262"/>
      <c r="B1674" s="262"/>
      <c r="C1674" s="263"/>
      <c r="D1674" s="262"/>
      <c r="E1674" s="81" t="s">
        <v>187</v>
      </c>
      <c r="F1674" s="81" t="s">
        <v>187</v>
      </c>
      <c r="G1674" s="81" t="s">
        <v>187</v>
      </c>
      <c r="H1674" s="81" t="s">
        <v>187</v>
      </c>
      <c r="I1674" s="81" t="s">
        <v>187</v>
      </c>
      <c r="J1674" s="81" t="s">
        <v>187</v>
      </c>
      <c r="K1674" s="81" t="s">
        <v>187</v>
      </c>
      <c r="L1674" s="81" t="s">
        <v>187</v>
      </c>
    </row>
    <row r="1675" ht="15.75" customHeight="1">
      <c r="A1675" s="262"/>
      <c r="B1675" s="262"/>
      <c r="C1675" s="263"/>
      <c r="D1675" s="262"/>
      <c r="E1675" s="81" t="s">
        <v>187</v>
      </c>
      <c r="F1675" s="81" t="s">
        <v>187</v>
      </c>
      <c r="G1675" s="81" t="s">
        <v>187</v>
      </c>
      <c r="H1675" s="81" t="s">
        <v>187</v>
      </c>
      <c r="I1675" s="81" t="s">
        <v>187</v>
      </c>
      <c r="J1675" s="81" t="s">
        <v>187</v>
      </c>
      <c r="K1675" s="81" t="s">
        <v>187</v>
      </c>
      <c r="L1675" s="81" t="s">
        <v>187</v>
      </c>
    </row>
    <row r="1676" ht="15.75" customHeight="1">
      <c r="A1676" s="262"/>
      <c r="B1676" s="262"/>
      <c r="C1676" s="263"/>
      <c r="D1676" s="262"/>
      <c r="E1676" s="81" t="s">
        <v>187</v>
      </c>
      <c r="F1676" s="81" t="s">
        <v>187</v>
      </c>
      <c r="G1676" s="81" t="s">
        <v>187</v>
      </c>
      <c r="H1676" s="81" t="s">
        <v>187</v>
      </c>
      <c r="I1676" s="81" t="s">
        <v>187</v>
      </c>
      <c r="J1676" s="81" t="s">
        <v>187</v>
      </c>
      <c r="K1676" s="81" t="s">
        <v>187</v>
      </c>
      <c r="L1676" s="81" t="s">
        <v>187</v>
      </c>
    </row>
    <row r="1677" ht="15.75" customHeight="1">
      <c r="A1677" s="262"/>
      <c r="B1677" s="262"/>
      <c r="C1677" s="263"/>
      <c r="D1677" s="262"/>
      <c r="E1677" s="81" t="s">
        <v>187</v>
      </c>
      <c r="F1677" s="81" t="s">
        <v>187</v>
      </c>
      <c r="G1677" s="81" t="s">
        <v>187</v>
      </c>
      <c r="H1677" s="81" t="s">
        <v>187</v>
      </c>
      <c r="I1677" s="81" t="s">
        <v>187</v>
      </c>
      <c r="J1677" s="81" t="s">
        <v>187</v>
      </c>
      <c r="K1677" s="81" t="s">
        <v>187</v>
      </c>
      <c r="L1677" s="81" t="s">
        <v>187</v>
      </c>
    </row>
    <row r="1678" ht="15.75" customHeight="1">
      <c r="A1678" s="262"/>
      <c r="B1678" s="262"/>
      <c r="C1678" s="263"/>
      <c r="D1678" s="262"/>
      <c r="E1678" s="81" t="s">
        <v>187</v>
      </c>
      <c r="F1678" s="81" t="s">
        <v>187</v>
      </c>
      <c r="G1678" s="81" t="s">
        <v>187</v>
      </c>
      <c r="H1678" s="81" t="s">
        <v>187</v>
      </c>
      <c r="I1678" s="81" t="s">
        <v>187</v>
      </c>
      <c r="J1678" s="81" t="s">
        <v>187</v>
      </c>
      <c r="K1678" s="81" t="s">
        <v>187</v>
      </c>
      <c r="L1678" s="81" t="s">
        <v>187</v>
      </c>
    </row>
    <row r="1679" ht="15.75" customHeight="1">
      <c r="A1679" s="262"/>
      <c r="B1679" s="262"/>
      <c r="C1679" s="263"/>
      <c r="D1679" s="262"/>
      <c r="E1679" s="81" t="s">
        <v>187</v>
      </c>
      <c r="F1679" s="81" t="s">
        <v>187</v>
      </c>
      <c r="G1679" s="81" t="s">
        <v>187</v>
      </c>
      <c r="H1679" s="81" t="s">
        <v>187</v>
      </c>
      <c r="I1679" s="81" t="s">
        <v>187</v>
      </c>
      <c r="J1679" s="81" t="s">
        <v>187</v>
      </c>
      <c r="K1679" s="81" t="s">
        <v>187</v>
      </c>
      <c r="L1679" s="81" t="s">
        <v>187</v>
      </c>
    </row>
    <row r="1680" ht="15.75" customHeight="1">
      <c r="A1680" s="262"/>
      <c r="B1680" s="262"/>
      <c r="C1680" s="263"/>
      <c r="D1680" s="262"/>
      <c r="E1680" s="81" t="s">
        <v>187</v>
      </c>
      <c r="F1680" s="81" t="s">
        <v>187</v>
      </c>
      <c r="G1680" s="81" t="s">
        <v>187</v>
      </c>
      <c r="H1680" s="81" t="s">
        <v>187</v>
      </c>
      <c r="I1680" s="81" t="s">
        <v>187</v>
      </c>
      <c r="J1680" s="81" t="s">
        <v>187</v>
      </c>
      <c r="K1680" s="81" t="s">
        <v>187</v>
      </c>
      <c r="L1680" s="81" t="s">
        <v>187</v>
      </c>
    </row>
    <row r="1681" ht="15.75" customHeight="1">
      <c r="A1681" s="262"/>
      <c r="B1681" s="262"/>
      <c r="C1681" s="263"/>
      <c r="D1681" s="262"/>
      <c r="E1681" s="81" t="s">
        <v>187</v>
      </c>
      <c r="F1681" s="81" t="s">
        <v>187</v>
      </c>
      <c r="G1681" s="81" t="s">
        <v>187</v>
      </c>
      <c r="H1681" s="81" t="s">
        <v>187</v>
      </c>
      <c r="I1681" s="81" t="s">
        <v>187</v>
      </c>
      <c r="J1681" s="81" t="s">
        <v>187</v>
      </c>
      <c r="K1681" s="81" t="s">
        <v>187</v>
      </c>
      <c r="L1681" s="81" t="s">
        <v>187</v>
      </c>
    </row>
    <row r="1682" ht="15.75" customHeight="1">
      <c r="A1682" s="262"/>
      <c r="B1682" s="262"/>
      <c r="C1682" s="263"/>
      <c r="D1682" s="262"/>
      <c r="E1682" s="81" t="s">
        <v>187</v>
      </c>
      <c r="F1682" s="81" t="s">
        <v>187</v>
      </c>
      <c r="G1682" s="81" t="s">
        <v>187</v>
      </c>
      <c r="H1682" s="81" t="s">
        <v>187</v>
      </c>
      <c r="I1682" s="81" t="s">
        <v>187</v>
      </c>
      <c r="J1682" s="81" t="s">
        <v>187</v>
      </c>
      <c r="K1682" s="81" t="s">
        <v>187</v>
      </c>
      <c r="L1682" s="81" t="s">
        <v>187</v>
      </c>
    </row>
    <row r="1683" ht="15.75" customHeight="1">
      <c r="A1683" s="262"/>
      <c r="B1683" s="262"/>
      <c r="C1683" s="263"/>
      <c r="D1683" s="262"/>
      <c r="E1683" s="81" t="s">
        <v>187</v>
      </c>
      <c r="F1683" s="81" t="s">
        <v>187</v>
      </c>
      <c r="G1683" s="81" t="s">
        <v>187</v>
      </c>
      <c r="H1683" s="81" t="s">
        <v>187</v>
      </c>
      <c r="I1683" s="81" t="s">
        <v>187</v>
      </c>
      <c r="J1683" s="81" t="s">
        <v>187</v>
      </c>
      <c r="K1683" s="81" t="s">
        <v>187</v>
      </c>
      <c r="L1683" s="81" t="s">
        <v>187</v>
      </c>
    </row>
    <row r="1684" ht="15.75" customHeight="1">
      <c r="A1684" s="262"/>
      <c r="B1684" s="262"/>
      <c r="C1684" s="263"/>
      <c r="D1684" s="262"/>
      <c r="E1684" s="81" t="s">
        <v>187</v>
      </c>
      <c r="F1684" s="81" t="s">
        <v>187</v>
      </c>
      <c r="G1684" s="81" t="s">
        <v>187</v>
      </c>
      <c r="H1684" s="81" t="s">
        <v>187</v>
      </c>
      <c r="I1684" s="81" t="s">
        <v>187</v>
      </c>
      <c r="J1684" s="81" t="s">
        <v>187</v>
      </c>
      <c r="K1684" s="81" t="s">
        <v>187</v>
      </c>
      <c r="L1684" s="81" t="s">
        <v>187</v>
      </c>
    </row>
    <row r="1685" ht="15.75" customHeight="1">
      <c r="A1685" s="262"/>
      <c r="B1685" s="262"/>
      <c r="C1685" s="263"/>
      <c r="D1685" s="262"/>
      <c r="E1685" s="81" t="s">
        <v>187</v>
      </c>
      <c r="F1685" s="81" t="s">
        <v>187</v>
      </c>
      <c r="G1685" s="81" t="s">
        <v>187</v>
      </c>
      <c r="H1685" s="81" t="s">
        <v>187</v>
      </c>
      <c r="I1685" s="81" t="s">
        <v>187</v>
      </c>
      <c r="J1685" s="81" t="s">
        <v>187</v>
      </c>
      <c r="K1685" s="81" t="s">
        <v>187</v>
      </c>
      <c r="L1685" s="81" t="s">
        <v>187</v>
      </c>
    </row>
    <row r="1686" ht="15.75" customHeight="1">
      <c r="A1686" s="262"/>
      <c r="B1686" s="262"/>
      <c r="C1686" s="263"/>
      <c r="D1686" s="262"/>
      <c r="E1686" s="81" t="s">
        <v>187</v>
      </c>
      <c r="F1686" s="81" t="s">
        <v>187</v>
      </c>
      <c r="G1686" s="81" t="s">
        <v>187</v>
      </c>
      <c r="H1686" s="81" t="s">
        <v>187</v>
      </c>
      <c r="I1686" s="81" t="s">
        <v>187</v>
      </c>
      <c r="J1686" s="81" t="s">
        <v>187</v>
      </c>
      <c r="K1686" s="81" t="s">
        <v>187</v>
      </c>
      <c r="L1686" s="81" t="s">
        <v>187</v>
      </c>
    </row>
    <row r="1687" ht="15.75" customHeight="1">
      <c r="A1687" s="262"/>
      <c r="B1687" s="262"/>
      <c r="C1687" s="263"/>
      <c r="D1687" s="262"/>
      <c r="E1687" s="81" t="s">
        <v>187</v>
      </c>
      <c r="F1687" s="81" t="s">
        <v>187</v>
      </c>
      <c r="G1687" s="81" t="s">
        <v>187</v>
      </c>
      <c r="H1687" s="81" t="s">
        <v>187</v>
      </c>
      <c r="I1687" s="81" t="s">
        <v>187</v>
      </c>
      <c r="J1687" s="81" t="s">
        <v>187</v>
      </c>
      <c r="K1687" s="81" t="s">
        <v>187</v>
      </c>
      <c r="L1687" s="81" t="s">
        <v>187</v>
      </c>
    </row>
    <row r="1688" ht="15.75" customHeight="1">
      <c r="A1688" s="262"/>
      <c r="B1688" s="262"/>
      <c r="C1688" s="263"/>
      <c r="D1688" s="262"/>
      <c r="E1688" s="81" t="s">
        <v>187</v>
      </c>
      <c r="F1688" s="81" t="s">
        <v>187</v>
      </c>
      <c r="G1688" s="81" t="s">
        <v>187</v>
      </c>
      <c r="H1688" s="81" t="s">
        <v>187</v>
      </c>
      <c r="I1688" s="81" t="s">
        <v>187</v>
      </c>
      <c r="J1688" s="81" t="s">
        <v>187</v>
      </c>
      <c r="K1688" s="81" t="s">
        <v>187</v>
      </c>
      <c r="L1688" s="81" t="s">
        <v>187</v>
      </c>
    </row>
    <row r="1689" ht="15.75" customHeight="1">
      <c r="A1689" s="262"/>
      <c r="B1689" s="262"/>
      <c r="C1689" s="263"/>
      <c r="D1689" s="262"/>
      <c r="E1689" s="81" t="s">
        <v>187</v>
      </c>
      <c r="F1689" s="81" t="s">
        <v>187</v>
      </c>
      <c r="G1689" s="81" t="s">
        <v>187</v>
      </c>
      <c r="H1689" s="81" t="s">
        <v>187</v>
      </c>
      <c r="I1689" s="81" t="s">
        <v>187</v>
      </c>
      <c r="J1689" s="81" t="s">
        <v>187</v>
      </c>
      <c r="K1689" s="81" t="s">
        <v>187</v>
      </c>
      <c r="L1689" s="81" t="s">
        <v>187</v>
      </c>
    </row>
    <row r="1690" ht="15.75" customHeight="1">
      <c r="A1690" s="262"/>
      <c r="B1690" s="262"/>
      <c r="C1690" s="263"/>
      <c r="D1690" s="262"/>
      <c r="E1690" s="81" t="s">
        <v>187</v>
      </c>
      <c r="F1690" s="81" t="s">
        <v>187</v>
      </c>
      <c r="G1690" s="81" t="s">
        <v>187</v>
      </c>
      <c r="H1690" s="81" t="s">
        <v>187</v>
      </c>
      <c r="I1690" s="81" t="s">
        <v>187</v>
      </c>
      <c r="J1690" s="81" t="s">
        <v>187</v>
      </c>
      <c r="K1690" s="81" t="s">
        <v>187</v>
      </c>
      <c r="L1690" s="81" t="s">
        <v>187</v>
      </c>
    </row>
    <row r="1691" ht="15.75" customHeight="1">
      <c r="A1691" s="262"/>
      <c r="B1691" s="262"/>
      <c r="C1691" s="263"/>
      <c r="D1691" s="262"/>
      <c r="E1691" s="81" t="s">
        <v>187</v>
      </c>
      <c r="F1691" s="81" t="s">
        <v>187</v>
      </c>
      <c r="G1691" s="81" t="s">
        <v>187</v>
      </c>
      <c r="H1691" s="81" t="s">
        <v>187</v>
      </c>
      <c r="I1691" s="81" t="s">
        <v>187</v>
      </c>
      <c r="J1691" s="81" t="s">
        <v>187</v>
      </c>
      <c r="K1691" s="81" t="s">
        <v>187</v>
      </c>
      <c r="L1691" s="81" t="s">
        <v>187</v>
      </c>
    </row>
    <row r="1692" ht="15.75" customHeight="1">
      <c r="A1692" s="262"/>
      <c r="B1692" s="262"/>
      <c r="C1692" s="263"/>
      <c r="D1692" s="262"/>
      <c r="E1692" s="81" t="s">
        <v>187</v>
      </c>
      <c r="F1692" s="81" t="s">
        <v>187</v>
      </c>
      <c r="G1692" s="81" t="s">
        <v>187</v>
      </c>
      <c r="H1692" s="81" t="s">
        <v>187</v>
      </c>
      <c r="I1692" s="81" t="s">
        <v>187</v>
      </c>
      <c r="J1692" s="81" t="s">
        <v>187</v>
      </c>
      <c r="K1692" s="81" t="s">
        <v>187</v>
      </c>
      <c r="L1692" s="81" t="s">
        <v>187</v>
      </c>
    </row>
    <row r="1693" ht="15.75" customHeight="1">
      <c r="A1693" s="262"/>
      <c r="B1693" s="262"/>
      <c r="C1693" s="263"/>
      <c r="D1693" s="262"/>
      <c r="E1693" s="81" t="s">
        <v>187</v>
      </c>
      <c r="F1693" s="81" t="s">
        <v>187</v>
      </c>
      <c r="G1693" s="81" t="s">
        <v>187</v>
      </c>
      <c r="H1693" s="81" t="s">
        <v>187</v>
      </c>
      <c r="I1693" s="81" t="s">
        <v>187</v>
      </c>
      <c r="J1693" s="81" t="s">
        <v>187</v>
      </c>
      <c r="K1693" s="81" t="s">
        <v>187</v>
      </c>
      <c r="L1693" s="81" t="s">
        <v>187</v>
      </c>
    </row>
    <row r="1694" ht="15.75" customHeight="1">
      <c r="A1694" s="262"/>
      <c r="B1694" s="262"/>
      <c r="C1694" s="263"/>
      <c r="D1694" s="262"/>
      <c r="E1694" s="81" t="s">
        <v>187</v>
      </c>
      <c r="F1694" s="81" t="s">
        <v>187</v>
      </c>
      <c r="G1694" s="81" t="s">
        <v>187</v>
      </c>
      <c r="H1694" s="81" t="s">
        <v>187</v>
      </c>
      <c r="I1694" s="81" t="s">
        <v>187</v>
      </c>
      <c r="J1694" s="81" t="s">
        <v>187</v>
      </c>
      <c r="K1694" s="81" t="s">
        <v>187</v>
      </c>
      <c r="L1694" s="81" t="s">
        <v>187</v>
      </c>
    </row>
    <row r="1695" ht="15.75" customHeight="1">
      <c r="A1695" s="262"/>
      <c r="B1695" s="262"/>
      <c r="C1695" s="263"/>
      <c r="D1695" s="262"/>
      <c r="E1695" s="81" t="s">
        <v>187</v>
      </c>
      <c r="F1695" s="81" t="s">
        <v>187</v>
      </c>
      <c r="G1695" s="81" t="s">
        <v>187</v>
      </c>
      <c r="H1695" s="81" t="s">
        <v>187</v>
      </c>
      <c r="I1695" s="81" t="s">
        <v>187</v>
      </c>
      <c r="J1695" s="81" t="s">
        <v>187</v>
      </c>
      <c r="K1695" s="81" t="s">
        <v>187</v>
      </c>
      <c r="L1695" s="81" t="s">
        <v>187</v>
      </c>
    </row>
    <row r="1696" ht="15.75" customHeight="1">
      <c r="A1696" s="262"/>
      <c r="B1696" s="262"/>
      <c r="C1696" s="263"/>
      <c r="D1696" s="262"/>
      <c r="E1696" s="81" t="s">
        <v>187</v>
      </c>
      <c r="F1696" s="81" t="s">
        <v>187</v>
      </c>
      <c r="G1696" s="81" t="s">
        <v>187</v>
      </c>
      <c r="H1696" s="81" t="s">
        <v>187</v>
      </c>
      <c r="I1696" s="81" t="s">
        <v>187</v>
      </c>
      <c r="J1696" s="81" t="s">
        <v>187</v>
      </c>
      <c r="K1696" s="81" t="s">
        <v>187</v>
      </c>
      <c r="L1696" s="81" t="s">
        <v>187</v>
      </c>
    </row>
    <row r="1697" ht="15.75" customHeight="1">
      <c r="A1697" s="262"/>
      <c r="B1697" s="262"/>
      <c r="C1697" s="263"/>
      <c r="D1697" s="262"/>
      <c r="E1697" s="81" t="s">
        <v>187</v>
      </c>
      <c r="F1697" s="81" t="s">
        <v>187</v>
      </c>
      <c r="G1697" s="81" t="s">
        <v>187</v>
      </c>
      <c r="H1697" s="81" t="s">
        <v>187</v>
      </c>
      <c r="I1697" s="81" t="s">
        <v>187</v>
      </c>
      <c r="J1697" s="81" t="s">
        <v>187</v>
      </c>
      <c r="K1697" s="81" t="s">
        <v>187</v>
      </c>
      <c r="L1697" s="81" t="s">
        <v>187</v>
      </c>
    </row>
    <row r="1698" ht="15.75" customHeight="1">
      <c r="A1698" s="262"/>
      <c r="B1698" s="262"/>
      <c r="C1698" s="263"/>
      <c r="D1698" s="262"/>
      <c r="E1698" s="81" t="s">
        <v>187</v>
      </c>
      <c r="F1698" s="81" t="s">
        <v>187</v>
      </c>
      <c r="G1698" s="81" t="s">
        <v>187</v>
      </c>
      <c r="H1698" s="81" t="s">
        <v>187</v>
      </c>
      <c r="I1698" s="81" t="s">
        <v>187</v>
      </c>
      <c r="J1698" s="81" t="s">
        <v>187</v>
      </c>
      <c r="K1698" s="81" t="s">
        <v>187</v>
      </c>
      <c r="L1698" s="81" t="s">
        <v>187</v>
      </c>
    </row>
    <row r="1699" ht="15.75" customHeight="1">
      <c r="A1699" s="262"/>
      <c r="B1699" s="262"/>
      <c r="C1699" s="263"/>
      <c r="D1699" s="262"/>
      <c r="E1699" s="81" t="s">
        <v>187</v>
      </c>
      <c r="F1699" s="81" t="s">
        <v>187</v>
      </c>
      <c r="G1699" s="81" t="s">
        <v>187</v>
      </c>
      <c r="H1699" s="81" t="s">
        <v>187</v>
      </c>
      <c r="I1699" s="81" t="s">
        <v>187</v>
      </c>
      <c r="J1699" s="81" t="s">
        <v>187</v>
      </c>
      <c r="K1699" s="81" t="s">
        <v>187</v>
      </c>
      <c r="L1699" s="81" t="s">
        <v>187</v>
      </c>
    </row>
    <row r="1700" ht="15.75" customHeight="1">
      <c r="A1700" s="262"/>
      <c r="B1700" s="262"/>
      <c r="C1700" s="263"/>
      <c r="D1700" s="262"/>
      <c r="E1700" s="81" t="s">
        <v>187</v>
      </c>
      <c r="F1700" s="81" t="s">
        <v>187</v>
      </c>
      <c r="G1700" s="81" t="s">
        <v>187</v>
      </c>
      <c r="H1700" s="81" t="s">
        <v>187</v>
      </c>
      <c r="I1700" s="81" t="s">
        <v>187</v>
      </c>
      <c r="J1700" s="81" t="s">
        <v>187</v>
      </c>
      <c r="K1700" s="81" t="s">
        <v>187</v>
      </c>
      <c r="L1700" s="81" t="s">
        <v>187</v>
      </c>
    </row>
    <row r="1701" ht="15.75" customHeight="1">
      <c r="A1701" s="262"/>
      <c r="B1701" s="262"/>
      <c r="C1701" s="263"/>
      <c r="D1701" s="262"/>
      <c r="E1701" s="81" t="s">
        <v>187</v>
      </c>
      <c r="F1701" s="81" t="s">
        <v>187</v>
      </c>
      <c r="G1701" s="81" t="s">
        <v>187</v>
      </c>
      <c r="H1701" s="81" t="s">
        <v>187</v>
      </c>
      <c r="I1701" s="81" t="s">
        <v>187</v>
      </c>
      <c r="J1701" s="81" t="s">
        <v>187</v>
      </c>
      <c r="K1701" s="81" t="s">
        <v>187</v>
      </c>
      <c r="L1701" s="81" t="s">
        <v>187</v>
      </c>
    </row>
    <row r="1702" ht="15.75" customHeight="1">
      <c r="A1702" s="262"/>
      <c r="B1702" s="262"/>
      <c r="C1702" s="263"/>
      <c r="D1702" s="262"/>
      <c r="E1702" s="81" t="s">
        <v>187</v>
      </c>
      <c r="F1702" s="81" t="s">
        <v>187</v>
      </c>
      <c r="G1702" s="81" t="s">
        <v>187</v>
      </c>
      <c r="H1702" s="81" t="s">
        <v>187</v>
      </c>
      <c r="I1702" s="81" t="s">
        <v>187</v>
      </c>
      <c r="J1702" s="81" t="s">
        <v>187</v>
      </c>
      <c r="K1702" s="81" t="s">
        <v>187</v>
      </c>
      <c r="L1702" s="81" t="s">
        <v>187</v>
      </c>
    </row>
    <row r="1703" ht="15.75" customHeight="1">
      <c r="A1703" s="262"/>
      <c r="B1703" s="262"/>
      <c r="C1703" s="263"/>
      <c r="D1703" s="262"/>
      <c r="E1703" s="81" t="s">
        <v>187</v>
      </c>
      <c r="F1703" s="81" t="s">
        <v>187</v>
      </c>
      <c r="G1703" s="81" t="s">
        <v>187</v>
      </c>
      <c r="H1703" s="81" t="s">
        <v>187</v>
      </c>
      <c r="I1703" s="81" t="s">
        <v>187</v>
      </c>
      <c r="J1703" s="81" t="s">
        <v>187</v>
      </c>
      <c r="K1703" s="81" t="s">
        <v>187</v>
      </c>
      <c r="L1703" s="81" t="s">
        <v>187</v>
      </c>
    </row>
    <row r="1704" ht="15.75" customHeight="1">
      <c r="A1704" s="262"/>
      <c r="B1704" s="262"/>
      <c r="C1704" s="263"/>
      <c r="D1704" s="262"/>
      <c r="E1704" s="81" t="s">
        <v>187</v>
      </c>
      <c r="F1704" s="81" t="s">
        <v>187</v>
      </c>
      <c r="G1704" s="81" t="s">
        <v>187</v>
      </c>
      <c r="H1704" s="81" t="s">
        <v>187</v>
      </c>
      <c r="I1704" s="81" t="s">
        <v>187</v>
      </c>
      <c r="J1704" s="81" t="s">
        <v>187</v>
      </c>
      <c r="K1704" s="81" t="s">
        <v>187</v>
      </c>
      <c r="L1704" s="81" t="s">
        <v>187</v>
      </c>
    </row>
    <row r="1705" ht="15.75" customHeight="1">
      <c r="A1705" s="262"/>
      <c r="B1705" s="262"/>
      <c r="C1705" s="263"/>
      <c r="D1705" s="262"/>
      <c r="E1705" s="81" t="s">
        <v>187</v>
      </c>
      <c r="F1705" s="81" t="s">
        <v>187</v>
      </c>
      <c r="G1705" s="81" t="s">
        <v>187</v>
      </c>
      <c r="H1705" s="81" t="s">
        <v>187</v>
      </c>
      <c r="I1705" s="81" t="s">
        <v>187</v>
      </c>
      <c r="J1705" s="81" t="s">
        <v>187</v>
      </c>
      <c r="K1705" s="81" t="s">
        <v>187</v>
      </c>
      <c r="L1705" s="81" t="s">
        <v>187</v>
      </c>
    </row>
    <row r="1706" ht="15.75" customHeight="1">
      <c r="A1706" s="262"/>
      <c r="B1706" s="262"/>
      <c r="C1706" s="263"/>
      <c r="D1706" s="262"/>
      <c r="E1706" s="81" t="s">
        <v>187</v>
      </c>
      <c r="F1706" s="81" t="s">
        <v>187</v>
      </c>
      <c r="G1706" s="81" t="s">
        <v>187</v>
      </c>
      <c r="H1706" s="81" t="s">
        <v>187</v>
      </c>
      <c r="I1706" s="81" t="s">
        <v>187</v>
      </c>
      <c r="J1706" s="81" t="s">
        <v>187</v>
      </c>
      <c r="K1706" s="81" t="s">
        <v>187</v>
      </c>
      <c r="L1706" s="81" t="s">
        <v>187</v>
      </c>
    </row>
    <row r="1707" ht="15.75" customHeight="1">
      <c r="A1707" s="262"/>
      <c r="B1707" s="262"/>
      <c r="C1707" s="263"/>
      <c r="D1707" s="262"/>
      <c r="E1707" s="81" t="s">
        <v>187</v>
      </c>
      <c r="F1707" s="81" t="s">
        <v>187</v>
      </c>
      <c r="G1707" s="81" t="s">
        <v>187</v>
      </c>
      <c r="H1707" s="81" t="s">
        <v>187</v>
      </c>
      <c r="I1707" s="81" t="s">
        <v>187</v>
      </c>
      <c r="J1707" s="81" t="s">
        <v>187</v>
      </c>
      <c r="K1707" s="81" t="s">
        <v>187</v>
      </c>
      <c r="L1707" s="81" t="s">
        <v>187</v>
      </c>
    </row>
    <row r="1708" ht="15.75" customHeight="1">
      <c r="A1708" s="262"/>
      <c r="B1708" s="262"/>
      <c r="C1708" s="263"/>
      <c r="D1708" s="262"/>
      <c r="E1708" s="81" t="s">
        <v>187</v>
      </c>
      <c r="F1708" s="81" t="s">
        <v>187</v>
      </c>
      <c r="G1708" s="81" t="s">
        <v>187</v>
      </c>
      <c r="H1708" s="81" t="s">
        <v>187</v>
      </c>
      <c r="I1708" s="81" t="s">
        <v>187</v>
      </c>
      <c r="J1708" s="81" t="s">
        <v>187</v>
      </c>
      <c r="K1708" s="81" t="s">
        <v>187</v>
      </c>
      <c r="L1708" s="81" t="s">
        <v>187</v>
      </c>
    </row>
    <row r="1709" ht="15.75" customHeight="1">
      <c r="A1709" s="262"/>
      <c r="B1709" s="262"/>
      <c r="C1709" s="263"/>
      <c r="D1709" s="262"/>
      <c r="E1709" s="81" t="s">
        <v>187</v>
      </c>
      <c r="F1709" s="81" t="s">
        <v>187</v>
      </c>
      <c r="G1709" s="81" t="s">
        <v>187</v>
      </c>
      <c r="H1709" s="81" t="s">
        <v>187</v>
      </c>
      <c r="I1709" s="81" t="s">
        <v>187</v>
      </c>
      <c r="J1709" s="81" t="s">
        <v>187</v>
      </c>
      <c r="K1709" s="81" t="s">
        <v>187</v>
      </c>
      <c r="L1709" s="81" t="s">
        <v>187</v>
      </c>
    </row>
    <row r="1710" ht="15.75" customHeight="1">
      <c r="A1710" s="262"/>
      <c r="B1710" s="262"/>
      <c r="C1710" s="263"/>
      <c r="D1710" s="262"/>
      <c r="E1710" s="81" t="s">
        <v>187</v>
      </c>
      <c r="F1710" s="81" t="s">
        <v>187</v>
      </c>
      <c r="G1710" s="81" t="s">
        <v>187</v>
      </c>
      <c r="H1710" s="81" t="s">
        <v>187</v>
      </c>
      <c r="I1710" s="81" t="s">
        <v>187</v>
      </c>
      <c r="J1710" s="81" t="s">
        <v>187</v>
      </c>
      <c r="K1710" s="81" t="s">
        <v>187</v>
      </c>
      <c r="L1710" s="81" t="s">
        <v>187</v>
      </c>
    </row>
    <row r="1711" ht="15.75" customHeight="1">
      <c r="A1711" s="262"/>
      <c r="B1711" s="262"/>
      <c r="C1711" s="263"/>
      <c r="D1711" s="262"/>
      <c r="E1711" s="81" t="s">
        <v>187</v>
      </c>
      <c r="F1711" s="81" t="s">
        <v>187</v>
      </c>
      <c r="G1711" s="81" t="s">
        <v>187</v>
      </c>
      <c r="H1711" s="81" t="s">
        <v>187</v>
      </c>
      <c r="I1711" s="81" t="s">
        <v>187</v>
      </c>
      <c r="J1711" s="81" t="s">
        <v>187</v>
      </c>
      <c r="K1711" s="81" t="s">
        <v>187</v>
      </c>
      <c r="L1711" s="81" t="s">
        <v>187</v>
      </c>
    </row>
    <row r="1712" ht="15.75" customHeight="1">
      <c r="A1712" s="262"/>
      <c r="B1712" s="262"/>
      <c r="C1712" s="263"/>
      <c r="D1712" s="262"/>
      <c r="E1712" s="81" t="s">
        <v>187</v>
      </c>
      <c r="F1712" s="81" t="s">
        <v>187</v>
      </c>
      <c r="G1712" s="81" t="s">
        <v>187</v>
      </c>
      <c r="H1712" s="81" t="s">
        <v>187</v>
      </c>
      <c r="I1712" s="81" t="s">
        <v>187</v>
      </c>
      <c r="J1712" s="81" t="s">
        <v>187</v>
      </c>
      <c r="K1712" s="81" t="s">
        <v>187</v>
      </c>
      <c r="L1712" s="81" t="s">
        <v>187</v>
      </c>
    </row>
    <row r="1713" ht="15.75" customHeight="1">
      <c r="A1713" s="262"/>
      <c r="B1713" s="262"/>
      <c r="C1713" s="263"/>
      <c r="D1713" s="262"/>
      <c r="E1713" s="81" t="s">
        <v>187</v>
      </c>
      <c r="F1713" s="81" t="s">
        <v>187</v>
      </c>
      <c r="G1713" s="81" t="s">
        <v>187</v>
      </c>
      <c r="H1713" s="81" t="s">
        <v>187</v>
      </c>
      <c r="I1713" s="81" t="s">
        <v>187</v>
      </c>
      <c r="J1713" s="81" t="s">
        <v>187</v>
      </c>
      <c r="K1713" s="81" t="s">
        <v>187</v>
      </c>
      <c r="L1713" s="81" t="s">
        <v>187</v>
      </c>
    </row>
    <row r="1714" ht="15.75" customHeight="1">
      <c r="A1714" s="262"/>
      <c r="B1714" s="262"/>
      <c r="C1714" s="263"/>
      <c r="D1714" s="262"/>
      <c r="E1714" s="81" t="s">
        <v>187</v>
      </c>
      <c r="F1714" s="81" t="s">
        <v>187</v>
      </c>
      <c r="G1714" s="81" t="s">
        <v>187</v>
      </c>
      <c r="H1714" s="81" t="s">
        <v>187</v>
      </c>
      <c r="I1714" s="81" t="s">
        <v>187</v>
      </c>
      <c r="J1714" s="81" t="s">
        <v>187</v>
      </c>
      <c r="K1714" s="81" t="s">
        <v>187</v>
      </c>
      <c r="L1714" s="81" t="s">
        <v>187</v>
      </c>
    </row>
    <row r="1715" ht="15.75" customHeight="1">
      <c r="A1715" s="262"/>
      <c r="B1715" s="262"/>
      <c r="C1715" s="263"/>
      <c r="D1715" s="262"/>
      <c r="E1715" s="81" t="s">
        <v>187</v>
      </c>
      <c r="F1715" s="81" t="s">
        <v>187</v>
      </c>
      <c r="G1715" s="81" t="s">
        <v>187</v>
      </c>
      <c r="H1715" s="81" t="s">
        <v>187</v>
      </c>
      <c r="I1715" s="81" t="s">
        <v>187</v>
      </c>
      <c r="J1715" s="81" t="s">
        <v>187</v>
      </c>
      <c r="K1715" s="81" t="s">
        <v>187</v>
      </c>
      <c r="L1715" s="81" t="s">
        <v>187</v>
      </c>
    </row>
    <row r="1716" ht="15.75" customHeight="1">
      <c r="A1716" s="262"/>
      <c r="B1716" s="262"/>
      <c r="C1716" s="263"/>
      <c r="D1716" s="262"/>
      <c r="E1716" s="81" t="s">
        <v>187</v>
      </c>
      <c r="F1716" s="81" t="s">
        <v>187</v>
      </c>
      <c r="G1716" s="81" t="s">
        <v>187</v>
      </c>
      <c r="H1716" s="81" t="s">
        <v>187</v>
      </c>
      <c r="I1716" s="81" t="s">
        <v>187</v>
      </c>
      <c r="J1716" s="81" t="s">
        <v>187</v>
      </c>
      <c r="K1716" s="81" t="s">
        <v>187</v>
      </c>
      <c r="L1716" s="81" t="s">
        <v>187</v>
      </c>
    </row>
    <row r="1717" ht="15.75" customHeight="1">
      <c r="A1717" s="262"/>
      <c r="B1717" s="262"/>
      <c r="C1717" s="263"/>
      <c r="D1717" s="262"/>
      <c r="E1717" s="81" t="s">
        <v>187</v>
      </c>
      <c r="F1717" s="81" t="s">
        <v>187</v>
      </c>
      <c r="G1717" s="81" t="s">
        <v>187</v>
      </c>
      <c r="H1717" s="81" t="s">
        <v>187</v>
      </c>
      <c r="I1717" s="81" t="s">
        <v>187</v>
      </c>
      <c r="J1717" s="81" t="s">
        <v>187</v>
      </c>
      <c r="K1717" s="81" t="s">
        <v>187</v>
      </c>
      <c r="L1717" s="81" t="s">
        <v>187</v>
      </c>
    </row>
    <row r="1718" ht="15.75" customHeight="1">
      <c r="A1718" s="262"/>
      <c r="B1718" s="262"/>
      <c r="C1718" s="263"/>
      <c r="D1718" s="262"/>
      <c r="E1718" s="81" t="s">
        <v>187</v>
      </c>
      <c r="F1718" s="81" t="s">
        <v>187</v>
      </c>
      <c r="G1718" s="81" t="s">
        <v>187</v>
      </c>
      <c r="H1718" s="81" t="s">
        <v>187</v>
      </c>
      <c r="I1718" s="81" t="s">
        <v>187</v>
      </c>
      <c r="J1718" s="81" t="s">
        <v>187</v>
      </c>
      <c r="K1718" s="81" t="s">
        <v>187</v>
      </c>
      <c r="L1718" s="81" t="s">
        <v>187</v>
      </c>
    </row>
    <row r="1719" ht="15.75" customHeight="1">
      <c r="A1719" s="262"/>
      <c r="B1719" s="262"/>
      <c r="C1719" s="263"/>
      <c r="D1719" s="262"/>
      <c r="E1719" s="81" t="s">
        <v>187</v>
      </c>
      <c r="F1719" s="81" t="s">
        <v>187</v>
      </c>
      <c r="G1719" s="81" t="s">
        <v>187</v>
      </c>
      <c r="H1719" s="81" t="s">
        <v>187</v>
      </c>
      <c r="I1719" s="81" t="s">
        <v>187</v>
      </c>
      <c r="J1719" s="81" t="s">
        <v>187</v>
      </c>
      <c r="K1719" s="81" t="s">
        <v>187</v>
      </c>
      <c r="L1719" s="81" t="s">
        <v>187</v>
      </c>
    </row>
    <row r="1720" ht="15.75" customHeight="1">
      <c r="A1720" s="262"/>
      <c r="B1720" s="262"/>
      <c r="C1720" s="263"/>
      <c r="D1720" s="262"/>
      <c r="E1720" s="81" t="s">
        <v>187</v>
      </c>
      <c r="F1720" s="81" t="s">
        <v>187</v>
      </c>
      <c r="G1720" s="81" t="s">
        <v>187</v>
      </c>
      <c r="H1720" s="81" t="s">
        <v>187</v>
      </c>
      <c r="I1720" s="81" t="s">
        <v>187</v>
      </c>
      <c r="J1720" s="81" t="s">
        <v>187</v>
      </c>
      <c r="K1720" s="81" t="s">
        <v>187</v>
      </c>
      <c r="L1720" s="81" t="s">
        <v>187</v>
      </c>
    </row>
    <row r="1721" ht="15.75" customHeight="1">
      <c r="A1721" s="262"/>
      <c r="B1721" s="262"/>
      <c r="C1721" s="263"/>
      <c r="D1721" s="262"/>
      <c r="E1721" s="81" t="s">
        <v>187</v>
      </c>
      <c r="F1721" s="81" t="s">
        <v>187</v>
      </c>
      <c r="G1721" s="81" t="s">
        <v>187</v>
      </c>
      <c r="H1721" s="81" t="s">
        <v>187</v>
      </c>
      <c r="I1721" s="81" t="s">
        <v>187</v>
      </c>
      <c r="J1721" s="81" t="s">
        <v>187</v>
      </c>
      <c r="K1721" s="81" t="s">
        <v>187</v>
      </c>
      <c r="L1721" s="81" t="s">
        <v>187</v>
      </c>
    </row>
    <row r="1722" ht="15.75" customHeight="1">
      <c r="A1722" s="262"/>
      <c r="B1722" s="262"/>
      <c r="C1722" s="263"/>
      <c r="D1722" s="262"/>
      <c r="E1722" s="81" t="s">
        <v>187</v>
      </c>
      <c r="F1722" s="81" t="s">
        <v>187</v>
      </c>
      <c r="G1722" s="81" t="s">
        <v>187</v>
      </c>
      <c r="H1722" s="81" t="s">
        <v>187</v>
      </c>
      <c r="I1722" s="81" t="s">
        <v>187</v>
      </c>
      <c r="J1722" s="81" t="s">
        <v>187</v>
      </c>
      <c r="K1722" s="81" t="s">
        <v>187</v>
      </c>
      <c r="L1722" s="81" t="s">
        <v>187</v>
      </c>
    </row>
    <row r="1723" ht="15.75" customHeight="1">
      <c r="A1723" s="262"/>
      <c r="B1723" s="262"/>
      <c r="C1723" s="263"/>
      <c r="D1723" s="262"/>
      <c r="E1723" s="81" t="s">
        <v>187</v>
      </c>
      <c r="F1723" s="81" t="s">
        <v>187</v>
      </c>
      <c r="G1723" s="81" t="s">
        <v>187</v>
      </c>
      <c r="H1723" s="81" t="s">
        <v>187</v>
      </c>
      <c r="I1723" s="81" t="s">
        <v>187</v>
      </c>
      <c r="J1723" s="81" t="s">
        <v>187</v>
      </c>
      <c r="K1723" s="81" t="s">
        <v>187</v>
      </c>
      <c r="L1723" s="81" t="s">
        <v>187</v>
      </c>
    </row>
    <row r="1724" ht="15.75" customHeight="1">
      <c r="A1724" s="262"/>
      <c r="B1724" s="262"/>
      <c r="C1724" s="263"/>
      <c r="D1724" s="262"/>
      <c r="E1724" s="81" t="s">
        <v>187</v>
      </c>
      <c r="F1724" s="81" t="s">
        <v>187</v>
      </c>
      <c r="G1724" s="81" t="s">
        <v>187</v>
      </c>
      <c r="H1724" s="81" t="s">
        <v>187</v>
      </c>
      <c r="I1724" s="81" t="s">
        <v>187</v>
      </c>
      <c r="J1724" s="81" t="s">
        <v>187</v>
      </c>
      <c r="K1724" s="81" t="s">
        <v>187</v>
      </c>
      <c r="L1724" s="81" t="s">
        <v>187</v>
      </c>
    </row>
    <row r="1725" ht="15.75" customHeight="1">
      <c r="A1725" s="262"/>
      <c r="B1725" s="262"/>
      <c r="C1725" s="263"/>
      <c r="D1725" s="262"/>
      <c r="E1725" s="81" t="s">
        <v>187</v>
      </c>
      <c r="F1725" s="81" t="s">
        <v>187</v>
      </c>
      <c r="G1725" s="81" t="s">
        <v>187</v>
      </c>
      <c r="H1725" s="81" t="s">
        <v>187</v>
      </c>
      <c r="I1725" s="81" t="s">
        <v>187</v>
      </c>
      <c r="J1725" s="81" t="s">
        <v>187</v>
      </c>
      <c r="K1725" s="81" t="s">
        <v>187</v>
      </c>
      <c r="L1725" s="81" t="s">
        <v>187</v>
      </c>
    </row>
    <row r="1726" ht="15.75" customHeight="1">
      <c r="A1726" s="262"/>
      <c r="B1726" s="262"/>
      <c r="C1726" s="263"/>
      <c r="D1726" s="262"/>
      <c r="E1726" s="81" t="s">
        <v>187</v>
      </c>
      <c r="F1726" s="81" t="s">
        <v>187</v>
      </c>
      <c r="G1726" s="81" t="s">
        <v>187</v>
      </c>
      <c r="H1726" s="81" t="s">
        <v>187</v>
      </c>
      <c r="I1726" s="81" t="s">
        <v>187</v>
      </c>
      <c r="J1726" s="81" t="s">
        <v>187</v>
      </c>
      <c r="K1726" s="81" t="s">
        <v>187</v>
      </c>
      <c r="L1726" s="81" t="s">
        <v>187</v>
      </c>
    </row>
    <row r="1727" ht="15.75" customHeight="1">
      <c r="A1727" s="262"/>
      <c r="B1727" s="262"/>
      <c r="C1727" s="263"/>
      <c r="D1727" s="262"/>
      <c r="E1727" s="81" t="s">
        <v>187</v>
      </c>
      <c r="F1727" s="81" t="s">
        <v>187</v>
      </c>
      <c r="G1727" s="81" t="s">
        <v>187</v>
      </c>
      <c r="H1727" s="81" t="s">
        <v>187</v>
      </c>
      <c r="I1727" s="81" t="s">
        <v>187</v>
      </c>
      <c r="J1727" s="81" t="s">
        <v>187</v>
      </c>
      <c r="K1727" s="81" t="s">
        <v>187</v>
      </c>
      <c r="L1727" s="81" t="s">
        <v>187</v>
      </c>
    </row>
    <row r="1728" ht="15.75" customHeight="1">
      <c r="A1728" s="262"/>
      <c r="B1728" s="262"/>
      <c r="C1728" s="263"/>
      <c r="D1728" s="262"/>
      <c r="E1728" s="81" t="s">
        <v>187</v>
      </c>
      <c r="F1728" s="81" t="s">
        <v>187</v>
      </c>
      <c r="G1728" s="81" t="s">
        <v>187</v>
      </c>
      <c r="H1728" s="81" t="s">
        <v>187</v>
      </c>
      <c r="I1728" s="81" t="s">
        <v>187</v>
      </c>
      <c r="J1728" s="81" t="s">
        <v>187</v>
      </c>
      <c r="K1728" s="81" t="s">
        <v>187</v>
      </c>
      <c r="L1728" s="81" t="s">
        <v>187</v>
      </c>
    </row>
    <row r="1729" ht="15.75" customHeight="1">
      <c r="A1729" s="262"/>
      <c r="B1729" s="262"/>
      <c r="C1729" s="263"/>
      <c r="D1729" s="262"/>
      <c r="E1729" s="81" t="s">
        <v>187</v>
      </c>
      <c r="F1729" s="81" t="s">
        <v>187</v>
      </c>
      <c r="G1729" s="81" t="s">
        <v>187</v>
      </c>
      <c r="H1729" s="81" t="s">
        <v>187</v>
      </c>
      <c r="I1729" s="81" t="s">
        <v>187</v>
      </c>
      <c r="J1729" s="81" t="s">
        <v>187</v>
      </c>
      <c r="K1729" s="81" t="s">
        <v>187</v>
      </c>
      <c r="L1729" s="81" t="s">
        <v>187</v>
      </c>
    </row>
    <row r="1730" ht="15.75" customHeight="1">
      <c r="A1730" s="262"/>
      <c r="B1730" s="262"/>
      <c r="C1730" s="263"/>
      <c r="D1730" s="262"/>
      <c r="E1730" s="81" t="s">
        <v>187</v>
      </c>
      <c r="F1730" s="81" t="s">
        <v>187</v>
      </c>
      <c r="G1730" s="81" t="s">
        <v>187</v>
      </c>
      <c r="H1730" s="81" t="s">
        <v>187</v>
      </c>
      <c r="I1730" s="81" t="s">
        <v>187</v>
      </c>
      <c r="J1730" s="81" t="s">
        <v>187</v>
      </c>
      <c r="K1730" s="81" t="s">
        <v>187</v>
      </c>
      <c r="L1730" s="81" t="s">
        <v>187</v>
      </c>
    </row>
    <row r="1731" ht="15.75" customHeight="1">
      <c r="A1731" s="262"/>
      <c r="B1731" s="262"/>
      <c r="C1731" s="263"/>
      <c r="D1731" s="262"/>
      <c r="E1731" s="81" t="s">
        <v>187</v>
      </c>
      <c r="F1731" s="81" t="s">
        <v>187</v>
      </c>
      <c r="G1731" s="81" t="s">
        <v>187</v>
      </c>
      <c r="H1731" s="81" t="s">
        <v>187</v>
      </c>
      <c r="I1731" s="81" t="s">
        <v>187</v>
      </c>
      <c r="J1731" s="81" t="s">
        <v>187</v>
      </c>
      <c r="K1731" s="81" t="s">
        <v>187</v>
      </c>
      <c r="L1731" s="81" t="s">
        <v>187</v>
      </c>
    </row>
    <row r="1732" ht="15.75" customHeight="1">
      <c r="A1732" s="262"/>
      <c r="B1732" s="262"/>
      <c r="C1732" s="263"/>
      <c r="D1732" s="262"/>
      <c r="E1732" s="81" t="s">
        <v>187</v>
      </c>
      <c r="F1732" s="81" t="s">
        <v>187</v>
      </c>
      <c r="G1732" s="81" t="s">
        <v>187</v>
      </c>
      <c r="H1732" s="81" t="s">
        <v>187</v>
      </c>
      <c r="I1732" s="81" t="s">
        <v>187</v>
      </c>
      <c r="J1732" s="81" t="s">
        <v>187</v>
      </c>
      <c r="K1732" s="81" t="s">
        <v>187</v>
      </c>
      <c r="L1732" s="81" t="s">
        <v>187</v>
      </c>
    </row>
    <row r="1733" ht="15.75" customHeight="1">
      <c r="A1733" s="262"/>
      <c r="B1733" s="262"/>
      <c r="C1733" s="263"/>
      <c r="D1733" s="262"/>
      <c r="E1733" s="81" t="s">
        <v>187</v>
      </c>
      <c r="F1733" s="81" t="s">
        <v>187</v>
      </c>
      <c r="G1733" s="81" t="s">
        <v>187</v>
      </c>
      <c r="H1733" s="81" t="s">
        <v>187</v>
      </c>
      <c r="I1733" s="81" t="s">
        <v>187</v>
      </c>
      <c r="J1733" s="81" t="s">
        <v>187</v>
      </c>
      <c r="K1733" s="81" t="s">
        <v>187</v>
      </c>
      <c r="L1733" s="81" t="s">
        <v>187</v>
      </c>
    </row>
    <row r="1734" ht="15.75" customHeight="1">
      <c r="A1734" s="262"/>
      <c r="B1734" s="262"/>
      <c r="C1734" s="263"/>
      <c r="D1734" s="262"/>
      <c r="E1734" s="81" t="s">
        <v>187</v>
      </c>
      <c r="F1734" s="81" t="s">
        <v>187</v>
      </c>
      <c r="G1734" s="81" t="s">
        <v>187</v>
      </c>
      <c r="H1734" s="81" t="s">
        <v>187</v>
      </c>
      <c r="I1734" s="81" t="s">
        <v>187</v>
      </c>
      <c r="J1734" s="81" t="s">
        <v>187</v>
      </c>
      <c r="K1734" s="81" t="s">
        <v>187</v>
      </c>
      <c r="L1734" s="81" t="s">
        <v>187</v>
      </c>
    </row>
    <row r="1735" ht="15.75" customHeight="1">
      <c r="A1735" s="262"/>
      <c r="B1735" s="262"/>
      <c r="C1735" s="263"/>
      <c r="D1735" s="262"/>
      <c r="E1735" s="81" t="s">
        <v>187</v>
      </c>
      <c r="F1735" s="81" t="s">
        <v>187</v>
      </c>
      <c r="G1735" s="81" t="s">
        <v>187</v>
      </c>
      <c r="H1735" s="81" t="s">
        <v>187</v>
      </c>
      <c r="I1735" s="81" t="s">
        <v>187</v>
      </c>
      <c r="J1735" s="81" t="s">
        <v>187</v>
      </c>
      <c r="K1735" s="81" t="s">
        <v>187</v>
      </c>
      <c r="L1735" s="81" t="s">
        <v>187</v>
      </c>
    </row>
    <row r="1736" ht="15.75" customHeight="1">
      <c r="A1736" s="262"/>
      <c r="B1736" s="262"/>
      <c r="C1736" s="263"/>
      <c r="D1736" s="262"/>
      <c r="E1736" s="81" t="s">
        <v>187</v>
      </c>
      <c r="F1736" s="81" t="s">
        <v>187</v>
      </c>
      <c r="G1736" s="81" t="s">
        <v>187</v>
      </c>
      <c r="H1736" s="81" t="s">
        <v>187</v>
      </c>
      <c r="I1736" s="81" t="s">
        <v>187</v>
      </c>
      <c r="J1736" s="81" t="s">
        <v>187</v>
      </c>
      <c r="K1736" s="81" t="s">
        <v>187</v>
      </c>
      <c r="L1736" s="81" t="s">
        <v>187</v>
      </c>
    </row>
    <row r="1737" ht="15.75" customHeight="1">
      <c r="A1737" s="262"/>
      <c r="B1737" s="262"/>
      <c r="C1737" s="263"/>
      <c r="D1737" s="262"/>
      <c r="E1737" s="81" t="s">
        <v>187</v>
      </c>
      <c r="F1737" s="81" t="s">
        <v>187</v>
      </c>
      <c r="G1737" s="81" t="s">
        <v>187</v>
      </c>
      <c r="H1737" s="81" t="s">
        <v>187</v>
      </c>
      <c r="I1737" s="81" t="s">
        <v>187</v>
      </c>
      <c r="J1737" s="81" t="s">
        <v>187</v>
      </c>
      <c r="K1737" s="81" t="s">
        <v>187</v>
      </c>
      <c r="L1737" s="81" t="s">
        <v>187</v>
      </c>
    </row>
    <row r="1738" ht="15.75" customHeight="1">
      <c r="A1738" s="262"/>
      <c r="B1738" s="262"/>
      <c r="C1738" s="263"/>
      <c r="D1738" s="262"/>
      <c r="E1738" s="81" t="s">
        <v>187</v>
      </c>
      <c r="F1738" s="81" t="s">
        <v>187</v>
      </c>
      <c r="G1738" s="81" t="s">
        <v>187</v>
      </c>
      <c r="H1738" s="81" t="s">
        <v>187</v>
      </c>
      <c r="I1738" s="81" t="s">
        <v>187</v>
      </c>
      <c r="J1738" s="81" t="s">
        <v>187</v>
      </c>
      <c r="K1738" s="81" t="s">
        <v>187</v>
      </c>
      <c r="L1738" s="81" t="s">
        <v>187</v>
      </c>
    </row>
    <row r="1739" ht="15.75" customHeight="1">
      <c r="A1739" s="262"/>
      <c r="B1739" s="262"/>
      <c r="C1739" s="263"/>
      <c r="D1739" s="262"/>
      <c r="E1739" s="81" t="s">
        <v>187</v>
      </c>
      <c r="F1739" s="81" t="s">
        <v>187</v>
      </c>
      <c r="G1739" s="81" t="s">
        <v>187</v>
      </c>
      <c r="H1739" s="81" t="s">
        <v>187</v>
      </c>
      <c r="I1739" s="81" t="s">
        <v>187</v>
      </c>
      <c r="J1739" s="81" t="s">
        <v>187</v>
      </c>
      <c r="K1739" s="81" t="s">
        <v>187</v>
      </c>
      <c r="L1739" s="81" t="s">
        <v>187</v>
      </c>
    </row>
    <row r="1740" ht="15.75" customHeight="1">
      <c r="A1740" s="262"/>
      <c r="B1740" s="262"/>
      <c r="C1740" s="263"/>
      <c r="D1740" s="262"/>
      <c r="E1740" s="81" t="s">
        <v>187</v>
      </c>
      <c r="F1740" s="81" t="s">
        <v>187</v>
      </c>
      <c r="G1740" s="81" t="s">
        <v>187</v>
      </c>
      <c r="H1740" s="81" t="s">
        <v>187</v>
      </c>
      <c r="I1740" s="81" t="s">
        <v>187</v>
      </c>
      <c r="J1740" s="81" t="s">
        <v>187</v>
      </c>
      <c r="K1740" s="81" t="s">
        <v>187</v>
      </c>
      <c r="L1740" s="81" t="s">
        <v>187</v>
      </c>
    </row>
    <row r="1741" ht="15.75" customHeight="1">
      <c r="A1741" s="262"/>
      <c r="B1741" s="262"/>
      <c r="C1741" s="263"/>
      <c r="D1741" s="262"/>
      <c r="E1741" s="81" t="s">
        <v>187</v>
      </c>
      <c r="F1741" s="81" t="s">
        <v>187</v>
      </c>
      <c r="G1741" s="81" t="s">
        <v>187</v>
      </c>
      <c r="H1741" s="81" t="s">
        <v>187</v>
      </c>
      <c r="I1741" s="81" t="s">
        <v>187</v>
      </c>
      <c r="J1741" s="81" t="s">
        <v>187</v>
      </c>
      <c r="K1741" s="81" t="s">
        <v>187</v>
      </c>
      <c r="L1741" s="81" t="s">
        <v>187</v>
      </c>
    </row>
    <row r="1742" ht="15.75" customHeight="1">
      <c r="A1742" s="262"/>
      <c r="B1742" s="262"/>
      <c r="C1742" s="263"/>
      <c r="D1742" s="262"/>
      <c r="E1742" s="81" t="s">
        <v>187</v>
      </c>
      <c r="F1742" s="81" t="s">
        <v>187</v>
      </c>
      <c r="G1742" s="81" t="s">
        <v>187</v>
      </c>
      <c r="H1742" s="81" t="s">
        <v>187</v>
      </c>
      <c r="I1742" s="81" t="s">
        <v>187</v>
      </c>
      <c r="J1742" s="81" t="s">
        <v>187</v>
      </c>
      <c r="K1742" s="81" t="s">
        <v>187</v>
      </c>
      <c r="L1742" s="81" t="s">
        <v>187</v>
      </c>
    </row>
    <row r="1743" ht="15.75" customHeight="1">
      <c r="A1743" s="262"/>
      <c r="B1743" s="262"/>
      <c r="C1743" s="263"/>
      <c r="D1743" s="262"/>
      <c r="E1743" s="81" t="s">
        <v>187</v>
      </c>
      <c r="F1743" s="81" t="s">
        <v>187</v>
      </c>
      <c r="G1743" s="81" t="s">
        <v>187</v>
      </c>
      <c r="H1743" s="81" t="s">
        <v>187</v>
      </c>
      <c r="I1743" s="81" t="s">
        <v>187</v>
      </c>
      <c r="J1743" s="81" t="s">
        <v>187</v>
      </c>
      <c r="K1743" s="81" t="s">
        <v>187</v>
      </c>
      <c r="L1743" s="81" t="s">
        <v>187</v>
      </c>
    </row>
    <row r="1744" ht="15.75" customHeight="1">
      <c r="A1744" s="262"/>
      <c r="B1744" s="262"/>
      <c r="C1744" s="263"/>
      <c r="D1744" s="262"/>
      <c r="E1744" s="81" t="s">
        <v>187</v>
      </c>
      <c r="F1744" s="81" t="s">
        <v>187</v>
      </c>
      <c r="G1744" s="81" t="s">
        <v>187</v>
      </c>
      <c r="H1744" s="81" t="s">
        <v>187</v>
      </c>
      <c r="I1744" s="81" t="s">
        <v>187</v>
      </c>
      <c r="J1744" s="81" t="s">
        <v>187</v>
      </c>
      <c r="K1744" s="81" t="s">
        <v>187</v>
      </c>
      <c r="L1744" s="81" t="s">
        <v>187</v>
      </c>
    </row>
    <row r="1745" ht="15.75" customHeight="1">
      <c r="A1745" s="262"/>
      <c r="B1745" s="262"/>
      <c r="C1745" s="263"/>
      <c r="D1745" s="262"/>
      <c r="E1745" s="81" t="s">
        <v>187</v>
      </c>
      <c r="F1745" s="81" t="s">
        <v>187</v>
      </c>
      <c r="G1745" s="81" t="s">
        <v>187</v>
      </c>
      <c r="H1745" s="81" t="s">
        <v>187</v>
      </c>
      <c r="I1745" s="81" t="s">
        <v>187</v>
      </c>
      <c r="J1745" s="81" t="s">
        <v>187</v>
      </c>
      <c r="K1745" s="81" t="s">
        <v>187</v>
      </c>
      <c r="L1745" s="81" t="s">
        <v>187</v>
      </c>
    </row>
    <row r="1746" ht="15.75" customHeight="1">
      <c r="A1746" s="262"/>
      <c r="B1746" s="262"/>
      <c r="C1746" s="263"/>
      <c r="D1746" s="262"/>
      <c r="E1746" s="81" t="s">
        <v>187</v>
      </c>
      <c r="F1746" s="81" t="s">
        <v>187</v>
      </c>
      <c r="G1746" s="81" t="s">
        <v>187</v>
      </c>
      <c r="H1746" s="81" t="s">
        <v>187</v>
      </c>
      <c r="I1746" s="81" t="s">
        <v>187</v>
      </c>
      <c r="J1746" s="81" t="s">
        <v>187</v>
      </c>
      <c r="K1746" s="81" t="s">
        <v>187</v>
      </c>
      <c r="L1746" s="81" t="s">
        <v>187</v>
      </c>
    </row>
    <row r="1747" ht="15.75" customHeight="1">
      <c r="A1747" s="262"/>
      <c r="B1747" s="262"/>
      <c r="C1747" s="263"/>
      <c r="D1747" s="262"/>
      <c r="E1747" s="81" t="s">
        <v>187</v>
      </c>
      <c r="F1747" s="81" t="s">
        <v>187</v>
      </c>
      <c r="G1747" s="81" t="s">
        <v>187</v>
      </c>
      <c r="H1747" s="81" t="s">
        <v>187</v>
      </c>
      <c r="I1747" s="81" t="s">
        <v>187</v>
      </c>
      <c r="J1747" s="81" t="s">
        <v>187</v>
      </c>
      <c r="K1747" s="81" t="s">
        <v>187</v>
      </c>
      <c r="L1747" s="81" t="s">
        <v>187</v>
      </c>
    </row>
    <row r="1748" ht="15.75" customHeight="1">
      <c r="A1748" s="262"/>
      <c r="B1748" s="262"/>
      <c r="C1748" s="263"/>
      <c r="D1748" s="262"/>
      <c r="E1748" s="81" t="s">
        <v>187</v>
      </c>
      <c r="F1748" s="81" t="s">
        <v>187</v>
      </c>
      <c r="G1748" s="81" t="s">
        <v>187</v>
      </c>
      <c r="H1748" s="81" t="s">
        <v>187</v>
      </c>
      <c r="I1748" s="81" t="s">
        <v>187</v>
      </c>
      <c r="J1748" s="81" t="s">
        <v>187</v>
      </c>
      <c r="K1748" s="81" t="s">
        <v>187</v>
      </c>
      <c r="L1748" s="81" t="s">
        <v>187</v>
      </c>
    </row>
    <row r="1749" ht="15.75" customHeight="1">
      <c r="A1749" s="262"/>
      <c r="B1749" s="262"/>
      <c r="C1749" s="263"/>
      <c r="D1749" s="262"/>
      <c r="E1749" s="81" t="s">
        <v>187</v>
      </c>
      <c r="F1749" s="81" t="s">
        <v>187</v>
      </c>
      <c r="G1749" s="81" t="s">
        <v>187</v>
      </c>
      <c r="H1749" s="81" t="s">
        <v>187</v>
      </c>
      <c r="I1749" s="81" t="s">
        <v>187</v>
      </c>
      <c r="J1749" s="81" t="s">
        <v>187</v>
      </c>
      <c r="K1749" s="81" t="s">
        <v>187</v>
      </c>
      <c r="L1749" s="81" t="s">
        <v>187</v>
      </c>
    </row>
    <row r="1750" ht="15.75" customHeight="1">
      <c r="A1750" s="262"/>
      <c r="B1750" s="262"/>
      <c r="C1750" s="263"/>
      <c r="D1750" s="262"/>
      <c r="E1750" s="81" t="s">
        <v>187</v>
      </c>
      <c r="F1750" s="81" t="s">
        <v>187</v>
      </c>
      <c r="G1750" s="81" t="s">
        <v>187</v>
      </c>
      <c r="H1750" s="81" t="s">
        <v>187</v>
      </c>
      <c r="I1750" s="81" t="s">
        <v>187</v>
      </c>
      <c r="J1750" s="81" t="s">
        <v>187</v>
      </c>
      <c r="K1750" s="81" t="s">
        <v>187</v>
      </c>
      <c r="L1750" s="81" t="s">
        <v>187</v>
      </c>
    </row>
    <row r="1751" ht="15.75" customHeight="1">
      <c r="A1751" s="262"/>
      <c r="B1751" s="262"/>
      <c r="C1751" s="263"/>
      <c r="D1751" s="262"/>
      <c r="E1751" s="81" t="s">
        <v>187</v>
      </c>
      <c r="F1751" s="81" t="s">
        <v>187</v>
      </c>
      <c r="G1751" s="81" t="s">
        <v>187</v>
      </c>
      <c r="H1751" s="81" t="s">
        <v>187</v>
      </c>
      <c r="I1751" s="81" t="s">
        <v>187</v>
      </c>
      <c r="J1751" s="81" t="s">
        <v>187</v>
      </c>
      <c r="K1751" s="81" t="s">
        <v>187</v>
      </c>
      <c r="L1751" s="81" t="s">
        <v>187</v>
      </c>
    </row>
    <row r="1752" ht="15.75" customHeight="1">
      <c r="A1752" s="262"/>
      <c r="B1752" s="262"/>
      <c r="C1752" s="263"/>
      <c r="D1752" s="262"/>
      <c r="E1752" s="81" t="s">
        <v>187</v>
      </c>
      <c r="F1752" s="81" t="s">
        <v>187</v>
      </c>
      <c r="G1752" s="81" t="s">
        <v>187</v>
      </c>
      <c r="H1752" s="81" t="s">
        <v>187</v>
      </c>
      <c r="I1752" s="81" t="s">
        <v>187</v>
      </c>
      <c r="J1752" s="81" t="s">
        <v>187</v>
      </c>
      <c r="K1752" s="81" t="s">
        <v>187</v>
      </c>
      <c r="L1752" s="81" t="s">
        <v>187</v>
      </c>
    </row>
    <row r="1753" ht="15.75" customHeight="1">
      <c r="A1753" s="262"/>
      <c r="B1753" s="262"/>
      <c r="C1753" s="263"/>
      <c r="D1753" s="262"/>
      <c r="E1753" s="81" t="s">
        <v>187</v>
      </c>
      <c r="F1753" s="81" t="s">
        <v>187</v>
      </c>
      <c r="G1753" s="81" t="s">
        <v>187</v>
      </c>
      <c r="H1753" s="81" t="s">
        <v>187</v>
      </c>
      <c r="I1753" s="81" t="s">
        <v>187</v>
      </c>
      <c r="J1753" s="81" t="s">
        <v>187</v>
      </c>
      <c r="K1753" s="81" t="s">
        <v>187</v>
      </c>
      <c r="L1753" s="81" t="s">
        <v>187</v>
      </c>
    </row>
    <row r="1754" ht="15.75" customHeight="1">
      <c r="A1754" s="262"/>
      <c r="B1754" s="262"/>
      <c r="C1754" s="263"/>
      <c r="D1754" s="262"/>
      <c r="E1754" s="81" t="s">
        <v>187</v>
      </c>
      <c r="F1754" s="81" t="s">
        <v>187</v>
      </c>
      <c r="G1754" s="81" t="s">
        <v>187</v>
      </c>
      <c r="H1754" s="81" t="s">
        <v>187</v>
      </c>
      <c r="I1754" s="81" t="s">
        <v>187</v>
      </c>
      <c r="J1754" s="81" t="s">
        <v>187</v>
      </c>
      <c r="K1754" s="81" t="s">
        <v>187</v>
      </c>
      <c r="L1754" s="81" t="s">
        <v>187</v>
      </c>
    </row>
    <row r="1755" ht="15.75" customHeight="1">
      <c r="A1755" s="262"/>
      <c r="B1755" s="262"/>
      <c r="C1755" s="263"/>
      <c r="D1755" s="262"/>
      <c r="E1755" s="81" t="s">
        <v>187</v>
      </c>
      <c r="F1755" s="81" t="s">
        <v>187</v>
      </c>
      <c r="G1755" s="81" t="s">
        <v>187</v>
      </c>
      <c r="H1755" s="81" t="s">
        <v>187</v>
      </c>
      <c r="I1755" s="81" t="s">
        <v>187</v>
      </c>
      <c r="J1755" s="81" t="s">
        <v>187</v>
      </c>
      <c r="K1755" s="81" t="s">
        <v>187</v>
      </c>
      <c r="L1755" s="81" t="s">
        <v>187</v>
      </c>
    </row>
    <row r="1756" ht="15.75" customHeight="1">
      <c r="A1756" s="262"/>
      <c r="B1756" s="262"/>
      <c r="C1756" s="263"/>
      <c r="D1756" s="262"/>
      <c r="E1756" s="81" t="s">
        <v>187</v>
      </c>
      <c r="F1756" s="81" t="s">
        <v>187</v>
      </c>
      <c r="G1756" s="81" t="s">
        <v>187</v>
      </c>
      <c r="H1756" s="81" t="s">
        <v>187</v>
      </c>
      <c r="I1756" s="81" t="s">
        <v>187</v>
      </c>
      <c r="J1756" s="81" t="s">
        <v>187</v>
      </c>
      <c r="K1756" s="81" t="s">
        <v>187</v>
      </c>
      <c r="L1756" s="81" t="s">
        <v>187</v>
      </c>
    </row>
    <row r="1757" ht="15.75" customHeight="1">
      <c r="A1757" s="262"/>
      <c r="B1757" s="262"/>
      <c r="C1757" s="263"/>
      <c r="D1757" s="262"/>
      <c r="E1757" s="81" t="s">
        <v>187</v>
      </c>
      <c r="F1757" s="81" t="s">
        <v>187</v>
      </c>
      <c r="G1757" s="81" t="s">
        <v>187</v>
      </c>
      <c r="H1757" s="81" t="s">
        <v>187</v>
      </c>
      <c r="I1757" s="81" t="s">
        <v>187</v>
      </c>
      <c r="J1757" s="81" t="s">
        <v>187</v>
      </c>
      <c r="K1757" s="81" t="s">
        <v>187</v>
      </c>
      <c r="L1757" s="81" t="s">
        <v>187</v>
      </c>
    </row>
    <row r="1758" ht="15.75" customHeight="1">
      <c r="A1758" s="262"/>
      <c r="B1758" s="262"/>
      <c r="C1758" s="263"/>
      <c r="D1758" s="262"/>
      <c r="E1758" s="81" t="s">
        <v>187</v>
      </c>
      <c r="F1758" s="81" t="s">
        <v>187</v>
      </c>
      <c r="G1758" s="81" t="s">
        <v>187</v>
      </c>
      <c r="H1758" s="81" t="s">
        <v>187</v>
      </c>
      <c r="I1758" s="81" t="s">
        <v>187</v>
      </c>
      <c r="J1758" s="81" t="s">
        <v>187</v>
      </c>
      <c r="K1758" s="81" t="s">
        <v>187</v>
      </c>
      <c r="L1758" s="81" t="s">
        <v>187</v>
      </c>
    </row>
    <row r="1759" ht="15.75" customHeight="1">
      <c r="A1759" s="262"/>
      <c r="B1759" s="262"/>
      <c r="C1759" s="263"/>
      <c r="D1759" s="262"/>
      <c r="E1759" s="81" t="s">
        <v>187</v>
      </c>
      <c r="F1759" s="81" t="s">
        <v>187</v>
      </c>
      <c r="G1759" s="81" t="s">
        <v>187</v>
      </c>
      <c r="H1759" s="81" t="s">
        <v>187</v>
      </c>
      <c r="I1759" s="81" t="s">
        <v>187</v>
      </c>
      <c r="J1759" s="81" t="s">
        <v>187</v>
      </c>
      <c r="K1759" s="81" t="s">
        <v>187</v>
      </c>
      <c r="L1759" s="81" t="s">
        <v>187</v>
      </c>
    </row>
    <row r="1760" ht="15.75" customHeight="1">
      <c r="A1760" s="262"/>
      <c r="B1760" s="262"/>
      <c r="C1760" s="263"/>
      <c r="D1760" s="262"/>
      <c r="E1760" s="81" t="s">
        <v>187</v>
      </c>
      <c r="F1760" s="81" t="s">
        <v>187</v>
      </c>
      <c r="G1760" s="81" t="s">
        <v>187</v>
      </c>
      <c r="H1760" s="81" t="s">
        <v>187</v>
      </c>
      <c r="I1760" s="81" t="s">
        <v>187</v>
      </c>
      <c r="J1760" s="81" t="s">
        <v>187</v>
      </c>
      <c r="K1760" s="81" t="s">
        <v>187</v>
      </c>
      <c r="L1760" s="81" t="s">
        <v>187</v>
      </c>
    </row>
    <row r="1761" ht="15.75" customHeight="1">
      <c r="A1761" s="262"/>
      <c r="B1761" s="262"/>
      <c r="C1761" s="263"/>
      <c r="D1761" s="262"/>
      <c r="E1761" s="81" t="s">
        <v>187</v>
      </c>
      <c r="F1761" s="81" t="s">
        <v>187</v>
      </c>
      <c r="G1761" s="81" t="s">
        <v>187</v>
      </c>
      <c r="H1761" s="81" t="s">
        <v>187</v>
      </c>
      <c r="I1761" s="81" t="s">
        <v>187</v>
      </c>
      <c r="J1761" s="81" t="s">
        <v>187</v>
      </c>
      <c r="K1761" s="81" t="s">
        <v>187</v>
      </c>
      <c r="L1761" s="81" t="s">
        <v>187</v>
      </c>
    </row>
    <row r="1762" ht="15.75" customHeight="1">
      <c r="A1762" s="262"/>
      <c r="B1762" s="262"/>
      <c r="C1762" s="263"/>
      <c r="D1762" s="262"/>
      <c r="E1762" s="81" t="s">
        <v>187</v>
      </c>
      <c r="F1762" s="81" t="s">
        <v>187</v>
      </c>
      <c r="G1762" s="81" t="s">
        <v>187</v>
      </c>
      <c r="H1762" s="81" t="s">
        <v>187</v>
      </c>
      <c r="I1762" s="81" t="s">
        <v>187</v>
      </c>
      <c r="J1762" s="81" t="s">
        <v>187</v>
      </c>
      <c r="K1762" s="81" t="s">
        <v>187</v>
      </c>
      <c r="L1762" s="81" t="s">
        <v>187</v>
      </c>
    </row>
    <row r="1763" ht="15.75" customHeight="1">
      <c r="A1763" s="262"/>
      <c r="B1763" s="262"/>
      <c r="C1763" s="263"/>
      <c r="D1763" s="262"/>
      <c r="E1763" s="81" t="s">
        <v>187</v>
      </c>
      <c r="F1763" s="81" t="s">
        <v>187</v>
      </c>
      <c r="G1763" s="81" t="s">
        <v>187</v>
      </c>
      <c r="H1763" s="81" t="s">
        <v>187</v>
      </c>
      <c r="I1763" s="81" t="s">
        <v>187</v>
      </c>
      <c r="J1763" s="81" t="s">
        <v>187</v>
      </c>
      <c r="K1763" s="81" t="s">
        <v>187</v>
      </c>
      <c r="L1763" s="81" t="s">
        <v>187</v>
      </c>
    </row>
    <row r="1764" ht="15.75" customHeight="1">
      <c r="A1764" s="262"/>
      <c r="B1764" s="262"/>
      <c r="C1764" s="263"/>
      <c r="D1764" s="262"/>
      <c r="E1764" s="81" t="s">
        <v>187</v>
      </c>
      <c r="F1764" s="81" t="s">
        <v>187</v>
      </c>
      <c r="G1764" s="81" t="s">
        <v>187</v>
      </c>
      <c r="H1764" s="81" t="s">
        <v>187</v>
      </c>
      <c r="I1764" s="81" t="s">
        <v>187</v>
      </c>
      <c r="J1764" s="81" t="s">
        <v>187</v>
      </c>
      <c r="K1764" s="81" t="s">
        <v>187</v>
      </c>
      <c r="L1764" s="81" t="s">
        <v>187</v>
      </c>
    </row>
    <row r="1765" ht="15.75" customHeight="1">
      <c r="A1765" s="262"/>
      <c r="B1765" s="262"/>
      <c r="C1765" s="263"/>
      <c r="D1765" s="262"/>
      <c r="E1765" s="81" t="s">
        <v>187</v>
      </c>
      <c r="F1765" s="81" t="s">
        <v>187</v>
      </c>
      <c r="G1765" s="81" t="s">
        <v>187</v>
      </c>
      <c r="H1765" s="81" t="s">
        <v>187</v>
      </c>
      <c r="I1765" s="81" t="s">
        <v>187</v>
      </c>
      <c r="J1765" s="81" t="s">
        <v>187</v>
      </c>
      <c r="K1765" s="81" t="s">
        <v>187</v>
      </c>
      <c r="L1765" s="81" t="s">
        <v>187</v>
      </c>
    </row>
    <row r="1766" ht="15.75" customHeight="1">
      <c r="A1766" s="262"/>
      <c r="B1766" s="262"/>
      <c r="C1766" s="263"/>
      <c r="D1766" s="262"/>
      <c r="E1766" s="81" t="s">
        <v>187</v>
      </c>
      <c r="F1766" s="81" t="s">
        <v>187</v>
      </c>
      <c r="G1766" s="81" t="s">
        <v>187</v>
      </c>
      <c r="H1766" s="81" t="s">
        <v>187</v>
      </c>
      <c r="I1766" s="81" t="s">
        <v>187</v>
      </c>
      <c r="J1766" s="81" t="s">
        <v>187</v>
      </c>
      <c r="K1766" s="81" t="s">
        <v>187</v>
      </c>
      <c r="L1766" s="81" t="s">
        <v>187</v>
      </c>
    </row>
    <row r="1767" ht="15.75" customHeight="1">
      <c r="A1767" s="262"/>
      <c r="B1767" s="262"/>
      <c r="C1767" s="263"/>
      <c r="D1767" s="262"/>
      <c r="E1767" s="81" t="s">
        <v>187</v>
      </c>
      <c r="F1767" s="81" t="s">
        <v>187</v>
      </c>
      <c r="G1767" s="81" t="s">
        <v>187</v>
      </c>
      <c r="H1767" s="81" t="s">
        <v>187</v>
      </c>
      <c r="I1767" s="81" t="s">
        <v>187</v>
      </c>
      <c r="J1767" s="81" t="s">
        <v>187</v>
      </c>
      <c r="K1767" s="81" t="s">
        <v>187</v>
      </c>
      <c r="L1767" s="81" t="s">
        <v>187</v>
      </c>
    </row>
    <row r="1768" ht="15.75" customHeight="1">
      <c r="A1768" s="262"/>
      <c r="B1768" s="262"/>
      <c r="C1768" s="263"/>
      <c r="D1768" s="262"/>
      <c r="E1768" s="81" t="s">
        <v>187</v>
      </c>
      <c r="F1768" s="81" t="s">
        <v>187</v>
      </c>
      <c r="G1768" s="81" t="s">
        <v>187</v>
      </c>
      <c r="H1768" s="81" t="s">
        <v>187</v>
      </c>
      <c r="I1768" s="81" t="s">
        <v>187</v>
      </c>
      <c r="J1768" s="81" t="s">
        <v>187</v>
      </c>
      <c r="K1768" s="81" t="s">
        <v>187</v>
      </c>
      <c r="L1768" s="81" t="s">
        <v>187</v>
      </c>
    </row>
    <row r="1769" ht="15.75" customHeight="1">
      <c r="A1769" s="262"/>
      <c r="B1769" s="262"/>
      <c r="C1769" s="263"/>
      <c r="D1769" s="262"/>
      <c r="E1769" s="81" t="s">
        <v>187</v>
      </c>
      <c r="F1769" s="81" t="s">
        <v>187</v>
      </c>
      <c r="G1769" s="81" t="s">
        <v>187</v>
      </c>
      <c r="H1769" s="81" t="s">
        <v>187</v>
      </c>
      <c r="I1769" s="81" t="s">
        <v>187</v>
      </c>
      <c r="J1769" s="81" t="s">
        <v>187</v>
      </c>
      <c r="K1769" s="81" t="s">
        <v>187</v>
      </c>
      <c r="L1769" s="81" t="s">
        <v>187</v>
      </c>
    </row>
    <row r="1770" ht="15.75" customHeight="1">
      <c r="A1770" s="262"/>
      <c r="B1770" s="262"/>
      <c r="C1770" s="263"/>
      <c r="D1770" s="262"/>
      <c r="E1770" s="81" t="s">
        <v>187</v>
      </c>
      <c r="F1770" s="81" t="s">
        <v>187</v>
      </c>
      <c r="G1770" s="81" t="s">
        <v>187</v>
      </c>
      <c r="H1770" s="81" t="s">
        <v>187</v>
      </c>
      <c r="I1770" s="81" t="s">
        <v>187</v>
      </c>
      <c r="J1770" s="81" t="s">
        <v>187</v>
      </c>
      <c r="K1770" s="81" t="s">
        <v>187</v>
      </c>
      <c r="L1770" s="81" t="s">
        <v>187</v>
      </c>
    </row>
    <row r="1771" ht="15.75" customHeight="1">
      <c r="A1771" s="262"/>
      <c r="B1771" s="262"/>
      <c r="C1771" s="263"/>
      <c r="D1771" s="262"/>
      <c r="E1771" s="81" t="s">
        <v>187</v>
      </c>
      <c r="F1771" s="81" t="s">
        <v>187</v>
      </c>
      <c r="G1771" s="81" t="s">
        <v>187</v>
      </c>
      <c r="H1771" s="81" t="s">
        <v>187</v>
      </c>
      <c r="I1771" s="81" t="s">
        <v>187</v>
      </c>
      <c r="J1771" s="81" t="s">
        <v>187</v>
      </c>
      <c r="K1771" s="81" t="s">
        <v>187</v>
      </c>
      <c r="L1771" s="81" t="s">
        <v>187</v>
      </c>
    </row>
    <row r="1772" ht="15.75" customHeight="1">
      <c r="A1772" s="262"/>
      <c r="B1772" s="262"/>
      <c r="C1772" s="263"/>
      <c r="D1772" s="262"/>
      <c r="E1772" s="81" t="s">
        <v>187</v>
      </c>
      <c r="F1772" s="81" t="s">
        <v>187</v>
      </c>
      <c r="G1772" s="81" t="s">
        <v>187</v>
      </c>
      <c r="H1772" s="81" t="s">
        <v>187</v>
      </c>
      <c r="I1772" s="81" t="s">
        <v>187</v>
      </c>
      <c r="J1772" s="81" t="s">
        <v>187</v>
      </c>
      <c r="K1772" s="81" t="s">
        <v>187</v>
      </c>
      <c r="L1772" s="81" t="s">
        <v>187</v>
      </c>
    </row>
    <row r="1773" ht="15.75" customHeight="1">
      <c r="A1773" s="262"/>
      <c r="B1773" s="262"/>
      <c r="C1773" s="263"/>
      <c r="D1773" s="262"/>
      <c r="E1773" s="81" t="s">
        <v>187</v>
      </c>
      <c r="F1773" s="81" t="s">
        <v>187</v>
      </c>
      <c r="G1773" s="81" t="s">
        <v>187</v>
      </c>
      <c r="H1773" s="81" t="s">
        <v>187</v>
      </c>
      <c r="I1773" s="81" t="s">
        <v>187</v>
      </c>
      <c r="J1773" s="81" t="s">
        <v>187</v>
      </c>
      <c r="K1773" s="81" t="s">
        <v>187</v>
      </c>
      <c r="L1773" s="81" t="s">
        <v>187</v>
      </c>
    </row>
    <row r="1774" ht="15.75" customHeight="1">
      <c r="A1774" s="262"/>
      <c r="B1774" s="262"/>
      <c r="C1774" s="263"/>
      <c r="D1774" s="262"/>
      <c r="E1774" s="81" t="s">
        <v>187</v>
      </c>
      <c r="F1774" s="81" t="s">
        <v>187</v>
      </c>
      <c r="G1774" s="81" t="s">
        <v>187</v>
      </c>
      <c r="H1774" s="81" t="s">
        <v>187</v>
      </c>
      <c r="I1774" s="81" t="s">
        <v>187</v>
      </c>
      <c r="J1774" s="81" t="s">
        <v>187</v>
      </c>
      <c r="K1774" s="81" t="s">
        <v>187</v>
      </c>
      <c r="L1774" s="81" t="s">
        <v>187</v>
      </c>
    </row>
    <row r="1775" ht="15.75" customHeight="1">
      <c r="A1775" s="262"/>
      <c r="B1775" s="262"/>
      <c r="C1775" s="263"/>
      <c r="D1775" s="262"/>
      <c r="E1775" s="81" t="s">
        <v>187</v>
      </c>
      <c r="F1775" s="81" t="s">
        <v>187</v>
      </c>
      <c r="G1775" s="81" t="s">
        <v>187</v>
      </c>
      <c r="H1775" s="81" t="s">
        <v>187</v>
      </c>
      <c r="I1775" s="81" t="s">
        <v>187</v>
      </c>
      <c r="J1775" s="81" t="s">
        <v>187</v>
      </c>
      <c r="K1775" s="81" t="s">
        <v>187</v>
      </c>
      <c r="L1775" s="81" t="s">
        <v>187</v>
      </c>
    </row>
    <row r="1776" ht="15.75" customHeight="1">
      <c r="A1776" s="262"/>
      <c r="B1776" s="262"/>
      <c r="C1776" s="263"/>
      <c r="D1776" s="262"/>
      <c r="E1776" s="81" t="s">
        <v>187</v>
      </c>
      <c r="F1776" s="81" t="s">
        <v>187</v>
      </c>
      <c r="G1776" s="81" t="s">
        <v>187</v>
      </c>
      <c r="H1776" s="81" t="s">
        <v>187</v>
      </c>
      <c r="I1776" s="81" t="s">
        <v>187</v>
      </c>
      <c r="J1776" s="81" t="s">
        <v>187</v>
      </c>
      <c r="K1776" s="81" t="s">
        <v>187</v>
      </c>
      <c r="L1776" s="81" t="s">
        <v>187</v>
      </c>
    </row>
    <row r="1777" ht="15.75" customHeight="1">
      <c r="A1777" s="262"/>
      <c r="B1777" s="262"/>
      <c r="C1777" s="263"/>
      <c r="D1777" s="262"/>
      <c r="E1777" s="81" t="s">
        <v>187</v>
      </c>
      <c r="F1777" s="81" t="s">
        <v>187</v>
      </c>
      <c r="G1777" s="81" t="s">
        <v>187</v>
      </c>
      <c r="H1777" s="81" t="s">
        <v>187</v>
      </c>
      <c r="I1777" s="81" t="s">
        <v>187</v>
      </c>
      <c r="J1777" s="81" t="s">
        <v>187</v>
      </c>
      <c r="K1777" s="81" t="s">
        <v>187</v>
      </c>
      <c r="L1777" s="81" t="s">
        <v>187</v>
      </c>
    </row>
    <row r="1778" ht="15.75" customHeight="1">
      <c r="A1778" s="262"/>
      <c r="B1778" s="262"/>
      <c r="C1778" s="263"/>
      <c r="D1778" s="262"/>
      <c r="E1778" s="81" t="s">
        <v>187</v>
      </c>
      <c r="F1778" s="81" t="s">
        <v>187</v>
      </c>
      <c r="G1778" s="81" t="s">
        <v>187</v>
      </c>
      <c r="H1778" s="81" t="s">
        <v>187</v>
      </c>
      <c r="I1778" s="81" t="s">
        <v>187</v>
      </c>
      <c r="J1778" s="81" t="s">
        <v>187</v>
      </c>
      <c r="K1778" s="81" t="s">
        <v>187</v>
      </c>
      <c r="L1778" s="81" t="s">
        <v>187</v>
      </c>
    </row>
    <row r="1779" ht="15.75" customHeight="1">
      <c r="A1779" s="262"/>
      <c r="B1779" s="262"/>
      <c r="C1779" s="263"/>
      <c r="D1779" s="262"/>
      <c r="E1779" s="81" t="s">
        <v>187</v>
      </c>
      <c r="F1779" s="81" t="s">
        <v>187</v>
      </c>
      <c r="G1779" s="81" t="s">
        <v>187</v>
      </c>
      <c r="H1779" s="81" t="s">
        <v>187</v>
      </c>
      <c r="I1779" s="81" t="s">
        <v>187</v>
      </c>
      <c r="J1779" s="81" t="s">
        <v>187</v>
      </c>
      <c r="K1779" s="81" t="s">
        <v>187</v>
      </c>
      <c r="L1779" s="81" t="s">
        <v>187</v>
      </c>
    </row>
    <row r="1780" ht="15.75" customHeight="1">
      <c r="A1780" s="262"/>
      <c r="B1780" s="262"/>
      <c r="C1780" s="263"/>
      <c r="D1780" s="262"/>
      <c r="E1780" s="81" t="s">
        <v>187</v>
      </c>
      <c r="F1780" s="81" t="s">
        <v>187</v>
      </c>
      <c r="G1780" s="81" t="s">
        <v>187</v>
      </c>
      <c r="H1780" s="81" t="s">
        <v>187</v>
      </c>
      <c r="I1780" s="81" t="s">
        <v>187</v>
      </c>
      <c r="J1780" s="81" t="s">
        <v>187</v>
      </c>
      <c r="K1780" s="81" t="s">
        <v>187</v>
      </c>
      <c r="L1780" s="81" t="s">
        <v>187</v>
      </c>
    </row>
    <row r="1781" ht="15.75" customHeight="1">
      <c r="A1781" s="262"/>
      <c r="B1781" s="262"/>
      <c r="C1781" s="263"/>
      <c r="D1781" s="262"/>
      <c r="E1781" s="81" t="s">
        <v>187</v>
      </c>
      <c r="F1781" s="81" t="s">
        <v>187</v>
      </c>
      <c r="G1781" s="81" t="s">
        <v>187</v>
      </c>
      <c r="H1781" s="81" t="s">
        <v>187</v>
      </c>
      <c r="I1781" s="81" t="s">
        <v>187</v>
      </c>
      <c r="J1781" s="81" t="s">
        <v>187</v>
      </c>
      <c r="K1781" s="81" t="s">
        <v>187</v>
      </c>
      <c r="L1781" s="81" t="s">
        <v>187</v>
      </c>
    </row>
    <row r="1782" ht="15.75" customHeight="1">
      <c r="A1782" s="262"/>
      <c r="B1782" s="262"/>
      <c r="C1782" s="263"/>
      <c r="D1782" s="262"/>
      <c r="E1782" s="81" t="s">
        <v>187</v>
      </c>
      <c r="F1782" s="81" t="s">
        <v>187</v>
      </c>
      <c r="G1782" s="81" t="s">
        <v>187</v>
      </c>
      <c r="H1782" s="81" t="s">
        <v>187</v>
      </c>
      <c r="I1782" s="81" t="s">
        <v>187</v>
      </c>
      <c r="J1782" s="81" t="s">
        <v>187</v>
      </c>
      <c r="K1782" s="81" t="s">
        <v>187</v>
      </c>
      <c r="L1782" s="81" t="s">
        <v>187</v>
      </c>
    </row>
    <row r="1783" ht="15.75" customHeight="1">
      <c r="A1783" s="262"/>
      <c r="B1783" s="262"/>
      <c r="C1783" s="263"/>
      <c r="D1783" s="262"/>
      <c r="E1783" s="81" t="s">
        <v>187</v>
      </c>
      <c r="F1783" s="81" t="s">
        <v>187</v>
      </c>
      <c r="G1783" s="81" t="s">
        <v>187</v>
      </c>
      <c r="H1783" s="81" t="s">
        <v>187</v>
      </c>
      <c r="I1783" s="81" t="s">
        <v>187</v>
      </c>
      <c r="J1783" s="81" t="s">
        <v>187</v>
      </c>
      <c r="K1783" s="81" t="s">
        <v>187</v>
      </c>
      <c r="L1783" s="81" t="s">
        <v>187</v>
      </c>
    </row>
    <row r="1784" ht="15.75" customHeight="1">
      <c r="A1784" s="262"/>
      <c r="B1784" s="262"/>
      <c r="C1784" s="263"/>
      <c r="D1784" s="262"/>
      <c r="E1784" s="81" t="s">
        <v>187</v>
      </c>
      <c r="F1784" s="81" t="s">
        <v>187</v>
      </c>
      <c r="G1784" s="81" t="s">
        <v>187</v>
      </c>
      <c r="H1784" s="81" t="s">
        <v>187</v>
      </c>
      <c r="I1784" s="81" t="s">
        <v>187</v>
      </c>
      <c r="J1784" s="81" t="s">
        <v>187</v>
      </c>
      <c r="K1784" s="81" t="s">
        <v>187</v>
      </c>
      <c r="L1784" s="81" t="s">
        <v>187</v>
      </c>
    </row>
    <row r="1785" ht="15.75" customHeight="1">
      <c r="A1785" s="262"/>
      <c r="B1785" s="262"/>
      <c r="C1785" s="263"/>
      <c r="D1785" s="262"/>
      <c r="E1785" s="81" t="s">
        <v>187</v>
      </c>
      <c r="F1785" s="81" t="s">
        <v>187</v>
      </c>
      <c r="G1785" s="81" t="s">
        <v>187</v>
      </c>
      <c r="H1785" s="81" t="s">
        <v>187</v>
      </c>
      <c r="I1785" s="81" t="s">
        <v>187</v>
      </c>
      <c r="J1785" s="81" t="s">
        <v>187</v>
      </c>
      <c r="K1785" s="81" t="s">
        <v>187</v>
      </c>
      <c r="L1785" s="81" t="s">
        <v>187</v>
      </c>
    </row>
    <row r="1786" ht="15.75" customHeight="1">
      <c r="A1786" s="262"/>
      <c r="B1786" s="262"/>
      <c r="C1786" s="263"/>
      <c r="D1786" s="262"/>
      <c r="E1786" s="81" t="s">
        <v>187</v>
      </c>
      <c r="F1786" s="81" t="s">
        <v>187</v>
      </c>
      <c r="G1786" s="81" t="s">
        <v>187</v>
      </c>
      <c r="H1786" s="81" t="s">
        <v>187</v>
      </c>
      <c r="I1786" s="81" t="s">
        <v>187</v>
      </c>
      <c r="J1786" s="81" t="s">
        <v>187</v>
      </c>
      <c r="K1786" s="81" t="s">
        <v>187</v>
      </c>
      <c r="L1786" s="81" t="s">
        <v>187</v>
      </c>
    </row>
    <row r="1787" ht="15.75" customHeight="1">
      <c r="A1787" s="262"/>
      <c r="B1787" s="262"/>
      <c r="C1787" s="263"/>
      <c r="D1787" s="262"/>
      <c r="E1787" s="81" t="s">
        <v>187</v>
      </c>
      <c r="F1787" s="81" t="s">
        <v>187</v>
      </c>
      <c r="G1787" s="81" t="s">
        <v>187</v>
      </c>
      <c r="H1787" s="81" t="s">
        <v>187</v>
      </c>
      <c r="I1787" s="81" t="s">
        <v>187</v>
      </c>
      <c r="J1787" s="81" t="s">
        <v>187</v>
      </c>
      <c r="K1787" s="81" t="s">
        <v>187</v>
      </c>
      <c r="L1787" s="81" t="s">
        <v>187</v>
      </c>
    </row>
    <row r="1788" ht="15.75" customHeight="1">
      <c r="A1788" s="262"/>
      <c r="B1788" s="262"/>
      <c r="C1788" s="263"/>
      <c r="D1788" s="262"/>
      <c r="E1788" s="81" t="s">
        <v>187</v>
      </c>
      <c r="F1788" s="81" t="s">
        <v>187</v>
      </c>
      <c r="G1788" s="81" t="s">
        <v>187</v>
      </c>
      <c r="H1788" s="81" t="s">
        <v>187</v>
      </c>
      <c r="I1788" s="81" t="s">
        <v>187</v>
      </c>
      <c r="J1788" s="81" t="s">
        <v>187</v>
      </c>
      <c r="K1788" s="81" t="s">
        <v>187</v>
      </c>
      <c r="L1788" s="81" t="s">
        <v>187</v>
      </c>
    </row>
    <row r="1789" ht="15.75" customHeight="1">
      <c r="A1789" s="262"/>
      <c r="B1789" s="262"/>
      <c r="C1789" s="263"/>
      <c r="D1789" s="262"/>
      <c r="E1789" s="81" t="s">
        <v>187</v>
      </c>
      <c r="F1789" s="81" t="s">
        <v>187</v>
      </c>
      <c r="G1789" s="81" t="s">
        <v>187</v>
      </c>
      <c r="H1789" s="81" t="s">
        <v>187</v>
      </c>
      <c r="I1789" s="81" t="s">
        <v>187</v>
      </c>
      <c r="J1789" s="81" t="s">
        <v>187</v>
      </c>
      <c r="K1789" s="81" t="s">
        <v>187</v>
      </c>
      <c r="L1789" s="81" t="s">
        <v>187</v>
      </c>
    </row>
    <row r="1790" ht="15.75" customHeight="1">
      <c r="A1790" s="262"/>
      <c r="B1790" s="262"/>
      <c r="C1790" s="263"/>
      <c r="D1790" s="262"/>
      <c r="E1790" s="81" t="s">
        <v>187</v>
      </c>
      <c r="F1790" s="81" t="s">
        <v>187</v>
      </c>
      <c r="G1790" s="81" t="s">
        <v>187</v>
      </c>
      <c r="H1790" s="81" t="s">
        <v>187</v>
      </c>
      <c r="I1790" s="81" t="s">
        <v>187</v>
      </c>
      <c r="J1790" s="81" t="s">
        <v>187</v>
      </c>
      <c r="K1790" s="81" t="s">
        <v>187</v>
      </c>
      <c r="L1790" s="81" t="s">
        <v>187</v>
      </c>
    </row>
    <row r="1791" ht="15.75" customHeight="1">
      <c r="A1791" s="262"/>
      <c r="B1791" s="262"/>
      <c r="C1791" s="263"/>
      <c r="D1791" s="262"/>
      <c r="E1791" s="81" t="s">
        <v>187</v>
      </c>
      <c r="F1791" s="81" t="s">
        <v>187</v>
      </c>
      <c r="G1791" s="81" t="s">
        <v>187</v>
      </c>
      <c r="H1791" s="81" t="s">
        <v>187</v>
      </c>
      <c r="I1791" s="81" t="s">
        <v>187</v>
      </c>
      <c r="J1791" s="81" t="s">
        <v>187</v>
      </c>
      <c r="K1791" s="81" t="s">
        <v>187</v>
      </c>
      <c r="L1791" s="81" t="s">
        <v>187</v>
      </c>
    </row>
    <row r="1792" ht="15.75" customHeight="1">
      <c r="A1792" s="262"/>
      <c r="B1792" s="262"/>
      <c r="C1792" s="263"/>
      <c r="D1792" s="262"/>
      <c r="E1792" s="81" t="s">
        <v>187</v>
      </c>
      <c r="F1792" s="81" t="s">
        <v>187</v>
      </c>
      <c r="G1792" s="81" t="s">
        <v>187</v>
      </c>
      <c r="H1792" s="81" t="s">
        <v>187</v>
      </c>
      <c r="I1792" s="81" t="s">
        <v>187</v>
      </c>
      <c r="J1792" s="81" t="s">
        <v>187</v>
      </c>
      <c r="K1792" s="81" t="s">
        <v>187</v>
      </c>
      <c r="L1792" s="81" t="s">
        <v>187</v>
      </c>
    </row>
    <row r="1793" ht="15.75" customHeight="1">
      <c r="A1793" s="262"/>
      <c r="B1793" s="262"/>
      <c r="C1793" s="263"/>
      <c r="D1793" s="262"/>
      <c r="E1793" s="81" t="s">
        <v>187</v>
      </c>
      <c r="F1793" s="81" t="s">
        <v>187</v>
      </c>
      <c r="G1793" s="81" t="s">
        <v>187</v>
      </c>
      <c r="H1793" s="81" t="s">
        <v>187</v>
      </c>
      <c r="I1793" s="81" t="s">
        <v>187</v>
      </c>
      <c r="J1793" s="81" t="s">
        <v>187</v>
      </c>
      <c r="K1793" s="81" t="s">
        <v>187</v>
      </c>
      <c r="L1793" s="81" t="s">
        <v>187</v>
      </c>
    </row>
    <row r="1794" ht="15.75" customHeight="1">
      <c r="A1794" s="262"/>
      <c r="B1794" s="262"/>
      <c r="C1794" s="263"/>
      <c r="D1794" s="262"/>
      <c r="E1794" s="81" t="s">
        <v>187</v>
      </c>
      <c r="F1794" s="81" t="s">
        <v>187</v>
      </c>
      <c r="G1794" s="81" t="s">
        <v>187</v>
      </c>
      <c r="H1794" s="81" t="s">
        <v>187</v>
      </c>
      <c r="I1794" s="81" t="s">
        <v>187</v>
      </c>
      <c r="J1794" s="81" t="s">
        <v>187</v>
      </c>
      <c r="K1794" s="81" t="s">
        <v>187</v>
      </c>
      <c r="L1794" s="81" t="s">
        <v>187</v>
      </c>
    </row>
    <row r="1795" ht="15.75" customHeight="1">
      <c r="A1795" s="262"/>
      <c r="B1795" s="262"/>
      <c r="C1795" s="263"/>
      <c r="D1795" s="262"/>
      <c r="E1795" s="81" t="s">
        <v>187</v>
      </c>
      <c r="F1795" s="81" t="s">
        <v>187</v>
      </c>
      <c r="G1795" s="81" t="s">
        <v>187</v>
      </c>
      <c r="H1795" s="81" t="s">
        <v>187</v>
      </c>
      <c r="I1795" s="81" t="s">
        <v>187</v>
      </c>
      <c r="J1795" s="81" t="s">
        <v>187</v>
      </c>
      <c r="K1795" s="81" t="s">
        <v>187</v>
      </c>
      <c r="L1795" s="81" t="s">
        <v>187</v>
      </c>
    </row>
    <row r="1796" ht="15.75" customHeight="1">
      <c r="A1796" s="262"/>
      <c r="B1796" s="262"/>
      <c r="C1796" s="263"/>
      <c r="D1796" s="262"/>
      <c r="E1796" s="81" t="s">
        <v>187</v>
      </c>
      <c r="F1796" s="81" t="s">
        <v>187</v>
      </c>
      <c r="G1796" s="81" t="s">
        <v>187</v>
      </c>
      <c r="H1796" s="81" t="s">
        <v>187</v>
      </c>
      <c r="I1796" s="81" t="s">
        <v>187</v>
      </c>
      <c r="J1796" s="81" t="s">
        <v>187</v>
      </c>
      <c r="K1796" s="81" t="s">
        <v>187</v>
      </c>
      <c r="L1796" s="81" t="s">
        <v>187</v>
      </c>
    </row>
    <row r="1797" ht="15.75" customHeight="1">
      <c r="A1797" s="262"/>
      <c r="B1797" s="262"/>
      <c r="C1797" s="263"/>
      <c r="D1797" s="262"/>
      <c r="E1797" s="81" t="s">
        <v>187</v>
      </c>
      <c r="F1797" s="81" t="s">
        <v>187</v>
      </c>
      <c r="G1797" s="81" t="s">
        <v>187</v>
      </c>
      <c r="H1797" s="81" t="s">
        <v>187</v>
      </c>
      <c r="I1797" s="81" t="s">
        <v>187</v>
      </c>
      <c r="J1797" s="81" t="s">
        <v>187</v>
      </c>
      <c r="K1797" s="81" t="s">
        <v>187</v>
      </c>
      <c r="L1797" s="81" t="s">
        <v>187</v>
      </c>
    </row>
    <row r="1798" ht="15.75" customHeight="1">
      <c r="A1798" s="262"/>
      <c r="B1798" s="262"/>
      <c r="C1798" s="263"/>
      <c r="D1798" s="262"/>
      <c r="E1798" s="81" t="s">
        <v>187</v>
      </c>
      <c r="F1798" s="81" t="s">
        <v>187</v>
      </c>
      <c r="G1798" s="81" t="s">
        <v>187</v>
      </c>
      <c r="H1798" s="81" t="s">
        <v>187</v>
      </c>
      <c r="I1798" s="81" t="s">
        <v>187</v>
      </c>
      <c r="J1798" s="81" t="s">
        <v>187</v>
      </c>
      <c r="K1798" s="81" t="s">
        <v>187</v>
      </c>
      <c r="L1798" s="81" t="s">
        <v>187</v>
      </c>
    </row>
    <row r="1799" ht="15.75" customHeight="1">
      <c r="A1799" s="262"/>
      <c r="B1799" s="262"/>
      <c r="C1799" s="263"/>
      <c r="D1799" s="262"/>
      <c r="E1799" s="81" t="s">
        <v>187</v>
      </c>
      <c r="F1799" s="81" t="s">
        <v>187</v>
      </c>
      <c r="G1799" s="81" t="s">
        <v>187</v>
      </c>
      <c r="H1799" s="81" t="s">
        <v>187</v>
      </c>
      <c r="I1799" s="81" t="s">
        <v>187</v>
      </c>
      <c r="J1799" s="81" t="s">
        <v>187</v>
      </c>
      <c r="K1799" s="81" t="s">
        <v>187</v>
      </c>
      <c r="L1799" s="81" t="s">
        <v>187</v>
      </c>
    </row>
    <row r="1800" ht="15.75" customHeight="1">
      <c r="A1800" s="262"/>
      <c r="B1800" s="262"/>
      <c r="C1800" s="263"/>
      <c r="D1800" s="262"/>
      <c r="E1800" s="81" t="s">
        <v>187</v>
      </c>
      <c r="F1800" s="81" t="s">
        <v>187</v>
      </c>
      <c r="G1800" s="81" t="s">
        <v>187</v>
      </c>
      <c r="H1800" s="81" t="s">
        <v>187</v>
      </c>
      <c r="I1800" s="81" t="s">
        <v>187</v>
      </c>
      <c r="J1800" s="81" t="s">
        <v>187</v>
      </c>
      <c r="K1800" s="81" t="s">
        <v>187</v>
      </c>
      <c r="L1800" s="81" t="s">
        <v>187</v>
      </c>
    </row>
    <row r="1801" ht="15.75" customHeight="1">
      <c r="A1801" s="262"/>
      <c r="B1801" s="262"/>
      <c r="C1801" s="263"/>
      <c r="D1801" s="262"/>
      <c r="E1801" s="81" t="s">
        <v>187</v>
      </c>
      <c r="F1801" s="81" t="s">
        <v>187</v>
      </c>
      <c r="G1801" s="81" t="s">
        <v>187</v>
      </c>
      <c r="H1801" s="81" t="s">
        <v>187</v>
      </c>
      <c r="I1801" s="81" t="s">
        <v>187</v>
      </c>
      <c r="J1801" s="81" t="s">
        <v>187</v>
      </c>
      <c r="K1801" s="81" t="s">
        <v>187</v>
      </c>
      <c r="L1801" s="81" t="s">
        <v>187</v>
      </c>
    </row>
    <row r="1802" ht="15.75" customHeight="1">
      <c r="A1802" s="262"/>
      <c r="B1802" s="262"/>
      <c r="C1802" s="263"/>
      <c r="D1802" s="262"/>
      <c r="E1802" s="81" t="s">
        <v>187</v>
      </c>
      <c r="F1802" s="81" t="s">
        <v>187</v>
      </c>
      <c r="G1802" s="81" t="s">
        <v>187</v>
      </c>
      <c r="H1802" s="81" t="s">
        <v>187</v>
      </c>
      <c r="I1802" s="81" t="s">
        <v>187</v>
      </c>
      <c r="J1802" s="81" t="s">
        <v>187</v>
      </c>
      <c r="K1802" s="81" t="s">
        <v>187</v>
      </c>
      <c r="L1802" s="81" t="s">
        <v>187</v>
      </c>
    </row>
    <row r="1803" ht="15.75" customHeight="1">
      <c r="A1803" s="262"/>
      <c r="B1803" s="262"/>
      <c r="C1803" s="263"/>
      <c r="D1803" s="262"/>
      <c r="E1803" s="81" t="s">
        <v>187</v>
      </c>
      <c r="F1803" s="81" t="s">
        <v>187</v>
      </c>
      <c r="G1803" s="81" t="s">
        <v>187</v>
      </c>
      <c r="H1803" s="81" t="s">
        <v>187</v>
      </c>
      <c r="I1803" s="81" t="s">
        <v>187</v>
      </c>
      <c r="J1803" s="81" t="s">
        <v>187</v>
      </c>
      <c r="K1803" s="81" t="s">
        <v>187</v>
      </c>
      <c r="L1803" s="81" t="s">
        <v>187</v>
      </c>
    </row>
    <row r="1804" ht="15.75" customHeight="1">
      <c r="A1804" s="262"/>
      <c r="B1804" s="262"/>
      <c r="C1804" s="263"/>
      <c r="D1804" s="262"/>
      <c r="E1804" s="81" t="s">
        <v>187</v>
      </c>
      <c r="F1804" s="81" t="s">
        <v>187</v>
      </c>
      <c r="G1804" s="81" t="s">
        <v>187</v>
      </c>
      <c r="H1804" s="81" t="s">
        <v>187</v>
      </c>
      <c r="I1804" s="81" t="s">
        <v>187</v>
      </c>
      <c r="J1804" s="81" t="s">
        <v>187</v>
      </c>
      <c r="K1804" s="81" t="s">
        <v>187</v>
      </c>
      <c r="L1804" s="81" t="s">
        <v>187</v>
      </c>
    </row>
    <row r="1805" ht="15.75" customHeight="1">
      <c r="A1805" s="262"/>
      <c r="B1805" s="262"/>
      <c r="C1805" s="263"/>
      <c r="D1805" s="262"/>
      <c r="E1805" s="81" t="s">
        <v>187</v>
      </c>
      <c r="F1805" s="81" t="s">
        <v>187</v>
      </c>
      <c r="G1805" s="81" t="s">
        <v>187</v>
      </c>
      <c r="H1805" s="81" t="s">
        <v>187</v>
      </c>
      <c r="I1805" s="81" t="s">
        <v>187</v>
      </c>
      <c r="J1805" s="81" t="s">
        <v>187</v>
      </c>
      <c r="K1805" s="81" t="s">
        <v>187</v>
      </c>
      <c r="L1805" s="81" t="s">
        <v>187</v>
      </c>
    </row>
    <row r="1806" ht="15.75" customHeight="1">
      <c r="A1806" s="262"/>
      <c r="B1806" s="262"/>
      <c r="C1806" s="263"/>
      <c r="D1806" s="262"/>
      <c r="E1806" s="81" t="s">
        <v>187</v>
      </c>
      <c r="F1806" s="81" t="s">
        <v>187</v>
      </c>
      <c r="G1806" s="81" t="s">
        <v>187</v>
      </c>
      <c r="H1806" s="81" t="s">
        <v>187</v>
      </c>
      <c r="I1806" s="81" t="s">
        <v>187</v>
      </c>
      <c r="J1806" s="81" t="s">
        <v>187</v>
      </c>
      <c r="K1806" s="81" t="s">
        <v>187</v>
      </c>
      <c r="L1806" s="81" t="s">
        <v>187</v>
      </c>
    </row>
    <row r="1807" ht="15.75" customHeight="1">
      <c r="A1807" s="262"/>
      <c r="B1807" s="262"/>
      <c r="C1807" s="263"/>
      <c r="D1807" s="262"/>
      <c r="E1807" s="81" t="s">
        <v>187</v>
      </c>
      <c r="F1807" s="81" t="s">
        <v>187</v>
      </c>
      <c r="G1807" s="81" t="s">
        <v>187</v>
      </c>
      <c r="H1807" s="81" t="s">
        <v>187</v>
      </c>
      <c r="I1807" s="81" t="s">
        <v>187</v>
      </c>
      <c r="J1807" s="81" t="s">
        <v>187</v>
      </c>
      <c r="K1807" s="81" t="s">
        <v>187</v>
      </c>
      <c r="L1807" s="81" t="s">
        <v>187</v>
      </c>
    </row>
    <row r="1808" ht="15.75" customHeight="1">
      <c r="A1808" s="262"/>
      <c r="B1808" s="262"/>
      <c r="C1808" s="263"/>
      <c r="D1808" s="262"/>
      <c r="E1808" s="81" t="s">
        <v>187</v>
      </c>
      <c r="F1808" s="81" t="s">
        <v>187</v>
      </c>
      <c r="G1808" s="81" t="s">
        <v>187</v>
      </c>
      <c r="H1808" s="81" t="s">
        <v>187</v>
      </c>
      <c r="I1808" s="81" t="s">
        <v>187</v>
      </c>
      <c r="J1808" s="81" t="s">
        <v>187</v>
      </c>
      <c r="K1808" s="81" t="s">
        <v>187</v>
      </c>
      <c r="L1808" s="81" t="s">
        <v>187</v>
      </c>
    </row>
    <row r="1809" ht="15.75" customHeight="1">
      <c r="A1809" s="262"/>
      <c r="B1809" s="262"/>
      <c r="C1809" s="263"/>
      <c r="D1809" s="262"/>
      <c r="E1809" s="81" t="s">
        <v>187</v>
      </c>
      <c r="F1809" s="81" t="s">
        <v>187</v>
      </c>
      <c r="G1809" s="81" t="s">
        <v>187</v>
      </c>
      <c r="H1809" s="81" t="s">
        <v>187</v>
      </c>
      <c r="I1809" s="81" t="s">
        <v>187</v>
      </c>
      <c r="J1809" s="81" t="s">
        <v>187</v>
      </c>
      <c r="K1809" s="81" t="s">
        <v>187</v>
      </c>
      <c r="L1809" s="81" t="s">
        <v>187</v>
      </c>
    </row>
    <row r="1810" ht="15.75" customHeight="1">
      <c r="A1810" s="262"/>
      <c r="B1810" s="262"/>
      <c r="C1810" s="263"/>
      <c r="D1810" s="262"/>
      <c r="E1810" s="81" t="s">
        <v>187</v>
      </c>
      <c r="F1810" s="81" t="s">
        <v>187</v>
      </c>
      <c r="G1810" s="81" t="s">
        <v>187</v>
      </c>
      <c r="H1810" s="81" t="s">
        <v>187</v>
      </c>
      <c r="I1810" s="81" t="s">
        <v>187</v>
      </c>
      <c r="J1810" s="81" t="s">
        <v>187</v>
      </c>
      <c r="K1810" s="81" t="s">
        <v>187</v>
      </c>
      <c r="L1810" s="81" t="s">
        <v>187</v>
      </c>
    </row>
    <row r="1811" ht="15.75" customHeight="1">
      <c r="A1811" s="262"/>
      <c r="B1811" s="262"/>
      <c r="C1811" s="263"/>
      <c r="D1811" s="262"/>
      <c r="E1811" s="81" t="s">
        <v>187</v>
      </c>
      <c r="F1811" s="81" t="s">
        <v>187</v>
      </c>
      <c r="G1811" s="81" t="s">
        <v>187</v>
      </c>
      <c r="H1811" s="81" t="s">
        <v>187</v>
      </c>
      <c r="I1811" s="81" t="s">
        <v>187</v>
      </c>
      <c r="J1811" s="81" t="s">
        <v>187</v>
      </c>
      <c r="K1811" s="81" t="s">
        <v>187</v>
      </c>
      <c r="L1811" s="81" t="s">
        <v>187</v>
      </c>
    </row>
    <row r="1812" ht="15.75" customHeight="1">
      <c r="A1812" s="262"/>
      <c r="B1812" s="262"/>
      <c r="C1812" s="263"/>
      <c r="D1812" s="262"/>
      <c r="E1812" s="81" t="s">
        <v>187</v>
      </c>
      <c r="F1812" s="81" t="s">
        <v>187</v>
      </c>
      <c r="G1812" s="81" t="s">
        <v>187</v>
      </c>
      <c r="H1812" s="81" t="s">
        <v>187</v>
      </c>
      <c r="I1812" s="81" t="s">
        <v>187</v>
      </c>
      <c r="J1812" s="81" t="s">
        <v>187</v>
      </c>
      <c r="K1812" s="81" t="s">
        <v>187</v>
      </c>
      <c r="L1812" s="81" t="s">
        <v>187</v>
      </c>
    </row>
    <row r="1813" ht="15.75" customHeight="1">
      <c r="A1813" s="262"/>
      <c r="B1813" s="262"/>
      <c r="C1813" s="263"/>
      <c r="D1813" s="262"/>
      <c r="E1813" s="81" t="s">
        <v>187</v>
      </c>
      <c r="F1813" s="81" t="s">
        <v>187</v>
      </c>
      <c r="G1813" s="81" t="s">
        <v>187</v>
      </c>
      <c r="H1813" s="81" t="s">
        <v>187</v>
      </c>
      <c r="I1813" s="81" t="s">
        <v>187</v>
      </c>
      <c r="J1813" s="81" t="s">
        <v>187</v>
      </c>
      <c r="K1813" s="81" t="s">
        <v>187</v>
      </c>
      <c r="L1813" s="81" t="s">
        <v>187</v>
      </c>
    </row>
    <row r="1814" ht="15.75" customHeight="1">
      <c r="A1814" s="262"/>
      <c r="B1814" s="262"/>
      <c r="C1814" s="263"/>
      <c r="D1814" s="262"/>
      <c r="E1814" s="81" t="s">
        <v>187</v>
      </c>
      <c r="F1814" s="81" t="s">
        <v>187</v>
      </c>
      <c r="G1814" s="81" t="s">
        <v>187</v>
      </c>
      <c r="H1814" s="81" t="s">
        <v>187</v>
      </c>
      <c r="I1814" s="81" t="s">
        <v>187</v>
      </c>
      <c r="J1814" s="81" t="s">
        <v>187</v>
      </c>
      <c r="K1814" s="81" t="s">
        <v>187</v>
      </c>
      <c r="L1814" s="81" t="s">
        <v>187</v>
      </c>
    </row>
    <row r="1815" ht="15.75" customHeight="1">
      <c r="A1815" s="262"/>
      <c r="B1815" s="262"/>
      <c r="C1815" s="263"/>
      <c r="D1815" s="262"/>
      <c r="E1815" s="81" t="s">
        <v>187</v>
      </c>
      <c r="F1815" s="81" t="s">
        <v>187</v>
      </c>
      <c r="G1815" s="81" t="s">
        <v>187</v>
      </c>
      <c r="H1815" s="81" t="s">
        <v>187</v>
      </c>
      <c r="I1815" s="81" t="s">
        <v>187</v>
      </c>
      <c r="J1815" s="81" t="s">
        <v>187</v>
      </c>
      <c r="K1815" s="81" t="s">
        <v>187</v>
      </c>
      <c r="L1815" s="81" t="s">
        <v>187</v>
      </c>
    </row>
    <row r="1816" ht="15.75" customHeight="1">
      <c r="A1816" s="262"/>
      <c r="B1816" s="262"/>
      <c r="C1816" s="263"/>
      <c r="D1816" s="262"/>
      <c r="E1816" s="81" t="s">
        <v>187</v>
      </c>
      <c r="F1816" s="81" t="s">
        <v>187</v>
      </c>
      <c r="G1816" s="81" t="s">
        <v>187</v>
      </c>
      <c r="H1816" s="81" t="s">
        <v>187</v>
      </c>
      <c r="I1816" s="81" t="s">
        <v>187</v>
      </c>
      <c r="J1816" s="81" t="s">
        <v>187</v>
      </c>
      <c r="K1816" s="81" t="s">
        <v>187</v>
      </c>
      <c r="L1816" s="81" t="s">
        <v>187</v>
      </c>
    </row>
    <row r="1817" ht="15.75" customHeight="1">
      <c r="A1817" s="262"/>
      <c r="B1817" s="262"/>
      <c r="C1817" s="263"/>
      <c r="D1817" s="262"/>
      <c r="E1817" s="81" t="s">
        <v>187</v>
      </c>
      <c r="F1817" s="81" t="s">
        <v>187</v>
      </c>
      <c r="G1817" s="81" t="s">
        <v>187</v>
      </c>
      <c r="H1817" s="81" t="s">
        <v>187</v>
      </c>
      <c r="I1817" s="81" t="s">
        <v>187</v>
      </c>
      <c r="J1817" s="81" t="s">
        <v>187</v>
      </c>
      <c r="K1817" s="81" t="s">
        <v>187</v>
      </c>
      <c r="L1817" s="81" t="s">
        <v>187</v>
      </c>
    </row>
    <row r="1818" ht="15.75" customHeight="1">
      <c r="A1818" s="262"/>
      <c r="B1818" s="262"/>
      <c r="C1818" s="263"/>
      <c r="D1818" s="262"/>
      <c r="E1818" s="81" t="s">
        <v>187</v>
      </c>
      <c r="F1818" s="81" t="s">
        <v>187</v>
      </c>
      <c r="G1818" s="81" t="s">
        <v>187</v>
      </c>
      <c r="H1818" s="81" t="s">
        <v>187</v>
      </c>
      <c r="I1818" s="81" t="s">
        <v>187</v>
      </c>
      <c r="J1818" s="81" t="s">
        <v>187</v>
      </c>
      <c r="K1818" s="81" t="s">
        <v>187</v>
      </c>
      <c r="L1818" s="81" t="s">
        <v>187</v>
      </c>
    </row>
    <row r="1819" ht="15.75" customHeight="1">
      <c r="A1819" s="262"/>
      <c r="B1819" s="262"/>
      <c r="C1819" s="263"/>
      <c r="D1819" s="262"/>
      <c r="E1819" s="81" t="s">
        <v>187</v>
      </c>
      <c r="F1819" s="81" t="s">
        <v>187</v>
      </c>
      <c r="G1819" s="81" t="s">
        <v>187</v>
      </c>
      <c r="H1819" s="81" t="s">
        <v>187</v>
      </c>
      <c r="I1819" s="81" t="s">
        <v>187</v>
      </c>
      <c r="J1819" s="81" t="s">
        <v>187</v>
      </c>
      <c r="K1819" s="81" t="s">
        <v>187</v>
      </c>
      <c r="L1819" s="81" t="s">
        <v>187</v>
      </c>
    </row>
    <row r="1820" ht="15.75" customHeight="1">
      <c r="A1820" s="262"/>
      <c r="B1820" s="262"/>
      <c r="C1820" s="263"/>
      <c r="D1820" s="262"/>
      <c r="E1820" s="81" t="s">
        <v>187</v>
      </c>
      <c r="F1820" s="81" t="s">
        <v>187</v>
      </c>
      <c r="G1820" s="81" t="s">
        <v>187</v>
      </c>
      <c r="H1820" s="81" t="s">
        <v>187</v>
      </c>
      <c r="I1820" s="81" t="s">
        <v>187</v>
      </c>
      <c r="J1820" s="81" t="s">
        <v>187</v>
      </c>
      <c r="K1820" s="81" t="s">
        <v>187</v>
      </c>
      <c r="L1820" s="81" t="s">
        <v>187</v>
      </c>
    </row>
    <row r="1821" ht="15.75" customHeight="1">
      <c r="A1821" s="262"/>
      <c r="B1821" s="262"/>
      <c r="C1821" s="263"/>
      <c r="D1821" s="262"/>
      <c r="E1821" s="81" t="s">
        <v>187</v>
      </c>
      <c r="F1821" s="81" t="s">
        <v>187</v>
      </c>
      <c r="G1821" s="81" t="s">
        <v>187</v>
      </c>
      <c r="H1821" s="81" t="s">
        <v>187</v>
      </c>
      <c r="I1821" s="81" t="s">
        <v>187</v>
      </c>
      <c r="J1821" s="81" t="s">
        <v>187</v>
      </c>
      <c r="K1821" s="81" t="s">
        <v>187</v>
      </c>
      <c r="L1821" s="81" t="s">
        <v>187</v>
      </c>
    </row>
    <row r="1822" ht="15.75" customHeight="1">
      <c r="A1822" s="262"/>
      <c r="B1822" s="262"/>
      <c r="C1822" s="263"/>
      <c r="D1822" s="262"/>
      <c r="E1822" s="81" t="s">
        <v>187</v>
      </c>
      <c r="F1822" s="81" t="s">
        <v>187</v>
      </c>
      <c r="G1822" s="81" t="s">
        <v>187</v>
      </c>
      <c r="H1822" s="81" t="s">
        <v>187</v>
      </c>
      <c r="I1822" s="81" t="s">
        <v>187</v>
      </c>
      <c r="J1822" s="81" t="s">
        <v>187</v>
      </c>
      <c r="K1822" s="81" t="s">
        <v>187</v>
      </c>
      <c r="L1822" s="81" t="s">
        <v>187</v>
      </c>
    </row>
    <row r="1823" ht="15.75" customHeight="1">
      <c r="A1823" s="262"/>
      <c r="B1823" s="262"/>
      <c r="C1823" s="263"/>
      <c r="D1823" s="262"/>
      <c r="E1823" s="81" t="s">
        <v>187</v>
      </c>
      <c r="F1823" s="81" t="s">
        <v>187</v>
      </c>
      <c r="G1823" s="81" t="s">
        <v>187</v>
      </c>
      <c r="H1823" s="81" t="s">
        <v>187</v>
      </c>
      <c r="I1823" s="81" t="s">
        <v>187</v>
      </c>
      <c r="J1823" s="81" t="s">
        <v>187</v>
      </c>
      <c r="K1823" s="81" t="s">
        <v>187</v>
      </c>
      <c r="L1823" s="81" t="s">
        <v>187</v>
      </c>
    </row>
    <row r="1824" ht="15.75" customHeight="1">
      <c r="A1824" s="262"/>
      <c r="B1824" s="262"/>
      <c r="C1824" s="263"/>
      <c r="D1824" s="262"/>
      <c r="E1824" s="81" t="s">
        <v>187</v>
      </c>
      <c r="F1824" s="81" t="s">
        <v>187</v>
      </c>
      <c r="G1824" s="81" t="s">
        <v>187</v>
      </c>
      <c r="H1824" s="81" t="s">
        <v>187</v>
      </c>
      <c r="I1824" s="81" t="s">
        <v>187</v>
      </c>
      <c r="J1824" s="81" t="s">
        <v>187</v>
      </c>
      <c r="K1824" s="81" t="s">
        <v>187</v>
      </c>
      <c r="L1824" s="81" t="s">
        <v>187</v>
      </c>
    </row>
    <row r="1825" ht="15.75" customHeight="1">
      <c r="A1825" s="262"/>
      <c r="B1825" s="262"/>
      <c r="C1825" s="263"/>
      <c r="D1825" s="262"/>
      <c r="E1825" s="81" t="s">
        <v>187</v>
      </c>
      <c r="F1825" s="81" t="s">
        <v>187</v>
      </c>
      <c r="G1825" s="81" t="s">
        <v>187</v>
      </c>
      <c r="H1825" s="81" t="s">
        <v>187</v>
      </c>
      <c r="I1825" s="81" t="s">
        <v>187</v>
      </c>
      <c r="J1825" s="81" t="s">
        <v>187</v>
      </c>
      <c r="K1825" s="81" t="s">
        <v>187</v>
      </c>
      <c r="L1825" s="81" t="s">
        <v>187</v>
      </c>
    </row>
    <row r="1826" ht="15.75" customHeight="1">
      <c r="A1826" s="262"/>
      <c r="B1826" s="262"/>
      <c r="C1826" s="263"/>
      <c r="D1826" s="262"/>
      <c r="E1826" s="81" t="s">
        <v>187</v>
      </c>
      <c r="F1826" s="81" t="s">
        <v>187</v>
      </c>
      <c r="G1826" s="81" t="s">
        <v>187</v>
      </c>
      <c r="H1826" s="81" t="s">
        <v>187</v>
      </c>
      <c r="I1826" s="81" t="s">
        <v>187</v>
      </c>
      <c r="J1826" s="81" t="s">
        <v>187</v>
      </c>
      <c r="K1826" s="81" t="s">
        <v>187</v>
      </c>
      <c r="L1826" s="81" t="s">
        <v>187</v>
      </c>
    </row>
    <row r="1827" ht="15.75" customHeight="1">
      <c r="A1827" s="262"/>
      <c r="B1827" s="262"/>
      <c r="C1827" s="263"/>
      <c r="D1827" s="262"/>
      <c r="E1827" s="81" t="s">
        <v>187</v>
      </c>
      <c r="F1827" s="81" t="s">
        <v>187</v>
      </c>
      <c r="G1827" s="81" t="s">
        <v>187</v>
      </c>
      <c r="H1827" s="81" t="s">
        <v>187</v>
      </c>
      <c r="I1827" s="81" t="s">
        <v>187</v>
      </c>
      <c r="J1827" s="81" t="s">
        <v>187</v>
      </c>
      <c r="K1827" s="81" t="s">
        <v>187</v>
      </c>
      <c r="L1827" s="81" t="s">
        <v>187</v>
      </c>
    </row>
    <row r="1828" ht="15.75" customHeight="1">
      <c r="A1828" s="262"/>
      <c r="B1828" s="262"/>
      <c r="C1828" s="263"/>
      <c r="D1828" s="262"/>
      <c r="E1828" s="81" t="s">
        <v>187</v>
      </c>
      <c r="F1828" s="81" t="s">
        <v>187</v>
      </c>
      <c r="G1828" s="81" t="s">
        <v>187</v>
      </c>
      <c r="H1828" s="81" t="s">
        <v>187</v>
      </c>
      <c r="I1828" s="81" t="s">
        <v>187</v>
      </c>
      <c r="J1828" s="81" t="s">
        <v>187</v>
      </c>
      <c r="K1828" s="81" t="s">
        <v>187</v>
      </c>
      <c r="L1828" s="81" t="s">
        <v>187</v>
      </c>
    </row>
    <row r="1829" ht="15.75" customHeight="1">
      <c r="A1829" s="262"/>
      <c r="B1829" s="262"/>
      <c r="C1829" s="263"/>
      <c r="D1829" s="262"/>
      <c r="E1829" s="81" t="s">
        <v>187</v>
      </c>
      <c r="F1829" s="81" t="s">
        <v>187</v>
      </c>
      <c r="G1829" s="81" t="s">
        <v>187</v>
      </c>
      <c r="H1829" s="81" t="s">
        <v>187</v>
      </c>
      <c r="I1829" s="81" t="s">
        <v>187</v>
      </c>
      <c r="J1829" s="81" t="s">
        <v>187</v>
      </c>
      <c r="K1829" s="81" t="s">
        <v>187</v>
      </c>
      <c r="L1829" s="81" t="s">
        <v>187</v>
      </c>
    </row>
    <row r="1830" ht="15.75" customHeight="1">
      <c r="A1830" s="262"/>
      <c r="B1830" s="262"/>
      <c r="C1830" s="263"/>
      <c r="D1830" s="262"/>
      <c r="E1830" s="81" t="s">
        <v>187</v>
      </c>
      <c r="F1830" s="81" t="s">
        <v>187</v>
      </c>
      <c r="G1830" s="81" t="s">
        <v>187</v>
      </c>
      <c r="H1830" s="81" t="s">
        <v>187</v>
      </c>
      <c r="I1830" s="81" t="s">
        <v>187</v>
      </c>
      <c r="J1830" s="81" t="s">
        <v>187</v>
      </c>
      <c r="K1830" s="81" t="s">
        <v>187</v>
      </c>
      <c r="L1830" s="81" t="s">
        <v>187</v>
      </c>
    </row>
    <row r="1831" ht="15.75" customHeight="1">
      <c r="A1831" s="262"/>
      <c r="B1831" s="262"/>
      <c r="C1831" s="263"/>
      <c r="D1831" s="262"/>
      <c r="E1831" s="81" t="s">
        <v>187</v>
      </c>
      <c r="F1831" s="81" t="s">
        <v>187</v>
      </c>
      <c r="G1831" s="81" t="s">
        <v>187</v>
      </c>
      <c r="H1831" s="81" t="s">
        <v>187</v>
      </c>
      <c r="I1831" s="81" t="s">
        <v>187</v>
      </c>
      <c r="J1831" s="81" t="s">
        <v>187</v>
      </c>
      <c r="K1831" s="81" t="s">
        <v>187</v>
      </c>
      <c r="L1831" s="81" t="s">
        <v>187</v>
      </c>
    </row>
    <row r="1832" ht="15.75" customHeight="1">
      <c r="A1832" s="262"/>
      <c r="B1832" s="262"/>
      <c r="C1832" s="263"/>
      <c r="D1832" s="262"/>
      <c r="E1832" s="81" t="s">
        <v>187</v>
      </c>
      <c r="F1832" s="81" t="s">
        <v>187</v>
      </c>
      <c r="G1832" s="81" t="s">
        <v>187</v>
      </c>
      <c r="H1832" s="81" t="s">
        <v>187</v>
      </c>
      <c r="I1832" s="81" t="s">
        <v>187</v>
      </c>
      <c r="J1832" s="81" t="s">
        <v>187</v>
      </c>
      <c r="K1832" s="81" t="s">
        <v>187</v>
      </c>
      <c r="L1832" s="81" t="s">
        <v>187</v>
      </c>
    </row>
    <row r="1833" ht="15.75" customHeight="1">
      <c r="A1833" s="262"/>
      <c r="B1833" s="262"/>
      <c r="C1833" s="263"/>
      <c r="D1833" s="262"/>
      <c r="E1833" s="81" t="s">
        <v>187</v>
      </c>
      <c r="F1833" s="81" t="s">
        <v>187</v>
      </c>
      <c r="G1833" s="81" t="s">
        <v>187</v>
      </c>
      <c r="H1833" s="81" t="s">
        <v>187</v>
      </c>
      <c r="I1833" s="81" t="s">
        <v>187</v>
      </c>
      <c r="J1833" s="81" t="s">
        <v>187</v>
      </c>
      <c r="K1833" s="81" t="s">
        <v>187</v>
      </c>
      <c r="L1833" s="81" t="s">
        <v>187</v>
      </c>
    </row>
    <row r="1834" ht="15.75" customHeight="1">
      <c r="A1834" s="262"/>
      <c r="B1834" s="262"/>
      <c r="C1834" s="263"/>
      <c r="D1834" s="262"/>
      <c r="E1834" s="81" t="s">
        <v>187</v>
      </c>
      <c r="F1834" s="81" t="s">
        <v>187</v>
      </c>
      <c r="G1834" s="81" t="s">
        <v>187</v>
      </c>
      <c r="H1834" s="81" t="s">
        <v>187</v>
      </c>
      <c r="I1834" s="81" t="s">
        <v>187</v>
      </c>
      <c r="J1834" s="81" t="s">
        <v>187</v>
      </c>
      <c r="K1834" s="81" t="s">
        <v>187</v>
      </c>
      <c r="L1834" s="81" t="s">
        <v>187</v>
      </c>
    </row>
    <row r="1835" ht="15.75" customHeight="1">
      <c r="A1835" s="262"/>
      <c r="B1835" s="262"/>
      <c r="C1835" s="263"/>
      <c r="D1835" s="262"/>
      <c r="E1835" s="81" t="s">
        <v>187</v>
      </c>
      <c r="F1835" s="81" t="s">
        <v>187</v>
      </c>
      <c r="G1835" s="81" t="s">
        <v>187</v>
      </c>
      <c r="H1835" s="81" t="s">
        <v>187</v>
      </c>
      <c r="I1835" s="81" t="s">
        <v>187</v>
      </c>
      <c r="J1835" s="81" t="s">
        <v>187</v>
      </c>
      <c r="K1835" s="81" t="s">
        <v>187</v>
      </c>
      <c r="L1835" s="81" t="s">
        <v>187</v>
      </c>
    </row>
    <row r="1836" ht="15.75" customHeight="1">
      <c r="A1836" s="262"/>
      <c r="B1836" s="262"/>
      <c r="C1836" s="263"/>
      <c r="D1836" s="262"/>
      <c r="E1836" s="81" t="s">
        <v>187</v>
      </c>
      <c r="F1836" s="81" t="s">
        <v>187</v>
      </c>
      <c r="G1836" s="81" t="s">
        <v>187</v>
      </c>
      <c r="H1836" s="81" t="s">
        <v>187</v>
      </c>
      <c r="I1836" s="81" t="s">
        <v>187</v>
      </c>
      <c r="J1836" s="81" t="s">
        <v>187</v>
      </c>
      <c r="K1836" s="81" t="s">
        <v>187</v>
      </c>
      <c r="L1836" s="81" t="s">
        <v>187</v>
      </c>
    </row>
    <row r="1837" ht="15.75" customHeight="1">
      <c r="A1837" s="262"/>
      <c r="B1837" s="262"/>
      <c r="C1837" s="263"/>
      <c r="D1837" s="262"/>
      <c r="E1837" s="81" t="s">
        <v>187</v>
      </c>
      <c r="F1837" s="81" t="s">
        <v>187</v>
      </c>
      <c r="G1837" s="81" t="s">
        <v>187</v>
      </c>
      <c r="H1837" s="81" t="s">
        <v>187</v>
      </c>
      <c r="I1837" s="81" t="s">
        <v>187</v>
      </c>
      <c r="J1837" s="81" t="s">
        <v>187</v>
      </c>
      <c r="K1837" s="81" t="s">
        <v>187</v>
      </c>
      <c r="L1837" s="81" t="s">
        <v>187</v>
      </c>
    </row>
    <row r="1838" ht="15.75" customHeight="1">
      <c r="A1838" s="262"/>
      <c r="B1838" s="262"/>
      <c r="C1838" s="263"/>
      <c r="D1838" s="262"/>
      <c r="E1838" s="81" t="s">
        <v>187</v>
      </c>
      <c r="F1838" s="81" t="s">
        <v>187</v>
      </c>
      <c r="G1838" s="81" t="s">
        <v>187</v>
      </c>
      <c r="H1838" s="81" t="s">
        <v>187</v>
      </c>
      <c r="I1838" s="81" t="s">
        <v>187</v>
      </c>
      <c r="J1838" s="81" t="s">
        <v>187</v>
      </c>
      <c r="K1838" s="81" t="s">
        <v>187</v>
      </c>
      <c r="L1838" s="81" t="s">
        <v>187</v>
      </c>
    </row>
    <row r="1839" ht="15.75" customHeight="1">
      <c r="A1839" s="262"/>
      <c r="B1839" s="262"/>
      <c r="C1839" s="263"/>
      <c r="D1839" s="262"/>
      <c r="E1839" s="81" t="s">
        <v>187</v>
      </c>
      <c r="F1839" s="81" t="s">
        <v>187</v>
      </c>
      <c r="G1839" s="81" t="s">
        <v>187</v>
      </c>
      <c r="H1839" s="81" t="s">
        <v>187</v>
      </c>
      <c r="I1839" s="81" t="s">
        <v>187</v>
      </c>
      <c r="J1839" s="81" t="s">
        <v>187</v>
      </c>
      <c r="K1839" s="81" t="s">
        <v>187</v>
      </c>
      <c r="L1839" s="81" t="s">
        <v>187</v>
      </c>
    </row>
    <row r="1840" ht="15.75" customHeight="1">
      <c r="A1840" s="262"/>
      <c r="B1840" s="262"/>
      <c r="C1840" s="263"/>
      <c r="D1840" s="262"/>
      <c r="E1840" s="81" t="s">
        <v>187</v>
      </c>
      <c r="F1840" s="81" t="s">
        <v>187</v>
      </c>
      <c r="G1840" s="81" t="s">
        <v>187</v>
      </c>
      <c r="H1840" s="81" t="s">
        <v>187</v>
      </c>
      <c r="I1840" s="81" t="s">
        <v>187</v>
      </c>
      <c r="J1840" s="81" t="s">
        <v>187</v>
      </c>
      <c r="K1840" s="81" t="s">
        <v>187</v>
      </c>
      <c r="L1840" s="81" t="s">
        <v>187</v>
      </c>
    </row>
    <row r="1841" ht="15.75" customHeight="1">
      <c r="A1841" s="262"/>
      <c r="B1841" s="262"/>
      <c r="C1841" s="263"/>
      <c r="D1841" s="262"/>
      <c r="E1841" s="81" t="s">
        <v>187</v>
      </c>
      <c r="F1841" s="81" t="s">
        <v>187</v>
      </c>
      <c r="G1841" s="81" t="s">
        <v>187</v>
      </c>
      <c r="H1841" s="81" t="s">
        <v>187</v>
      </c>
      <c r="I1841" s="81" t="s">
        <v>187</v>
      </c>
      <c r="J1841" s="81" t="s">
        <v>187</v>
      </c>
      <c r="K1841" s="81" t="s">
        <v>187</v>
      </c>
      <c r="L1841" s="81" t="s">
        <v>187</v>
      </c>
    </row>
    <row r="1842" ht="15.75" customHeight="1">
      <c r="A1842" s="262"/>
      <c r="B1842" s="262"/>
      <c r="C1842" s="263"/>
      <c r="D1842" s="262"/>
      <c r="E1842" s="81" t="s">
        <v>187</v>
      </c>
      <c r="F1842" s="81" t="s">
        <v>187</v>
      </c>
      <c r="G1842" s="81" t="s">
        <v>187</v>
      </c>
      <c r="H1842" s="81" t="s">
        <v>187</v>
      </c>
      <c r="I1842" s="81" t="s">
        <v>187</v>
      </c>
      <c r="J1842" s="81" t="s">
        <v>187</v>
      </c>
      <c r="K1842" s="81" t="s">
        <v>187</v>
      </c>
      <c r="L1842" s="81" t="s">
        <v>187</v>
      </c>
    </row>
    <row r="1843" ht="15.75" customHeight="1">
      <c r="A1843" s="262"/>
      <c r="B1843" s="262"/>
      <c r="C1843" s="263"/>
      <c r="D1843" s="262"/>
      <c r="E1843" s="81" t="s">
        <v>187</v>
      </c>
      <c r="F1843" s="81" t="s">
        <v>187</v>
      </c>
      <c r="G1843" s="81" t="s">
        <v>187</v>
      </c>
      <c r="H1843" s="81" t="s">
        <v>187</v>
      </c>
      <c r="I1843" s="81" t="s">
        <v>187</v>
      </c>
      <c r="J1843" s="81" t="s">
        <v>187</v>
      </c>
      <c r="K1843" s="81" t="s">
        <v>187</v>
      </c>
      <c r="L1843" s="81" t="s">
        <v>187</v>
      </c>
    </row>
    <row r="1844" ht="15.75" customHeight="1">
      <c r="A1844" s="262"/>
      <c r="B1844" s="262"/>
      <c r="C1844" s="263"/>
      <c r="D1844" s="262"/>
      <c r="E1844" s="81" t="s">
        <v>187</v>
      </c>
      <c r="F1844" s="81" t="s">
        <v>187</v>
      </c>
      <c r="G1844" s="81" t="s">
        <v>187</v>
      </c>
      <c r="H1844" s="81" t="s">
        <v>187</v>
      </c>
      <c r="I1844" s="81" t="s">
        <v>187</v>
      </c>
      <c r="J1844" s="81" t="s">
        <v>187</v>
      </c>
      <c r="K1844" s="81" t="s">
        <v>187</v>
      </c>
      <c r="L1844" s="81" t="s">
        <v>187</v>
      </c>
    </row>
    <row r="1845" ht="15.75" customHeight="1">
      <c r="A1845" s="262"/>
      <c r="B1845" s="262"/>
      <c r="C1845" s="263"/>
      <c r="D1845" s="262"/>
      <c r="E1845" s="81" t="s">
        <v>187</v>
      </c>
      <c r="F1845" s="81" t="s">
        <v>187</v>
      </c>
      <c r="G1845" s="81" t="s">
        <v>187</v>
      </c>
      <c r="H1845" s="81" t="s">
        <v>187</v>
      </c>
      <c r="I1845" s="81" t="s">
        <v>187</v>
      </c>
      <c r="J1845" s="81" t="s">
        <v>187</v>
      </c>
      <c r="K1845" s="81" t="s">
        <v>187</v>
      </c>
      <c r="L1845" s="81" t="s">
        <v>187</v>
      </c>
    </row>
    <row r="1846" ht="15.75" customHeight="1">
      <c r="A1846" s="262"/>
      <c r="B1846" s="262"/>
      <c r="C1846" s="263"/>
      <c r="D1846" s="262"/>
      <c r="E1846" s="81" t="s">
        <v>187</v>
      </c>
      <c r="F1846" s="81" t="s">
        <v>187</v>
      </c>
      <c r="G1846" s="81" t="s">
        <v>187</v>
      </c>
      <c r="H1846" s="81" t="s">
        <v>187</v>
      </c>
      <c r="I1846" s="81" t="s">
        <v>187</v>
      </c>
      <c r="J1846" s="81" t="s">
        <v>187</v>
      </c>
      <c r="K1846" s="81" t="s">
        <v>187</v>
      </c>
      <c r="L1846" s="81" t="s">
        <v>187</v>
      </c>
    </row>
    <row r="1847" ht="15.75" customHeight="1">
      <c r="A1847" s="262"/>
      <c r="B1847" s="262"/>
      <c r="C1847" s="263"/>
      <c r="D1847" s="262"/>
      <c r="E1847" s="81" t="s">
        <v>187</v>
      </c>
      <c r="F1847" s="81" t="s">
        <v>187</v>
      </c>
      <c r="G1847" s="81" t="s">
        <v>187</v>
      </c>
      <c r="H1847" s="81" t="s">
        <v>187</v>
      </c>
      <c r="I1847" s="81" t="s">
        <v>187</v>
      </c>
      <c r="J1847" s="81" t="s">
        <v>187</v>
      </c>
      <c r="K1847" s="81" t="s">
        <v>187</v>
      </c>
      <c r="L1847" s="81" t="s">
        <v>187</v>
      </c>
    </row>
    <row r="1848" ht="15.75" customHeight="1">
      <c r="A1848" s="262"/>
      <c r="B1848" s="262"/>
      <c r="C1848" s="263"/>
      <c r="D1848" s="262"/>
      <c r="E1848" s="81" t="s">
        <v>187</v>
      </c>
      <c r="F1848" s="81" t="s">
        <v>187</v>
      </c>
      <c r="G1848" s="81" t="s">
        <v>187</v>
      </c>
      <c r="H1848" s="81" t="s">
        <v>187</v>
      </c>
      <c r="I1848" s="81" t="s">
        <v>187</v>
      </c>
      <c r="J1848" s="81" t="s">
        <v>187</v>
      </c>
      <c r="K1848" s="81" t="s">
        <v>187</v>
      </c>
      <c r="L1848" s="81" t="s">
        <v>187</v>
      </c>
    </row>
    <row r="1849" ht="15.75" customHeight="1">
      <c r="A1849" s="262"/>
      <c r="B1849" s="262"/>
      <c r="C1849" s="263"/>
      <c r="D1849" s="262"/>
      <c r="E1849" s="81" t="s">
        <v>187</v>
      </c>
      <c r="F1849" s="81" t="s">
        <v>187</v>
      </c>
      <c r="G1849" s="81" t="s">
        <v>187</v>
      </c>
      <c r="H1849" s="81" t="s">
        <v>187</v>
      </c>
      <c r="I1849" s="81" t="s">
        <v>187</v>
      </c>
      <c r="J1849" s="81" t="s">
        <v>187</v>
      </c>
      <c r="K1849" s="81" t="s">
        <v>187</v>
      </c>
      <c r="L1849" s="81" t="s">
        <v>187</v>
      </c>
    </row>
    <row r="1850" ht="15.75" customHeight="1">
      <c r="A1850" s="262"/>
      <c r="B1850" s="262"/>
      <c r="C1850" s="263"/>
      <c r="D1850" s="262"/>
      <c r="E1850" s="81" t="s">
        <v>187</v>
      </c>
      <c r="F1850" s="81" t="s">
        <v>187</v>
      </c>
      <c r="G1850" s="81" t="s">
        <v>187</v>
      </c>
      <c r="H1850" s="81" t="s">
        <v>187</v>
      </c>
      <c r="I1850" s="81" t="s">
        <v>187</v>
      </c>
      <c r="J1850" s="81" t="s">
        <v>187</v>
      </c>
      <c r="K1850" s="81" t="s">
        <v>187</v>
      </c>
      <c r="L1850" s="81" t="s">
        <v>187</v>
      </c>
    </row>
    <row r="1851" ht="15.75" customHeight="1">
      <c r="A1851" s="262"/>
      <c r="B1851" s="262"/>
      <c r="C1851" s="263"/>
      <c r="D1851" s="262"/>
      <c r="E1851" s="81" t="s">
        <v>187</v>
      </c>
      <c r="F1851" s="81" t="s">
        <v>187</v>
      </c>
      <c r="G1851" s="81" t="s">
        <v>187</v>
      </c>
      <c r="H1851" s="81" t="s">
        <v>187</v>
      </c>
      <c r="I1851" s="81" t="s">
        <v>187</v>
      </c>
      <c r="J1851" s="81" t="s">
        <v>187</v>
      </c>
      <c r="K1851" s="81" t="s">
        <v>187</v>
      </c>
      <c r="L1851" s="81" t="s">
        <v>187</v>
      </c>
    </row>
    <row r="1852" ht="15.75" customHeight="1">
      <c r="A1852" s="262"/>
      <c r="B1852" s="262"/>
      <c r="C1852" s="263"/>
      <c r="D1852" s="262"/>
      <c r="E1852" s="81" t="s">
        <v>187</v>
      </c>
      <c r="F1852" s="81" t="s">
        <v>187</v>
      </c>
      <c r="G1852" s="81" t="s">
        <v>187</v>
      </c>
      <c r="H1852" s="81" t="s">
        <v>187</v>
      </c>
      <c r="I1852" s="81" t="s">
        <v>187</v>
      </c>
      <c r="J1852" s="81" t="s">
        <v>187</v>
      </c>
      <c r="K1852" s="81" t="s">
        <v>187</v>
      </c>
      <c r="L1852" s="81" t="s">
        <v>187</v>
      </c>
    </row>
    <row r="1853" ht="15.75" customHeight="1">
      <c r="A1853" s="262"/>
      <c r="B1853" s="262"/>
      <c r="C1853" s="263"/>
      <c r="D1853" s="262"/>
      <c r="E1853" s="81" t="s">
        <v>187</v>
      </c>
      <c r="F1853" s="81" t="s">
        <v>187</v>
      </c>
      <c r="G1853" s="81" t="s">
        <v>187</v>
      </c>
      <c r="H1853" s="81" t="s">
        <v>187</v>
      </c>
      <c r="I1853" s="81" t="s">
        <v>187</v>
      </c>
      <c r="J1853" s="81" t="s">
        <v>187</v>
      </c>
      <c r="K1853" s="81" t="s">
        <v>187</v>
      </c>
      <c r="L1853" s="81" t="s">
        <v>187</v>
      </c>
    </row>
    <row r="1854" ht="15.75" customHeight="1">
      <c r="A1854" s="262"/>
      <c r="B1854" s="262"/>
      <c r="C1854" s="263"/>
      <c r="D1854" s="262"/>
      <c r="E1854" s="81" t="s">
        <v>187</v>
      </c>
      <c r="F1854" s="81" t="s">
        <v>187</v>
      </c>
      <c r="G1854" s="81" t="s">
        <v>187</v>
      </c>
      <c r="H1854" s="81" t="s">
        <v>187</v>
      </c>
      <c r="I1854" s="81" t="s">
        <v>187</v>
      </c>
      <c r="J1854" s="81" t="s">
        <v>187</v>
      </c>
      <c r="K1854" s="81" t="s">
        <v>187</v>
      </c>
      <c r="L1854" s="81" t="s">
        <v>187</v>
      </c>
    </row>
    <row r="1855" ht="15.75" customHeight="1">
      <c r="A1855" s="262"/>
      <c r="B1855" s="262"/>
      <c r="C1855" s="263"/>
      <c r="D1855" s="262"/>
      <c r="E1855" s="81" t="s">
        <v>187</v>
      </c>
      <c r="F1855" s="81" t="s">
        <v>187</v>
      </c>
      <c r="G1855" s="81" t="s">
        <v>187</v>
      </c>
      <c r="H1855" s="81" t="s">
        <v>187</v>
      </c>
      <c r="I1855" s="81" t="s">
        <v>187</v>
      </c>
      <c r="J1855" s="81" t="s">
        <v>187</v>
      </c>
      <c r="K1855" s="81" t="s">
        <v>187</v>
      </c>
      <c r="L1855" s="81" t="s">
        <v>187</v>
      </c>
    </row>
    <row r="1856" ht="15.75" customHeight="1">
      <c r="A1856" s="262"/>
      <c r="B1856" s="262"/>
      <c r="C1856" s="263"/>
      <c r="D1856" s="262"/>
      <c r="E1856" s="81" t="s">
        <v>187</v>
      </c>
      <c r="F1856" s="81" t="s">
        <v>187</v>
      </c>
      <c r="G1856" s="81" t="s">
        <v>187</v>
      </c>
      <c r="H1856" s="81" t="s">
        <v>187</v>
      </c>
      <c r="I1856" s="81" t="s">
        <v>187</v>
      </c>
      <c r="J1856" s="81" t="s">
        <v>187</v>
      </c>
      <c r="K1856" s="81" t="s">
        <v>187</v>
      </c>
      <c r="L1856" s="81" t="s">
        <v>187</v>
      </c>
    </row>
    <row r="1857" ht="15.75" customHeight="1">
      <c r="A1857" s="262"/>
      <c r="B1857" s="262"/>
      <c r="C1857" s="263"/>
      <c r="D1857" s="262"/>
      <c r="E1857" s="81" t="s">
        <v>187</v>
      </c>
      <c r="F1857" s="81" t="s">
        <v>187</v>
      </c>
      <c r="G1857" s="81" t="s">
        <v>187</v>
      </c>
      <c r="H1857" s="81" t="s">
        <v>187</v>
      </c>
      <c r="I1857" s="81" t="s">
        <v>187</v>
      </c>
      <c r="J1857" s="81" t="s">
        <v>187</v>
      </c>
      <c r="K1857" s="81" t="s">
        <v>187</v>
      </c>
      <c r="L1857" s="81" t="s">
        <v>187</v>
      </c>
    </row>
    <row r="1858" ht="15.75" customHeight="1">
      <c r="A1858" s="262"/>
      <c r="B1858" s="262"/>
      <c r="C1858" s="263"/>
      <c r="D1858" s="262"/>
      <c r="E1858" s="81" t="s">
        <v>187</v>
      </c>
      <c r="F1858" s="81" t="s">
        <v>187</v>
      </c>
      <c r="G1858" s="81" t="s">
        <v>187</v>
      </c>
      <c r="H1858" s="81" t="s">
        <v>187</v>
      </c>
      <c r="I1858" s="81" t="s">
        <v>187</v>
      </c>
      <c r="J1858" s="81" t="s">
        <v>187</v>
      </c>
      <c r="K1858" s="81" t="s">
        <v>187</v>
      </c>
      <c r="L1858" s="81" t="s">
        <v>187</v>
      </c>
    </row>
    <row r="1859" ht="15.75" customHeight="1">
      <c r="A1859" s="262"/>
      <c r="B1859" s="262"/>
      <c r="C1859" s="263"/>
      <c r="D1859" s="262"/>
      <c r="E1859" s="81" t="s">
        <v>187</v>
      </c>
      <c r="F1859" s="81" t="s">
        <v>187</v>
      </c>
      <c r="G1859" s="81" t="s">
        <v>187</v>
      </c>
      <c r="H1859" s="81" t="s">
        <v>187</v>
      </c>
      <c r="I1859" s="81" t="s">
        <v>187</v>
      </c>
      <c r="J1859" s="81" t="s">
        <v>187</v>
      </c>
      <c r="K1859" s="81" t="s">
        <v>187</v>
      </c>
      <c r="L1859" s="81" t="s">
        <v>187</v>
      </c>
    </row>
    <row r="1860" ht="15.75" customHeight="1">
      <c r="A1860" s="262"/>
      <c r="B1860" s="262"/>
      <c r="C1860" s="263"/>
      <c r="D1860" s="262"/>
      <c r="E1860" s="81" t="s">
        <v>187</v>
      </c>
      <c r="F1860" s="81" t="s">
        <v>187</v>
      </c>
      <c r="G1860" s="81" t="s">
        <v>187</v>
      </c>
      <c r="H1860" s="81" t="s">
        <v>187</v>
      </c>
      <c r="I1860" s="81" t="s">
        <v>187</v>
      </c>
      <c r="J1860" s="81" t="s">
        <v>187</v>
      </c>
      <c r="K1860" s="81" t="s">
        <v>187</v>
      </c>
      <c r="L1860" s="81" t="s">
        <v>187</v>
      </c>
    </row>
    <row r="1861" ht="15.75" customHeight="1">
      <c r="A1861" s="262"/>
      <c r="B1861" s="262"/>
      <c r="C1861" s="263"/>
      <c r="D1861" s="262"/>
      <c r="E1861" s="81" t="s">
        <v>187</v>
      </c>
      <c r="F1861" s="81" t="s">
        <v>187</v>
      </c>
      <c r="G1861" s="81" t="s">
        <v>187</v>
      </c>
      <c r="H1861" s="81" t="s">
        <v>187</v>
      </c>
      <c r="I1861" s="81" t="s">
        <v>187</v>
      </c>
      <c r="J1861" s="81" t="s">
        <v>187</v>
      </c>
      <c r="K1861" s="81" t="s">
        <v>187</v>
      </c>
      <c r="L1861" s="81" t="s">
        <v>187</v>
      </c>
    </row>
    <row r="1862" ht="15.75" customHeight="1">
      <c r="A1862" s="262"/>
      <c r="B1862" s="262"/>
      <c r="C1862" s="263"/>
      <c r="D1862" s="262"/>
      <c r="E1862" s="81" t="s">
        <v>187</v>
      </c>
      <c r="F1862" s="81" t="s">
        <v>187</v>
      </c>
      <c r="G1862" s="81" t="s">
        <v>187</v>
      </c>
      <c r="H1862" s="81" t="s">
        <v>187</v>
      </c>
      <c r="I1862" s="81" t="s">
        <v>187</v>
      </c>
      <c r="J1862" s="81" t="s">
        <v>187</v>
      </c>
      <c r="K1862" s="81" t="s">
        <v>187</v>
      </c>
      <c r="L1862" s="81" t="s">
        <v>187</v>
      </c>
    </row>
    <row r="1863" ht="15.75" customHeight="1">
      <c r="A1863" s="262"/>
      <c r="B1863" s="262"/>
      <c r="C1863" s="263"/>
      <c r="D1863" s="262"/>
      <c r="E1863" s="81" t="s">
        <v>187</v>
      </c>
      <c r="F1863" s="81" t="s">
        <v>187</v>
      </c>
      <c r="G1863" s="81" t="s">
        <v>187</v>
      </c>
      <c r="H1863" s="81" t="s">
        <v>187</v>
      </c>
      <c r="I1863" s="81" t="s">
        <v>187</v>
      </c>
      <c r="J1863" s="81" t="s">
        <v>187</v>
      </c>
      <c r="K1863" s="81" t="s">
        <v>187</v>
      </c>
      <c r="L1863" s="81" t="s">
        <v>187</v>
      </c>
    </row>
    <row r="1864" ht="15.75" customHeight="1">
      <c r="A1864" s="262"/>
      <c r="B1864" s="262"/>
      <c r="C1864" s="263"/>
      <c r="D1864" s="262"/>
      <c r="E1864" s="81" t="s">
        <v>187</v>
      </c>
      <c r="F1864" s="81" t="s">
        <v>187</v>
      </c>
      <c r="G1864" s="81" t="s">
        <v>187</v>
      </c>
      <c r="H1864" s="81" t="s">
        <v>187</v>
      </c>
      <c r="I1864" s="81" t="s">
        <v>187</v>
      </c>
      <c r="J1864" s="81" t="s">
        <v>187</v>
      </c>
      <c r="K1864" s="81" t="s">
        <v>187</v>
      </c>
      <c r="L1864" s="81" t="s">
        <v>187</v>
      </c>
    </row>
    <row r="1865" ht="15.75" customHeight="1">
      <c r="A1865" s="262"/>
      <c r="B1865" s="262"/>
      <c r="C1865" s="263"/>
      <c r="D1865" s="262"/>
      <c r="E1865" s="81" t="s">
        <v>187</v>
      </c>
      <c r="F1865" s="81" t="s">
        <v>187</v>
      </c>
      <c r="G1865" s="81" t="s">
        <v>187</v>
      </c>
      <c r="H1865" s="81" t="s">
        <v>187</v>
      </c>
      <c r="I1865" s="81" t="s">
        <v>187</v>
      </c>
      <c r="J1865" s="81" t="s">
        <v>187</v>
      </c>
      <c r="K1865" s="81" t="s">
        <v>187</v>
      </c>
      <c r="L1865" s="81" t="s">
        <v>187</v>
      </c>
    </row>
    <row r="1866" ht="15.75" customHeight="1">
      <c r="A1866" s="262"/>
      <c r="B1866" s="262"/>
      <c r="C1866" s="263"/>
      <c r="D1866" s="262"/>
      <c r="E1866" s="81" t="s">
        <v>187</v>
      </c>
      <c r="F1866" s="81" t="s">
        <v>187</v>
      </c>
      <c r="G1866" s="81" t="s">
        <v>187</v>
      </c>
      <c r="H1866" s="81" t="s">
        <v>187</v>
      </c>
      <c r="I1866" s="81" t="s">
        <v>187</v>
      </c>
      <c r="J1866" s="81" t="s">
        <v>187</v>
      </c>
      <c r="K1866" s="81" t="s">
        <v>187</v>
      </c>
      <c r="L1866" s="81" t="s">
        <v>187</v>
      </c>
    </row>
    <row r="1867" ht="15.75" customHeight="1">
      <c r="A1867" s="262"/>
      <c r="B1867" s="262"/>
      <c r="C1867" s="263"/>
      <c r="D1867" s="262"/>
      <c r="E1867" s="81" t="s">
        <v>187</v>
      </c>
      <c r="F1867" s="81" t="s">
        <v>187</v>
      </c>
      <c r="G1867" s="81" t="s">
        <v>187</v>
      </c>
      <c r="H1867" s="81" t="s">
        <v>187</v>
      </c>
      <c r="I1867" s="81" t="s">
        <v>187</v>
      </c>
      <c r="J1867" s="81" t="s">
        <v>187</v>
      </c>
      <c r="K1867" s="81" t="s">
        <v>187</v>
      </c>
      <c r="L1867" s="81" t="s">
        <v>187</v>
      </c>
    </row>
    <row r="1868" ht="15.75" customHeight="1">
      <c r="A1868" s="262"/>
      <c r="B1868" s="262"/>
      <c r="C1868" s="263"/>
      <c r="D1868" s="262"/>
      <c r="E1868" s="81" t="s">
        <v>187</v>
      </c>
      <c r="F1868" s="81" t="s">
        <v>187</v>
      </c>
      <c r="G1868" s="81" t="s">
        <v>187</v>
      </c>
      <c r="H1868" s="81" t="s">
        <v>187</v>
      </c>
      <c r="I1868" s="81" t="s">
        <v>187</v>
      </c>
      <c r="J1868" s="81" t="s">
        <v>187</v>
      </c>
      <c r="K1868" s="81" t="s">
        <v>187</v>
      </c>
      <c r="L1868" s="81" t="s">
        <v>187</v>
      </c>
    </row>
    <row r="1869" ht="15.75" customHeight="1">
      <c r="A1869" s="262"/>
      <c r="B1869" s="262"/>
      <c r="C1869" s="263"/>
      <c r="D1869" s="262"/>
      <c r="E1869" s="81" t="s">
        <v>187</v>
      </c>
      <c r="F1869" s="81" t="s">
        <v>187</v>
      </c>
      <c r="G1869" s="81" t="s">
        <v>187</v>
      </c>
      <c r="H1869" s="81" t="s">
        <v>187</v>
      </c>
      <c r="I1869" s="81" t="s">
        <v>187</v>
      </c>
      <c r="J1869" s="81" t="s">
        <v>187</v>
      </c>
      <c r="K1869" s="81" t="s">
        <v>187</v>
      </c>
      <c r="L1869" s="81" t="s">
        <v>187</v>
      </c>
    </row>
    <row r="1870" ht="15.75" customHeight="1">
      <c r="A1870" s="262"/>
      <c r="B1870" s="262"/>
      <c r="C1870" s="263"/>
      <c r="D1870" s="262"/>
      <c r="E1870" s="81" t="s">
        <v>187</v>
      </c>
      <c r="F1870" s="81" t="s">
        <v>187</v>
      </c>
      <c r="G1870" s="81" t="s">
        <v>187</v>
      </c>
      <c r="H1870" s="81" t="s">
        <v>187</v>
      </c>
      <c r="I1870" s="81" t="s">
        <v>187</v>
      </c>
      <c r="J1870" s="81" t="s">
        <v>187</v>
      </c>
      <c r="K1870" s="81" t="s">
        <v>187</v>
      </c>
      <c r="L1870" s="81" t="s">
        <v>187</v>
      </c>
    </row>
    <row r="1871" ht="15.75" customHeight="1">
      <c r="A1871" s="262"/>
      <c r="B1871" s="262"/>
      <c r="C1871" s="263"/>
      <c r="D1871" s="262"/>
      <c r="E1871" s="81" t="s">
        <v>187</v>
      </c>
      <c r="F1871" s="81" t="s">
        <v>187</v>
      </c>
      <c r="G1871" s="81" t="s">
        <v>187</v>
      </c>
      <c r="H1871" s="81" t="s">
        <v>187</v>
      </c>
      <c r="I1871" s="81" t="s">
        <v>187</v>
      </c>
      <c r="J1871" s="81" t="s">
        <v>187</v>
      </c>
      <c r="K1871" s="81" t="s">
        <v>187</v>
      </c>
      <c r="L1871" s="81" t="s">
        <v>187</v>
      </c>
    </row>
    <row r="1872" ht="15.75" customHeight="1">
      <c r="A1872" s="262"/>
      <c r="B1872" s="262"/>
      <c r="C1872" s="263"/>
      <c r="D1872" s="262"/>
      <c r="E1872" s="81" t="s">
        <v>187</v>
      </c>
      <c r="F1872" s="81" t="s">
        <v>187</v>
      </c>
      <c r="G1872" s="81" t="s">
        <v>187</v>
      </c>
      <c r="H1872" s="81" t="s">
        <v>187</v>
      </c>
      <c r="I1872" s="81" t="s">
        <v>187</v>
      </c>
      <c r="J1872" s="81" t="s">
        <v>187</v>
      </c>
      <c r="K1872" s="81" t="s">
        <v>187</v>
      </c>
      <c r="L1872" s="81" t="s">
        <v>187</v>
      </c>
    </row>
    <row r="1873" ht="15.75" customHeight="1">
      <c r="A1873" s="262"/>
      <c r="B1873" s="262"/>
      <c r="C1873" s="263"/>
      <c r="D1873" s="262"/>
      <c r="E1873" s="81" t="s">
        <v>187</v>
      </c>
      <c r="F1873" s="81" t="s">
        <v>187</v>
      </c>
      <c r="G1873" s="81" t="s">
        <v>187</v>
      </c>
      <c r="H1873" s="81" t="s">
        <v>187</v>
      </c>
      <c r="I1873" s="81" t="s">
        <v>187</v>
      </c>
      <c r="J1873" s="81" t="s">
        <v>187</v>
      </c>
      <c r="K1873" s="81" t="s">
        <v>187</v>
      </c>
      <c r="L1873" s="81" t="s">
        <v>187</v>
      </c>
    </row>
    <row r="1874" ht="15.75" customHeight="1">
      <c r="A1874" s="262"/>
      <c r="B1874" s="262"/>
      <c r="C1874" s="263"/>
      <c r="D1874" s="262"/>
      <c r="E1874" s="81" t="s">
        <v>187</v>
      </c>
      <c r="F1874" s="81" t="s">
        <v>187</v>
      </c>
      <c r="G1874" s="81" t="s">
        <v>187</v>
      </c>
      <c r="H1874" s="81" t="s">
        <v>187</v>
      </c>
      <c r="I1874" s="81" t="s">
        <v>187</v>
      </c>
      <c r="J1874" s="81" t="s">
        <v>187</v>
      </c>
      <c r="K1874" s="81" t="s">
        <v>187</v>
      </c>
      <c r="L1874" s="81" t="s">
        <v>187</v>
      </c>
    </row>
    <row r="1875" ht="15.75" customHeight="1">
      <c r="A1875" s="262"/>
      <c r="B1875" s="262"/>
      <c r="C1875" s="263"/>
      <c r="D1875" s="262"/>
      <c r="E1875" s="81" t="s">
        <v>187</v>
      </c>
      <c r="F1875" s="81" t="s">
        <v>187</v>
      </c>
      <c r="G1875" s="81" t="s">
        <v>187</v>
      </c>
      <c r="H1875" s="81" t="s">
        <v>187</v>
      </c>
      <c r="I1875" s="81" t="s">
        <v>187</v>
      </c>
      <c r="J1875" s="81" t="s">
        <v>187</v>
      </c>
      <c r="K1875" s="81" t="s">
        <v>187</v>
      </c>
      <c r="L1875" s="81" t="s">
        <v>187</v>
      </c>
    </row>
    <row r="1876" ht="15.75" customHeight="1">
      <c r="A1876" s="262"/>
      <c r="B1876" s="262"/>
      <c r="C1876" s="263"/>
      <c r="D1876" s="262"/>
      <c r="E1876" s="81" t="s">
        <v>187</v>
      </c>
      <c r="F1876" s="81" t="s">
        <v>187</v>
      </c>
      <c r="G1876" s="81" t="s">
        <v>187</v>
      </c>
      <c r="H1876" s="81" t="s">
        <v>187</v>
      </c>
      <c r="I1876" s="81" t="s">
        <v>187</v>
      </c>
      <c r="J1876" s="81" t="s">
        <v>187</v>
      </c>
      <c r="K1876" s="81" t="s">
        <v>187</v>
      </c>
      <c r="L1876" s="81" t="s">
        <v>187</v>
      </c>
    </row>
    <row r="1877" ht="15.75" customHeight="1">
      <c r="A1877" s="262"/>
      <c r="B1877" s="262"/>
      <c r="C1877" s="263"/>
      <c r="D1877" s="262"/>
      <c r="E1877" s="81" t="s">
        <v>187</v>
      </c>
      <c r="F1877" s="81" t="s">
        <v>187</v>
      </c>
      <c r="G1877" s="81" t="s">
        <v>187</v>
      </c>
      <c r="H1877" s="81" t="s">
        <v>187</v>
      </c>
      <c r="I1877" s="81" t="s">
        <v>187</v>
      </c>
      <c r="J1877" s="81" t="s">
        <v>187</v>
      </c>
      <c r="K1877" s="81" t="s">
        <v>187</v>
      </c>
      <c r="L1877" s="81" t="s">
        <v>187</v>
      </c>
    </row>
    <row r="1878" ht="15.75" customHeight="1">
      <c r="A1878" s="262"/>
      <c r="B1878" s="262"/>
      <c r="C1878" s="263"/>
      <c r="D1878" s="262"/>
      <c r="E1878" s="81" t="s">
        <v>187</v>
      </c>
      <c r="F1878" s="81" t="s">
        <v>187</v>
      </c>
      <c r="G1878" s="81" t="s">
        <v>187</v>
      </c>
      <c r="H1878" s="81" t="s">
        <v>187</v>
      </c>
      <c r="I1878" s="81" t="s">
        <v>187</v>
      </c>
      <c r="J1878" s="81" t="s">
        <v>187</v>
      </c>
      <c r="K1878" s="81" t="s">
        <v>187</v>
      </c>
      <c r="L1878" s="81" t="s">
        <v>187</v>
      </c>
    </row>
    <row r="1879" ht="15.75" customHeight="1">
      <c r="A1879" s="262"/>
      <c r="B1879" s="262"/>
      <c r="C1879" s="263"/>
      <c r="D1879" s="262"/>
      <c r="E1879" s="81" t="s">
        <v>187</v>
      </c>
      <c r="F1879" s="81" t="s">
        <v>187</v>
      </c>
      <c r="G1879" s="81" t="s">
        <v>187</v>
      </c>
      <c r="H1879" s="81" t="s">
        <v>187</v>
      </c>
      <c r="I1879" s="81" t="s">
        <v>187</v>
      </c>
      <c r="J1879" s="81" t="s">
        <v>187</v>
      </c>
      <c r="K1879" s="81" t="s">
        <v>187</v>
      </c>
      <c r="L1879" s="81" t="s">
        <v>187</v>
      </c>
    </row>
    <row r="1880" ht="15.75" customHeight="1">
      <c r="A1880" s="262"/>
      <c r="B1880" s="262"/>
      <c r="C1880" s="263"/>
      <c r="D1880" s="262"/>
      <c r="E1880" s="81" t="s">
        <v>187</v>
      </c>
      <c r="F1880" s="81" t="s">
        <v>187</v>
      </c>
      <c r="G1880" s="81" t="s">
        <v>187</v>
      </c>
      <c r="H1880" s="81" t="s">
        <v>187</v>
      </c>
      <c r="I1880" s="81" t="s">
        <v>187</v>
      </c>
      <c r="J1880" s="81" t="s">
        <v>187</v>
      </c>
      <c r="K1880" s="81" t="s">
        <v>187</v>
      </c>
      <c r="L1880" s="81" t="s">
        <v>187</v>
      </c>
    </row>
    <row r="1881" ht="15.75" customHeight="1">
      <c r="A1881" s="262"/>
      <c r="B1881" s="262"/>
      <c r="C1881" s="263"/>
      <c r="D1881" s="262"/>
      <c r="E1881" s="81" t="s">
        <v>187</v>
      </c>
      <c r="F1881" s="81" t="s">
        <v>187</v>
      </c>
      <c r="G1881" s="81" t="s">
        <v>187</v>
      </c>
      <c r="H1881" s="81" t="s">
        <v>187</v>
      </c>
      <c r="I1881" s="81" t="s">
        <v>187</v>
      </c>
      <c r="J1881" s="81" t="s">
        <v>187</v>
      </c>
      <c r="K1881" s="81" t="s">
        <v>187</v>
      </c>
      <c r="L1881" s="81" t="s">
        <v>187</v>
      </c>
    </row>
    <row r="1882" ht="15.75" customHeight="1">
      <c r="A1882" s="262"/>
      <c r="B1882" s="262"/>
      <c r="C1882" s="263"/>
      <c r="D1882" s="262"/>
      <c r="E1882" s="81" t="s">
        <v>187</v>
      </c>
      <c r="F1882" s="81" t="s">
        <v>187</v>
      </c>
      <c r="G1882" s="81" t="s">
        <v>187</v>
      </c>
      <c r="H1882" s="81" t="s">
        <v>187</v>
      </c>
      <c r="I1882" s="81" t="s">
        <v>187</v>
      </c>
      <c r="J1882" s="81" t="s">
        <v>187</v>
      </c>
      <c r="K1882" s="81" t="s">
        <v>187</v>
      </c>
      <c r="L1882" s="81" t="s">
        <v>187</v>
      </c>
    </row>
    <row r="1883" ht="15.75" customHeight="1">
      <c r="A1883" s="262"/>
      <c r="B1883" s="262"/>
      <c r="C1883" s="263"/>
      <c r="D1883" s="262"/>
      <c r="E1883" s="81" t="s">
        <v>187</v>
      </c>
      <c r="F1883" s="81" t="s">
        <v>187</v>
      </c>
      <c r="G1883" s="81" t="s">
        <v>187</v>
      </c>
      <c r="H1883" s="81" t="s">
        <v>187</v>
      </c>
      <c r="I1883" s="81" t="s">
        <v>187</v>
      </c>
      <c r="J1883" s="81" t="s">
        <v>187</v>
      </c>
      <c r="K1883" s="81" t="s">
        <v>187</v>
      </c>
      <c r="L1883" s="81" t="s">
        <v>187</v>
      </c>
    </row>
    <row r="1884" ht="15.75" customHeight="1">
      <c r="A1884" s="262"/>
      <c r="B1884" s="262"/>
      <c r="C1884" s="263"/>
      <c r="D1884" s="262"/>
      <c r="E1884" s="81" t="s">
        <v>187</v>
      </c>
      <c r="F1884" s="81" t="s">
        <v>187</v>
      </c>
      <c r="G1884" s="81" t="s">
        <v>187</v>
      </c>
      <c r="H1884" s="81" t="s">
        <v>187</v>
      </c>
      <c r="I1884" s="81" t="s">
        <v>187</v>
      </c>
      <c r="J1884" s="81" t="s">
        <v>187</v>
      </c>
      <c r="K1884" s="81" t="s">
        <v>187</v>
      </c>
      <c r="L1884" s="81" t="s">
        <v>187</v>
      </c>
    </row>
    <row r="1885" ht="15.75" customHeight="1">
      <c r="A1885" s="262"/>
      <c r="B1885" s="262"/>
      <c r="C1885" s="263"/>
      <c r="D1885" s="262"/>
      <c r="E1885" s="81" t="s">
        <v>187</v>
      </c>
      <c r="F1885" s="81" t="s">
        <v>187</v>
      </c>
      <c r="G1885" s="81" t="s">
        <v>187</v>
      </c>
      <c r="H1885" s="81" t="s">
        <v>187</v>
      </c>
      <c r="I1885" s="81" t="s">
        <v>187</v>
      </c>
      <c r="J1885" s="81" t="s">
        <v>187</v>
      </c>
      <c r="K1885" s="81" t="s">
        <v>187</v>
      </c>
      <c r="L1885" s="81" t="s">
        <v>187</v>
      </c>
    </row>
    <row r="1886" ht="15.75" customHeight="1">
      <c r="A1886" s="262"/>
      <c r="B1886" s="262"/>
      <c r="C1886" s="263"/>
      <c r="D1886" s="262"/>
      <c r="E1886" s="81" t="s">
        <v>187</v>
      </c>
      <c r="F1886" s="81" t="s">
        <v>187</v>
      </c>
      <c r="G1886" s="81" t="s">
        <v>187</v>
      </c>
      <c r="H1886" s="81" t="s">
        <v>187</v>
      </c>
      <c r="I1886" s="81" t="s">
        <v>187</v>
      </c>
      <c r="J1886" s="81" t="s">
        <v>187</v>
      </c>
      <c r="K1886" s="81" t="s">
        <v>187</v>
      </c>
      <c r="L1886" s="81" t="s">
        <v>187</v>
      </c>
    </row>
    <row r="1887" ht="15.75" customHeight="1">
      <c r="A1887" s="262"/>
      <c r="B1887" s="262"/>
      <c r="C1887" s="263"/>
      <c r="D1887" s="262"/>
      <c r="E1887" s="81" t="s">
        <v>187</v>
      </c>
      <c r="F1887" s="81" t="s">
        <v>187</v>
      </c>
      <c r="G1887" s="81" t="s">
        <v>187</v>
      </c>
      <c r="H1887" s="81" t="s">
        <v>187</v>
      </c>
      <c r="I1887" s="81" t="s">
        <v>187</v>
      </c>
      <c r="J1887" s="81" t="s">
        <v>187</v>
      </c>
      <c r="K1887" s="81" t="s">
        <v>187</v>
      </c>
      <c r="L1887" s="81" t="s">
        <v>187</v>
      </c>
    </row>
    <row r="1888" ht="15.75" customHeight="1">
      <c r="A1888" s="262"/>
      <c r="B1888" s="262"/>
      <c r="C1888" s="263"/>
      <c r="D1888" s="262"/>
      <c r="E1888" s="81" t="s">
        <v>187</v>
      </c>
      <c r="F1888" s="81" t="s">
        <v>187</v>
      </c>
      <c r="G1888" s="81" t="s">
        <v>187</v>
      </c>
      <c r="H1888" s="81" t="s">
        <v>187</v>
      </c>
      <c r="I1888" s="81" t="s">
        <v>187</v>
      </c>
      <c r="J1888" s="81" t="s">
        <v>187</v>
      </c>
      <c r="K1888" s="81" t="s">
        <v>187</v>
      </c>
      <c r="L1888" s="81" t="s">
        <v>187</v>
      </c>
    </row>
    <row r="1889" ht="15.75" customHeight="1">
      <c r="A1889" s="262"/>
      <c r="B1889" s="262"/>
      <c r="C1889" s="263"/>
      <c r="D1889" s="262"/>
      <c r="E1889" s="81" t="s">
        <v>187</v>
      </c>
      <c r="F1889" s="81" t="s">
        <v>187</v>
      </c>
      <c r="G1889" s="81" t="s">
        <v>187</v>
      </c>
      <c r="H1889" s="81" t="s">
        <v>187</v>
      </c>
      <c r="I1889" s="81" t="s">
        <v>187</v>
      </c>
      <c r="J1889" s="81" t="s">
        <v>187</v>
      </c>
      <c r="K1889" s="81" t="s">
        <v>187</v>
      </c>
      <c r="L1889" s="81" t="s">
        <v>187</v>
      </c>
    </row>
    <row r="1890" ht="15.75" customHeight="1">
      <c r="A1890" s="262"/>
      <c r="B1890" s="262"/>
      <c r="C1890" s="263"/>
      <c r="D1890" s="262"/>
      <c r="E1890" s="81" t="s">
        <v>187</v>
      </c>
      <c r="F1890" s="81" t="s">
        <v>187</v>
      </c>
      <c r="G1890" s="81" t="s">
        <v>187</v>
      </c>
      <c r="H1890" s="81" t="s">
        <v>187</v>
      </c>
      <c r="I1890" s="81" t="s">
        <v>187</v>
      </c>
      <c r="J1890" s="81" t="s">
        <v>187</v>
      </c>
      <c r="K1890" s="81" t="s">
        <v>187</v>
      </c>
      <c r="L1890" s="81" t="s">
        <v>187</v>
      </c>
    </row>
    <row r="1891" ht="15.75" customHeight="1">
      <c r="A1891" s="262"/>
      <c r="B1891" s="262"/>
      <c r="C1891" s="263"/>
      <c r="D1891" s="262"/>
      <c r="E1891" s="81" t="s">
        <v>187</v>
      </c>
      <c r="F1891" s="81" t="s">
        <v>187</v>
      </c>
      <c r="G1891" s="81" t="s">
        <v>187</v>
      </c>
      <c r="H1891" s="81" t="s">
        <v>187</v>
      </c>
      <c r="I1891" s="81" t="s">
        <v>187</v>
      </c>
      <c r="J1891" s="81" t="s">
        <v>187</v>
      </c>
      <c r="K1891" s="81" t="s">
        <v>187</v>
      </c>
      <c r="L1891" s="81" t="s">
        <v>187</v>
      </c>
    </row>
    <row r="1892" ht="15.75" customHeight="1">
      <c r="A1892" s="262"/>
      <c r="B1892" s="262"/>
      <c r="C1892" s="263"/>
      <c r="D1892" s="262"/>
      <c r="E1892" s="81" t="s">
        <v>187</v>
      </c>
      <c r="F1892" s="81" t="s">
        <v>187</v>
      </c>
      <c r="G1892" s="81" t="s">
        <v>187</v>
      </c>
      <c r="H1892" s="81" t="s">
        <v>187</v>
      </c>
      <c r="I1892" s="81" t="s">
        <v>187</v>
      </c>
      <c r="J1892" s="81" t="s">
        <v>187</v>
      </c>
      <c r="K1892" s="81" t="s">
        <v>187</v>
      </c>
      <c r="L1892" s="81" t="s">
        <v>187</v>
      </c>
    </row>
    <row r="1893" ht="15.75" customHeight="1">
      <c r="A1893" s="262"/>
      <c r="B1893" s="262"/>
      <c r="C1893" s="263"/>
      <c r="D1893" s="262"/>
      <c r="E1893" s="81" t="s">
        <v>187</v>
      </c>
      <c r="F1893" s="81" t="s">
        <v>187</v>
      </c>
      <c r="G1893" s="81" t="s">
        <v>187</v>
      </c>
      <c r="H1893" s="81" t="s">
        <v>187</v>
      </c>
      <c r="I1893" s="81" t="s">
        <v>187</v>
      </c>
      <c r="J1893" s="81" t="s">
        <v>187</v>
      </c>
      <c r="K1893" s="81" t="s">
        <v>187</v>
      </c>
      <c r="L1893" s="81" t="s">
        <v>187</v>
      </c>
    </row>
    <row r="1894" ht="15.75" customHeight="1">
      <c r="A1894" s="262"/>
      <c r="B1894" s="262"/>
      <c r="C1894" s="263"/>
      <c r="D1894" s="262"/>
      <c r="E1894" s="81" t="s">
        <v>187</v>
      </c>
      <c r="F1894" s="81" t="s">
        <v>187</v>
      </c>
      <c r="G1894" s="81" t="s">
        <v>187</v>
      </c>
      <c r="H1894" s="81" t="s">
        <v>187</v>
      </c>
      <c r="I1894" s="81" t="s">
        <v>187</v>
      </c>
      <c r="J1894" s="81" t="s">
        <v>187</v>
      </c>
      <c r="K1894" s="81" t="s">
        <v>187</v>
      </c>
      <c r="L1894" s="81" t="s">
        <v>187</v>
      </c>
    </row>
    <row r="1895" ht="15.75" customHeight="1">
      <c r="A1895" s="262"/>
      <c r="B1895" s="262"/>
      <c r="C1895" s="263"/>
      <c r="D1895" s="262"/>
      <c r="E1895" s="81" t="s">
        <v>187</v>
      </c>
      <c r="F1895" s="81" t="s">
        <v>187</v>
      </c>
      <c r="G1895" s="81" t="s">
        <v>187</v>
      </c>
      <c r="H1895" s="81" t="s">
        <v>187</v>
      </c>
      <c r="I1895" s="81" t="s">
        <v>187</v>
      </c>
      <c r="J1895" s="81" t="s">
        <v>187</v>
      </c>
      <c r="K1895" s="81" t="s">
        <v>187</v>
      </c>
      <c r="L1895" s="81" t="s">
        <v>187</v>
      </c>
    </row>
    <row r="1896" ht="15.75" customHeight="1">
      <c r="A1896" s="262"/>
      <c r="B1896" s="262"/>
      <c r="C1896" s="263"/>
      <c r="D1896" s="262"/>
      <c r="E1896" s="81" t="s">
        <v>187</v>
      </c>
      <c r="F1896" s="81" t="s">
        <v>187</v>
      </c>
      <c r="G1896" s="81" t="s">
        <v>187</v>
      </c>
      <c r="H1896" s="81" t="s">
        <v>187</v>
      </c>
      <c r="I1896" s="81" t="s">
        <v>187</v>
      </c>
      <c r="J1896" s="81" t="s">
        <v>187</v>
      </c>
      <c r="K1896" s="81" t="s">
        <v>187</v>
      </c>
      <c r="L1896" s="81" t="s">
        <v>187</v>
      </c>
    </row>
    <row r="1897" ht="15.75" customHeight="1">
      <c r="A1897" s="262"/>
      <c r="B1897" s="262"/>
      <c r="C1897" s="263"/>
      <c r="D1897" s="262"/>
      <c r="E1897" s="81" t="s">
        <v>187</v>
      </c>
      <c r="F1897" s="81" t="s">
        <v>187</v>
      </c>
      <c r="G1897" s="81" t="s">
        <v>187</v>
      </c>
      <c r="H1897" s="81" t="s">
        <v>187</v>
      </c>
      <c r="I1897" s="81" t="s">
        <v>187</v>
      </c>
      <c r="J1897" s="81" t="s">
        <v>187</v>
      </c>
      <c r="K1897" s="81" t="s">
        <v>187</v>
      </c>
      <c r="L1897" s="81" t="s">
        <v>187</v>
      </c>
    </row>
    <row r="1898" ht="15.75" customHeight="1">
      <c r="A1898" s="262"/>
      <c r="B1898" s="262"/>
      <c r="C1898" s="263"/>
      <c r="D1898" s="262"/>
      <c r="E1898" s="81" t="s">
        <v>187</v>
      </c>
      <c r="F1898" s="81" t="s">
        <v>187</v>
      </c>
      <c r="G1898" s="81" t="s">
        <v>187</v>
      </c>
      <c r="H1898" s="81" t="s">
        <v>187</v>
      </c>
      <c r="I1898" s="81" t="s">
        <v>187</v>
      </c>
      <c r="J1898" s="81" t="s">
        <v>187</v>
      </c>
      <c r="K1898" s="81" t="s">
        <v>187</v>
      </c>
      <c r="L1898" s="81" t="s">
        <v>187</v>
      </c>
    </row>
    <row r="1899" ht="15.75" customHeight="1">
      <c r="A1899" s="262"/>
      <c r="B1899" s="262"/>
      <c r="C1899" s="263"/>
      <c r="D1899" s="262"/>
      <c r="E1899" s="81" t="s">
        <v>187</v>
      </c>
      <c r="F1899" s="81" t="s">
        <v>187</v>
      </c>
      <c r="G1899" s="81" t="s">
        <v>187</v>
      </c>
      <c r="H1899" s="81" t="s">
        <v>187</v>
      </c>
      <c r="I1899" s="81" t="s">
        <v>187</v>
      </c>
      <c r="J1899" s="81" t="s">
        <v>187</v>
      </c>
      <c r="K1899" s="81" t="s">
        <v>187</v>
      </c>
      <c r="L1899" s="81" t="s">
        <v>187</v>
      </c>
    </row>
    <row r="1900" ht="15.75" customHeight="1">
      <c r="A1900" s="262"/>
      <c r="B1900" s="262"/>
      <c r="C1900" s="263"/>
      <c r="D1900" s="262"/>
      <c r="E1900" s="81" t="s">
        <v>187</v>
      </c>
      <c r="F1900" s="81" t="s">
        <v>187</v>
      </c>
      <c r="G1900" s="81" t="s">
        <v>187</v>
      </c>
      <c r="H1900" s="81" t="s">
        <v>187</v>
      </c>
      <c r="I1900" s="81" t="s">
        <v>187</v>
      </c>
      <c r="J1900" s="81" t="s">
        <v>187</v>
      </c>
      <c r="K1900" s="81" t="s">
        <v>187</v>
      </c>
      <c r="L1900" s="81" t="s">
        <v>187</v>
      </c>
    </row>
    <row r="1901" ht="15.75" customHeight="1">
      <c r="A1901" s="262"/>
      <c r="B1901" s="262"/>
      <c r="C1901" s="263"/>
      <c r="D1901" s="262"/>
      <c r="E1901" s="81" t="s">
        <v>187</v>
      </c>
      <c r="F1901" s="81" t="s">
        <v>187</v>
      </c>
      <c r="G1901" s="81" t="s">
        <v>187</v>
      </c>
      <c r="H1901" s="81" t="s">
        <v>187</v>
      </c>
      <c r="I1901" s="81" t="s">
        <v>187</v>
      </c>
      <c r="J1901" s="81" t="s">
        <v>187</v>
      </c>
      <c r="K1901" s="81" t="s">
        <v>187</v>
      </c>
      <c r="L1901" s="81" t="s">
        <v>187</v>
      </c>
    </row>
    <row r="1902" ht="15.75" customHeight="1">
      <c r="A1902" s="262"/>
      <c r="B1902" s="262"/>
      <c r="C1902" s="263"/>
      <c r="D1902" s="262"/>
      <c r="E1902" s="81" t="s">
        <v>187</v>
      </c>
      <c r="F1902" s="81" t="s">
        <v>187</v>
      </c>
      <c r="G1902" s="81" t="s">
        <v>187</v>
      </c>
      <c r="H1902" s="81" t="s">
        <v>187</v>
      </c>
      <c r="I1902" s="81" t="s">
        <v>187</v>
      </c>
      <c r="J1902" s="81" t="s">
        <v>187</v>
      </c>
      <c r="K1902" s="81" t="s">
        <v>187</v>
      </c>
      <c r="L1902" s="81" t="s">
        <v>187</v>
      </c>
    </row>
    <row r="1903" ht="15.75" customHeight="1">
      <c r="A1903" s="262"/>
      <c r="B1903" s="262"/>
      <c r="C1903" s="263"/>
      <c r="D1903" s="262"/>
      <c r="E1903" s="81" t="s">
        <v>187</v>
      </c>
      <c r="F1903" s="81" t="s">
        <v>187</v>
      </c>
      <c r="G1903" s="81" t="s">
        <v>187</v>
      </c>
      <c r="H1903" s="81" t="s">
        <v>187</v>
      </c>
      <c r="I1903" s="81" t="s">
        <v>187</v>
      </c>
      <c r="J1903" s="81" t="s">
        <v>187</v>
      </c>
      <c r="K1903" s="81" t="s">
        <v>187</v>
      </c>
      <c r="L1903" s="81" t="s">
        <v>187</v>
      </c>
    </row>
    <row r="1904" ht="15.75" customHeight="1">
      <c r="A1904" s="262"/>
      <c r="B1904" s="262"/>
      <c r="C1904" s="263"/>
      <c r="D1904" s="262"/>
      <c r="E1904" s="81" t="s">
        <v>187</v>
      </c>
      <c r="F1904" s="81" t="s">
        <v>187</v>
      </c>
      <c r="G1904" s="81" t="s">
        <v>187</v>
      </c>
      <c r="H1904" s="81" t="s">
        <v>187</v>
      </c>
      <c r="I1904" s="81" t="s">
        <v>187</v>
      </c>
      <c r="J1904" s="81" t="s">
        <v>187</v>
      </c>
      <c r="K1904" s="81" t="s">
        <v>187</v>
      </c>
      <c r="L1904" s="81" t="s">
        <v>187</v>
      </c>
    </row>
    <row r="1905" ht="15.75" customHeight="1">
      <c r="A1905" s="262"/>
      <c r="B1905" s="262"/>
      <c r="C1905" s="263"/>
      <c r="D1905" s="262"/>
      <c r="E1905" s="81" t="s">
        <v>187</v>
      </c>
      <c r="F1905" s="81" t="s">
        <v>187</v>
      </c>
      <c r="G1905" s="81" t="s">
        <v>187</v>
      </c>
      <c r="H1905" s="81" t="s">
        <v>187</v>
      </c>
      <c r="I1905" s="81" t="s">
        <v>187</v>
      </c>
      <c r="J1905" s="81" t="s">
        <v>187</v>
      </c>
      <c r="K1905" s="81" t="s">
        <v>187</v>
      </c>
      <c r="L1905" s="81" t="s">
        <v>187</v>
      </c>
    </row>
    <row r="1906" ht="15.75" customHeight="1">
      <c r="A1906" s="262"/>
      <c r="B1906" s="262"/>
      <c r="C1906" s="263"/>
      <c r="D1906" s="262"/>
      <c r="E1906" s="81" t="s">
        <v>187</v>
      </c>
      <c r="F1906" s="81" t="s">
        <v>187</v>
      </c>
      <c r="G1906" s="81" t="s">
        <v>187</v>
      </c>
      <c r="H1906" s="81" t="s">
        <v>187</v>
      </c>
      <c r="I1906" s="81" t="s">
        <v>187</v>
      </c>
      <c r="J1906" s="81" t="s">
        <v>187</v>
      </c>
      <c r="K1906" s="81" t="s">
        <v>187</v>
      </c>
      <c r="L1906" s="81" t="s">
        <v>187</v>
      </c>
    </row>
    <row r="1907" ht="15.75" customHeight="1">
      <c r="A1907" s="262"/>
      <c r="B1907" s="262"/>
      <c r="C1907" s="263"/>
      <c r="D1907" s="262"/>
      <c r="E1907" s="81" t="s">
        <v>187</v>
      </c>
      <c r="F1907" s="81" t="s">
        <v>187</v>
      </c>
      <c r="G1907" s="81" t="s">
        <v>187</v>
      </c>
      <c r="H1907" s="81" t="s">
        <v>187</v>
      </c>
      <c r="I1907" s="81" t="s">
        <v>187</v>
      </c>
      <c r="J1907" s="81" t="s">
        <v>187</v>
      </c>
      <c r="K1907" s="81" t="s">
        <v>187</v>
      </c>
      <c r="L1907" s="81" t="s">
        <v>187</v>
      </c>
    </row>
    <row r="1908" ht="15.75" customHeight="1">
      <c r="A1908" s="262"/>
      <c r="B1908" s="262"/>
      <c r="C1908" s="263"/>
      <c r="D1908" s="262"/>
      <c r="E1908" s="81" t="s">
        <v>187</v>
      </c>
      <c r="F1908" s="81" t="s">
        <v>187</v>
      </c>
      <c r="G1908" s="81" t="s">
        <v>187</v>
      </c>
      <c r="H1908" s="81" t="s">
        <v>187</v>
      </c>
      <c r="I1908" s="81" t="s">
        <v>187</v>
      </c>
      <c r="J1908" s="81" t="s">
        <v>187</v>
      </c>
      <c r="K1908" s="81" t="s">
        <v>187</v>
      </c>
      <c r="L1908" s="81" t="s">
        <v>187</v>
      </c>
    </row>
    <row r="1909" ht="15.75" customHeight="1">
      <c r="A1909" s="262"/>
      <c r="B1909" s="262"/>
      <c r="C1909" s="263"/>
      <c r="D1909" s="262"/>
      <c r="E1909" s="81" t="s">
        <v>187</v>
      </c>
      <c r="F1909" s="81" t="s">
        <v>187</v>
      </c>
      <c r="G1909" s="81" t="s">
        <v>187</v>
      </c>
      <c r="H1909" s="81" t="s">
        <v>187</v>
      </c>
      <c r="I1909" s="81" t="s">
        <v>187</v>
      </c>
      <c r="J1909" s="81" t="s">
        <v>187</v>
      </c>
      <c r="K1909" s="81" t="s">
        <v>187</v>
      </c>
      <c r="L1909" s="81" t="s">
        <v>187</v>
      </c>
    </row>
    <row r="1910" ht="15.75" customHeight="1">
      <c r="A1910" s="262"/>
      <c r="B1910" s="262"/>
      <c r="C1910" s="263"/>
      <c r="D1910" s="262"/>
      <c r="E1910" s="81" t="s">
        <v>187</v>
      </c>
      <c r="F1910" s="81" t="s">
        <v>187</v>
      </c>
      <c r="G1910" s="81" t="s">
        <v>187</v>
      </c>
      <c r="H1910" s="81" t="s">
        <v>187</v>
      </c>
      <c r="I1910" s="81" t="s">
        <v>187</v>
      </c>
      <c r="J1910" s="81" t="s">
        <v>187</v>
      </c>
      <c r="K1910" s="81" t="s">
        <v>187</v>
      </c>
      <c r="L1910" s="81" t="s">
        <v>187</v>
      </c>
    </row>
    <row r="1911" ht="15.75" customHeight="1">
      <c r="A1911" s="262"/>
      <c r="B1911" s="262"/>
      <c r="C1911" s="263"/>
      <c r="D1911" s="262"/>
      <c r="E1911" s="81" t="s">
        <v>187</v>
      </c>
      <c r="F1911" s="81" t="s">
        <v>187</v>
      </c>
      <c r="G1911" s="81" t="s">
        <v>187</v>
      </c>
      <c r="H1911" s="81" t="s">
        <v>187</v>
      </c>
      <c r="I1911" s="81" t="s">
        <v>187</v>
      </c>
      <c r="J1911" s="81" t="s">
        <v>187</v>
      </c>
      <c r="K1911" s="81" t="s">
        <v>187</v>
      </c>
      <c r="L1911" s="81" t="s">
        <v>187</v>
      </c>
    </row>
    <row r="1912" ht="15.75" customHeight="1">
      <c r="A1912" s="262"/>
      <c r="B1912" s="262"/>
      <c r="C1912" s="263"/>
      <c r="D1912" s="262"/>
      <c r="E1912" s="81" t="s">
        <v>187</v>
      </c>
      <c r="F1912" s="81" t="s">
        <v>187</v>
      </c>
      <c r="G1912" s="81" t="s">
        <v>187</v>
      </c>
      <c r="H1912" s="81" t="s">
        <v>187</v>
      </c>
      <c r="I1912" s="81" t="s">
        <v>187</v>
      </c>
      <c r="J1912" s="81" t="s">
        <v>187</v>
      </c>
      <c r="K1912" s="81" t="s">
        <v>187</v>
      </c>
      <c r="L1912" s="81" t="s">
        <v>187</v>
      </c>
    </row>
    <row r="1913" ht="15.75" customHeight="1">
      <c r="A1913" s="262"/>
      <c r="B1913" s="262"/>
      <c r="C1913" s="263"/>
      <c r="D1913" s="262"/>
      <c r="E1913" s="81" t="s">
        <v>187</v>
      </c>
      <c r="F1913" s="81" t="s">
        <v>187</v>
      </c>
      <c r="G1913" s="81" t="s">
        <v>187</v>
      </c>
      <c r="H1913" s="81" t="s">
        <v>187</v>
      </c>
      <c r="I1913" s="81" t="s">
        <v>187</v>
      </c>
      <c r="J1913" s="81" t="s">
        <v>187</v>
      </c>
      <c r="K1913" s="81" t="s">
        <v>187</v>
      </c>
      <c r="L1913" s="81" t="s">
        <v>187</v>
      </c>
    </row>
    <row r="1914" ht="15.75" customHeight="1">
      <c r="A1914" s="262"/>
      <c r="B1914" s="262"/>
      <c r="C1914" s="263"/>
      <c r="D1914" s="262"/>
      <c r="E1914" s="81" t="s">
        <v>187</v>
      </c>
      <c r="F1914" s="81" t="s">
        <v>187</v>
      </c>
      <c r="G1914" s="81" t="s">
        <v>187</v>
      </c>
      <c r="H1914" s="81" t="s">
        <v>187</v>
      </c>
      <c r="I1914" s="81" t="s">
        <v>187</v>
      </c>
      <c r="J1914" s="81" t="s">
        <v>187</v>
      </c>
      <c r="K1914" s="81" t="s">
        <v>187</v>
      </c>
      <c r="L1914" s="81" t="s">
        <v>187</v>
      </c>
    </row>
    <row r="1915" ht="15.75" customHeight="1">
      <c r="A1915" s="262"/>
      <c r="B1915" s="262"/>
      <c r="C1915" s="263"/>
      <c r="D1915" s="262"/>
      <c r="E1915" s="81" t="s">
        <v>187</v>
      </c>
      <c r="F1915" s="81" t="s">
        <v>187</v>
      </c>
      <c r="G1915" s="81" t="s">
        <v>187</v>
      </c>
      <c r="H1915" s="81" t="s">
        <v>187</v>
      </c>
      <c r="I1915" s="81" t="s">
        <v>187</v>
      </c>
      <c r="J1915" s="81" t="s">
        <v>187</v>
      </c>
      <c r="K1915" s="81" t="s">
        <v>187</v>
      </c>
      <c r="L1915" s="81" t="s">
        <v>187</v>
      </c>
    </row>
    <row r="1916" ht="15.75" customHeight="1">
      <c r="A1916" s="262"/>
      <c r="B1916" s="262"/>
      <c r="C1916" s="263"/>
      <c r="D1916" s="262"/>
      <c r="E1916" s="81" t="s">
        <v>187</v>
      </c>
      <c r="F1916" s="81" t="s">
        <v>187</v>
      </c>
      <c r="G1916" s="81" t="s">
        <v>187</v>
      </c>
      <c r="H1916" s="81" t="s">
        <v>187</v>
      </c>
      <c r="I1916" s="81" t="s">
        <v>187</v>
      </c>
      <c r="J1916" s="81" t="s">
        <v>187</v>
      </c>
      <c r="K1916" s="81" t="s">
        <v>187</v>
      </c>
      <c r="L1916" s="81" t="s">
        <v>187</v>
      </c>
    </row>
    <row r="1917" ht="15.75" customHeight="1">
      <c r="A1917" s="262"/>
      <c r="B1917" s="262"/>
      <c r="C1917" s="263"/>
      <c r="D1917" s="262"/>
      <c r="E1917" s="81" t="s">
        <v>187</v>
      </c>
      <c r="F1917" s="81" t="s">
        <v>187</v>
      </c>
      <c r="G1917" s="81" t="s">
        <v>187</v>
      </c>
      <c r="H1917" s="81" t="s">
        <v>187</v>
      </c>
      <c r="I1917" s="81" t="s">
        <v>187</v>
      </c>
      <c r="J1917" s="81" t="s">
        <v>187</v>
      </c>
      <c r="K1917" s="81" t="s">
        <v>187</v>
      </c>
      <c r="L1917" s="81" t="s">
        <v>187</v>
      </c>
    </row>
    <row r="1918" ht="15.75" customHeight="1">
      <c r="A1918" s="262"/>
      <c r="B1918" s="262"/>
      <c r="C1918" s="263"/>
      <c r="D1918" s="262"/>
      <c r="E1918" s="81" t="s">
        <v>187</v>
      </c>
      <c r="F1918" s="81" t="s">
        <v>187</v>
      </c>
      <c r="G1918" s="81" t="s">
        <v>187</v>
      </c>
      <c r="H1918" s="81" t="s">
        <v>187</v>
      </c>
      <c r="I1918" s="81" t="s">
        <v>187</v>
      </c>
      <c r="J1918" s="81" t="s">
        <v>187</v>
      </c>
      <c r="K1918" s="81" t="s">
        <v>187</v>
      </c>
      <c r="L1918" s="81" t="s">
        <v>187</v>
      </c>
    </row>
    <row r="1919" ht="15.75" customHeight="1">
      <c r="A1919" s="262"/>
      <c r="B1919" s="262"/>
      <c r="C1919" s="263"/>
      <c r="D1919" s="262"/>
      <c r="E1919" s="81" t="s">
        <v>187</v>
      </c>
      <c r="F1919" s="81" t="s">
        <v>187</v>
      </c>
      <c r="G1919" s="81" t="s">
        <v>187</v>
      </c>
      <c r="H1919" s="81" t="s">
        <v>187</v>
      </c>
      <c r="I1919" s="81" t="s">
        <v>187</v>
      </c>
      <c r="J1919" s="81" t="s">
        <v>187</v>
      </c>
      <c r="K1919" s="81" t="s">
        <v>187</v>
      </c>
      <c r="L1919" s="81" t="s">
        <v>187</v>
      </c>
    </row>
    <row r="1920" ht="15.75" customHeight="1">
      <c r="A1920" s="262"/>
      <c r="B1920" s="262"/>
      <c r="C1920" s="263"/>
      <c r="D1920" s="262"/>
      <c r="E1920" s="81" t="s">
        <v>187</v>
      </c>
      <c r="F1920" s="81" t="s">
        <v>187</v>
      </c>
      <c r="G1920" s="81" t="s">
        <v>187</v>
      </c>
      <c r="H1920" s="81" t="s">
        <v>187</v>
      </c>
      <c r="I1920" s="81" t="s">
        <v>187</v>
      </c>
      <c r="J1920" s="81" t="s">
        <v>187</v>
      </c>
      <c r="K1920" s="81" t="s">
        <v>187</v>
      </c>
      <c r="L1920" s="81" t="s">
        <v>187</v>
      </c>
    </row>
    <row r="1921" ht="15.75" customHeight="1">
      <c r="A1921" s="262"/>
      <c r="B1921" s="262"/>
      <c r="C1921" s="263"/>
      <c r="D1921" s="262"/>
      <c r="E1921" s="81" t="s">
        <v>187</v>
      </c>
      <c r="F1921" s="81" t="s">
        <v>187</v>
      </c>
      <c r="G1921" s="81" t="s">
        <v>187</v>
      </c>
      <c r="H1921" s="81" t="s">
        <v>187</v>
      </c>
      <c r="I1921" s="81" t="s">
        <v>187</v>
      </c>
      <c r="J1921" s="81" t="s">
        <v>187</v>
      </c>
      <c r="K1921" s="81" t="s">
        <v>187</v>
      </c>
      <c r="L1921" s="81" t="s">
        <v>187</v>
      </c>
    </row>
    <row r="1922" ht="15.75" customHeight="1">
      <c r="A1922" s="262"/>
      <c r="B1922" s="262"/>
      <c r="C1922" s="263"/>
      <c r="D1922" s="262"/>
      <c r="E1922" s="81" t="s">
        <v>187</v>
      </c>
      <c r="F1922" s="81" t="s">
        <v>187</v>
      </c>
      <c r="G1922" s="81" t="s">
        <v>187</v>
      </c>
      <c r="H1922" s="81" t="s">
        <v>187</v>
      </c>
      <c r="I1922" s="81" t="s">
        <v>187</v>
      </c>
      <c r="J1922" s="81" t="s">
        <v>187</v>
      </c>
      <c r="K1922" s="81" t="s">
        <v>187</v>
      </c>
      <c r="L1922" s="81" t="s">
        <v>187</v>
      </c>
    </row>
    <row r="1923" ht="15.75" customHeight="1">
      <c r="A1923" s="262"/>
      <c r="B1923" s="262"/>
      <c r="C1923" s="263"/>
      <c r="D1923" s="262"/>
      <c r="E1923" s="81" t="s">
        <v>187</v>
      </c>
      <c r="F1923" s="81" t="s">
        <v>187</v>
      </c>
      <c r="G1923" s="81" t="s">
        <v>187</v>
      </c>
      <c r="H1923" s="81" t="s">
        <v>187</v>
      </c>
      <c r="I1923" s="81" t="s">
        <v>187</v>
      </c>
      <c r="J1923" s="81" t="s">
        <v>187</v>
      </c>
      <c r="K1923" s="81" t="s">
        <v>187</v>
      </c>
      <c r="L1923" s="81" t="s">
        <v>187</v>
      </c>
    </row>
    <row r="1924" ht="15.75" customHeight="1">
      <c r="A1924" s="262"/>
      <c r="B1924" s="262"/>
      <c r="C1924" s="263"/>
      <c r="D1924" s="262"/>
      <c r="E1924" s="81" t="s">
        <v>187</v>
      </c>
      <c r="F1924" s="81" t="s">
        <v>187</v>
      </c>
      <c r="G1924" s="81" t="s">
        <v>187</v>
      </c>
      <c r="H1924" s="81" t="s">
        <v>187</v>
      </c>
      <c r="I1924" s="81" t="s">
        <v>187</v>
      </c>
      <c r="J1924" s="81" t="s">
        <v>187</v>
      </c>
      <c r="K1924" s="81" t="s">
        <v>187</v>
      </c>
      <c r="L1924" s="81" t="s">
        <v>187</v>
      </c>
    </row>
    <row r="1925" ht="15.75" customHeight="1">
      <c r="A1925" s="262"/>
      <c r="B1925" s="262"/>
      <c r="C1925" s="263"/>
      <c r="D1925" s="262"/>
      <c r="E1925" s="81" t="s">
        <v>187</v>
      </c>
      <c r="F1925" s="81" t="s">
        <v>187</v>
      </c>
      <c r="G1925" s="81" t="s">
        <v>187</v>
      </c>
      <c r="H1925" s="81" t="s">
        <v>187</v>
      </c>
      <c r="I1925" s="81" t="s">
        <v>187</v>
      </c>
      <c r="J1925" s="81" t="s">
        <v>187</v>
      </c>
      <c r="K1925" s="81" t="s">
        <v>187</v>
      </c>
      <c r="L1925" s="81" t="s">
        <v>187</v>
      </c>
    </row>
    <row r="1926" ht="15.75" customHeight="1">
      <c r="A1926" s="262"/>
      <c r="B1926" s="262"/>
      <c r="C1926" s="263"/>
      <c r="D1926" s="262"/>
      <c r="E1926" s="81" t="s">
        <v>187</v>
      </c>
      <c r="F1926" s="81" t="s">
        <v>187</v>
      </c>
      <c r="G1926" s="81" t="s">
        <v>187</v>
      </c>
      <c r="H1926" s="81" t="s">
        <v>187</v>
      </c>
      <c r="I1926" s="81" t="s">
        <v>187</v>
      </c>
      <c r="J1926" s="81" t="s">
        <v>187</v>
      </c>
      <c r="K1926" s="81" t="s">
        <v>187</v>
      </c>
      <c r="L1926" s="81" t="s">
        <v>187</v>
      </c>
    </row>
    <row r="1927" ht="15.75" customHeight="1">
      <c r="A1927" s="262"/>
      <c r="B1927" s="262"/>
      <c r="C1927" s="263"/>
      <c r="D1927" s="262"/>
      <c r="E1927" s="81" t="s">
        <v>187</v>
      </c>
      <c r="F1927" s="81" t="s">
        <v>187</v>
      </c>
      <c r="G1927" s="81" t="s">
        <v>187</v>
      </c>
      <c r="H1927" s="81" t="s">
        <v>187</v>
      </c>
      <c r="I1927" s="81" t="s">
        <v>187</v>
      </c>
      <c r="J1927" s="81" t="s">
        <v>187</v>
      </c>
      <c r="K1927" s="81" t="s">
        <v>187</v>
      </c>
      <c r="L1927" s="81" t="s">
        <v>187</v>
      </c>
    </row>
    <row r="1928" ht="15.75" customHeight="1">
      <c r="A1928" s="262"/>
      <c r="B1928" s="262"/>
      <c r="C1928" s="263"/>
      <c r="D1928" s="262"/>
      <c r="E1928" s="81" t="s">
        <v>187</v>
      </c>
      <c r="F1928" s="81" t="s">
        <v>187</v>
      </c>
      <c r="G1928" s="81" t="s">
        <v>187</v>
      </c>
      <c r="H1928" s="81" t="s">
        <v>187</v>
      </c>
      <c r="I1928" s="81" t="s">
        <v>187</v>
      </c>
      <c r="J1928" s="81" t="s">
        <v>187</v>
      </c>
      <c r="K1928" s="81" t="s">
        <v>187</v>
      </c>
      <c r="L1928" s="81" t="s">
        <v>187</v>
      </c>
    </row>
    <row r="1929" ht="15.75" customHeight="1">
      <c r="A1929" s="262"/>
      <c r="B1929" s="262"/>
      <c r="C1929" s="263"/>
      <c r="D1929" s="262"/>
      <c r="E1929" s="81" t="s">
        <v>187</v>
      </c>
      <c r="F1929" s="81" t="s">
        <v>187</v>
      </c>
      <c r="G1929" s="81" t="s">
        <v>187</v>
      </c>
      <c r="H1929" s="81" t="s">
        <v>187</v>
      </c>
      <c r="I1929" s="81" t="s">
        <v>187</v>
      </c>
      <c r="J1929" s="81" t="s">
        <v>187</v>
      </c>
      <c r="K1929" s="81" t="s">
        <v>187</v>
      </c>
      <c r="L1929" s="81" t="s">
        <v>187</v>
      </c>
    </row>
    <row r="1930" ht="15.75" customHeight="1">
      <c r="A1930" s="262"/>
      <c r="B1930" s="262"/>
      <c r="C1930" s="263"/>
      <c r="D1930" s="262"/>
      <c r="E1930" s="81" t="s">
        <v>187</v>
      </c>
      <c r="F1930" s="81" t="s">
        <v>187</v>
      </c>
      <c r="G1930" s="81" t="s">
        <v>187</v>
      </c>
      <c r="H1930" s="81" t="s">
        <v>187</v>
      </c>
      <c r="I1930" s="81" t="s">
        <v>187</v>
      </c>
      <c r="J1930" s="81" t="s">
        <v>187</v>
      </c>
      <c r="K1930" s="81" t="s">
        <v>187</v>
      </c>
      <c r="L1930" s="81" t="s">
        <v>187</v>
      </c>
    </row>
    <row r="1931" ht="15.75" customHeight="1">
      <c r="A1931" s="262"/>
      <c r="B1931" s="262"/>
      <c r="C1931" s="263"/>
      <c r="D1931" s="262"/>
      <c r="E1931" s="81" t="s">
        <v>187</v>
      </c>
      <c r="F1931" s="81" t="s">
        <v>187</v>
      </c>
      <c r="G1931" s="81" t="s">
        <v>187</v>
      </c>
      <c r="H1931" s="81" t="s">
        <v>187</v>
      </c>
      <c r="I1931" s="81" t="s">
        <v>187</v>
      </c>
      <c r="J1931" s="81" t="s">
        <v>187</v>
      </c>
      <c r="K1931" s="81" t="s">
        <v>187</v>
      </c>
      <c r="L1931" s="81" t="s">
        <v>187</v>
      </c>
    </row>
    <row r="1932" ht="15.75" customHeight="1">
      <c r="A1932" s="262"/>
      <c r="B1932" s="262"/>
      <c r="C1932" s="263"/>
      <c r="D1932" s="262"/>
      <c r="E1932" s="81" t="s">
        <v>187</v>
      </c>
      <c r="F1932" s="81" t="s">
        <v>187</v>
      </c>
      <c r="G1932" s="81" t="s">
        <v>187</v>
      </c>
      <c r="H1932" s="81" t="s">
        <v>187</v>
      </c>
      <c r="I1932" s="81" t="s">
        <v>187</v>
      </c>
      <c r="J1932" s="81" t="s">
        <v>187</v>
      </c>
      <c r="K1932" s="81" t="s">
        <v>187</v>
      </c>
      <c r="L1932" s="81" t="s">
        <v>187</v>
      </c>
    </row>
    <row r="1933" ht="15.75" customHeight="1">
      <c r="A1933" s="262"/>
      <c r="B1933" s="262"/>
      <c r="C1933" s="263"/>
      <c r="D1933" s="262"/>
      <c r="E1933" s="81" t="s">
        <v>187</v>
      </c>
      <c r="F1933" s="81" t="s">
        <v>187</v>
      </c>
      <c r="G1933" s="81" t="s">
        <v>187</v>
      </c>
      <c r="H1933" s="81" t="s">
        <v>187</v>
      </c>
      <c r="I1933" s="81" t="s">
        <v>187</v>
      </c>
      <c r="J1933" s="81" t="s">
        <v>187</v>
      </c>
      <c r="K1933" s="81" t="s">
        <v>187</v>
      </c>
      <c r="L1933" s="81" t="s">
        <v>187</v>
      </c>
    </row>
    <row r="1934" ht="15.75" customHeight="1">
      <c r="A1934" s="262"/>
      <c r="B1934" s="262"/>
      <c r="C1934" s="263"/>
      <c r="D1934" s="262"/>
      <c r="E1934" s="81" t="s">
        <v>187</v>
      </c>
      <c r="F1934" s="81" t="s">
        <v>187</v>
      </c>
      <c r="G1934" s="81" t="s">
        <v>187</v>
      </c>
      <c r="H1934" s="81" t="s">
        <v>187</v>
      </c>
      <c r="I1934" s="81" t="s">
        <v>187</v>
      </c>
      <c r="J1934" s="81" t="s">
        <v>187</v>
      </c>
      <c r="K1934" s="81" t="s">
        <v>187</v>
      </c>
      <c r="L1934" s="81" t="s">
        <v>187</v>
      </c>
    </row>
    <row r="1935" ht="15.75" customHeight="1">
      <c r="A1935" s="262"/>
      <c r="B1935" s="262"/>
      <c r="C1935" s="263"/>
      <c r="D1935" s="262"/>
      <c r="E1935" s="81" t="s">
        <v>187</v>
      </c>
      <c r="F1935" s="81" t="s">
        <v>187</v>
      </c>
      <c r="G1935" s="81" t="s">
        <v>187</v>
      </c>
      <c r="H1935" s="81" t="s">
        <v>187</v>
      </c>
      <c r="I1935" s="81" t="s">
        <v>187</v>
      </c>
      <c r="J1935" s="81" t="s">
        <v>187</v>
      </c>
      <c r="K1935" s="81" t="s">
        <v>187</v>
      </c>
      <c r="L1935" s="81" t="s">
        <v>187</v>
      </c>
    </row>
    <row r="1936" ht="15.75" customHeight="1">
      <c r="A1936" s="262"/>
      <c r="B1936" s="262"/>
      <c r="C1936" s="263"/>
      <c r="D1936" s="262"/>
      <c r="E1936" s="81" t="s">
        <v>187</v>
      </c>
      <c r="F1936" s="81" t="s">
        <v>187</v>
      </c>
      <c r="G1936" s="81" t="s">
        <v>187</v>
      </c>
      <c r="H1936" s="81" t="s">
        <v>187</v>
      </c>
      <c r="I1936" s="81" t="s">
        <v>187</v>
      </c>
      <c r="J1936" s="81" t="s">
        <v>187</v>
      </c>
      <c r="K1936" s="81" t="s">
        <v>187</v>
      </c>
      <c r="L1936" s="81" t="s">
        <v>187</v>
      </c>
    </row>
    <row r="1937" ht="15.75" customHeight="1">
      <c r="A1937" s="262"/>
      <c r="B1937" s="262"/>
      <c r="C1937" s="263"/>
      <c r="D1937" s="262"/>
      <c r="E1937" s="81" t="s">
        <v>187</v>
      </c>
      <c r="F1937" s="81" t="s">
        <v>187</v>
      </c>
      <c r="G1937" s="81" t="s">
        <v>187</v>
      </c>
      <c r="H1937" s="81" t="s">
        <v>187</v>
      </c>
      <c r="I1937" s="81" t="s">
        <v>187</v>
      </c>
      <c r="J1937" s="81" t="s">
        <v>187</v>
      </c>
      <c r="K1937" s="81" t="s">
        <v>187</v>
      </c>
      <c r="L1937" s="81" t="s">
        <v>187</v>
      </c>
    </row>
    <row r="1938" ht="15.75" customHeight="1">
      <c r="A1938" s="262"/>
      <c r="B1938" s="262"/>
      <c r="C1938" s="263"/>
      <c r="D1938" s="262"/>
      <c r="E1938" s="81" t="s">
        <v>187</v>
      </c>
      <c r="F1938" s="81" t="s">
        <v>187</v>
      </c>
      <c r="G1938" s="81" t="s">
        <v>187</v>
      </c>
      <c r="H1938" s="81" t="s">
        <v>187</v>
      </c>
      <c r="I1938" s="81" t="s">
        <v>187</v>
      </c>
      <c r="J1938" s="81" t="s">
        <v>187</v>
      </c>
      <c r="K1938" s="81" t="s">
        <v>187</v>
      </c>
      <c r="L1938" s="81" t="s">
        <v>187</v>
      </c>
    </row>
    <row r="1939" ht="15.75" customHeight="1">
      <c r="A1939" s="262"/>
      <c r="B1939" s="262"/>
      <c r="C1939" s="263"/>
      <c r="D1939" s="262"/>
      <c r="E1939" s="81" t="s">
        <v>187</v>
      </c>
      <c r="F1939" s="81" t="s">
        <v>187</v>
      </c>
      <c r="G1939" s="81" t="s">
        <v>187</v>
      </c>
      <c r="H1939" s="81" t="s">
        <v>187</v>
      </c>
      <c r="I1939" s="81" t="s">
        <v>187</v>
      </c>
      <c r="J1939" s="81" t="s">
        <v>187</v>
      </c>
      <c r="K1939" s="81" t="s">
        <v>187</v>
      </c>
      <c r="L1939" s="81" t="s">
        <v>187</v>
      </c>
    </row>
    <row r="1940" ht="15.75" customHeight="1">
      <c r="A1940" s="262"/>
      <c r="B1940" s="262"/>
      <c r="C1940" s="263"/>
      <c r="D1940" s="262"/>
      <c r="E1940" s="81" t="s">
        <v>187</v>
      </c>
      <c r="F1940" s="81" t="s">
        <v>187</v>
      </c>
      <c r="G1940" s="81" t="s">
        <v>187</v>
      </c>
      <c r="H1940" s="81" t="s">
        <v>187</v>
      </c>
      <c r="I1940" s="81" t="s">
        <v>187</v>
      </c>
      <c r="J1940" s="81" t="s">
        <v>187</v>
      </c>
      <c r="K1940" s="81" t="s">
        <v>187</v>
      </c>
      <c r="L1940" s="81" t="s">
        <v>187</v>
      </c>
    </row>
    <row r="1941" ht="15.75" customHeight="1">
      <c r="A1941" s="262"/>
      <c r="B1941" s="262"/>
      <c r="C1941" s="263"/>
      <c r="D1941" s="262"/>
      <c r="E1941" s="81" t="s">
        <v>187</v>
      </c>
      <c r="F1941" s="81" t="s">
        <v>187</v>
      </c>
      <c r="G1941" s="81" t="s">
        <v>187</v>
      </c>
      <c r="H1941" s="81" t="s">
        <v>187</v>
      </c>
      <c r="I1941" s="81" t="s">
        <v>187</v>
      </c>
      <c r="J1941" s="81" t="s">
        <v>187</v>
      </c>
      <c r="K1941" s="81" t="s">
        <v>187</v>
      </c>
      <c r="L1941" s="81" t="s">
        <v>187</v>
      </c>
    </row>
    <row r="1942" ht="15.75" customHeight="1">
      <c r="A1942" s="262"/>
      <c r="B1942" s="262"/>
      <c r="C1942" s="263"/>
      <c r="D1942" s="262"/>
      <c r="E1942" s="81" t="s">
        <v>187</v>
      </c>
      <c r="F1942" s="81" t="s">
        <v>187</v>
      </c>
      <c r="G1942" s="81" t="s">
        <v>187</v>
      </c>
      <c r="H1942" s="81" t="s">
        <v>187</v>
      </c>
      <c r="I1942" s="81" t="s">
        <v>187</v>
      </c>
      <c r="J1942" s="81" t="s">
        <v>187</v>
      </c>
      <c r="K1942" s="81" t="s">
        <v>187</v>
      </c>
      <c r="L1942" s="81" t="s">
        <v>187</v>
      </c>
    </row>
    <row r="1943" ht="15.75" customHeight="1">
      <c r="A1943" s="262"/>
      <c r="B1943" s="262"/>
      <c r="C1943" s="263"/>
      <c r="D1943" s="262"/>
      <c r="E1943" s="81" t="s">
        <v>187</v>
      </c>
      <c r="F1943" s="81" t="s">
        <v>187</v>
      </c>
      <c r="G1943" s="81" t="s">
        <v>187</v>
      </c>
      <c r="H1943" s="81" t="s">
        <v>187</v>
      </c>
      <c r="I1943" s="81" t="s">
        <v>187</v>
      </c>
      <c r="J1943" s="81" t="s">
        <v>187</v>
      </c>
      <c r="K1943" s="81" t="s">
        <v>187</v>
      </c>
      <c r="L1943" s="81" t="s">
        <v>187</v>
      </c>
    </row>
    <row r="1944" ht="15.75" customHeight="1">
      <c r="A1944" s="262"/>
      <c r="B1944" s="262"/>
      <c r="C1944" s="263"/>
      <c r="D1944" s="262"/>
      <c r="E1944" s="81" t="s">
        <v>187</v>
      </c>
      <c r="F1944" s="81" t="s">
        <v>187</v>
      </c>
      <c r="G1944" s="81" t="s">
        <v>187</v>
      </c>
      <c r="H1944" s="81" t="s">
        <v>187</v>
      </c>
      <c r="I1944" s="81" t="s">
        <v>187</v>
      </c>
      <c r="J1944" s="81" t="s">
        <v>187</v>
      </c>
      <c r="K1944" s="81" t="s">
        <v>187</v>
      </c>
      <c r="L1944" s="81" t="s">
        <v>187</v>
      </c>
    </row>
    <row r="1945" ht="15.75" customHeight="1">
      <c r="A1945" s="262"/>
      <c r="B1945" s="262"/>
      <c r="C1945" s="263"/>
      <c r="D1945" s="262"/>
      <c r="E1945" s="81" t="s">
        <v>187</v>
      </c>
      <c r="F1945" s="81" t="s">
        <v>187</v>
      </c>
      <c r="G1945" s="81" t="s">
        <v>187</v>
      </c>
      <c r="H1945" s="81" t="s">
        <v>187</v>
      </c>
      <c r="I1945" s="81" t="s">
        <v>187</v>
      </c>
      <c r="J1945" s="81" t="s">
        <v>187</v>
      </c>
      <c r="K1945" s="81" t="s">
        <v>187</v>
      </c>
      <c r="L1945" s="81" t="s">
        <v>187</v>
      </c>
    </row>
    <row r="1946" ht="15.75" customHeight="1">
      <c r="A1946" s="262"/>
      <c r="B1946" s="262"/>
      <c r="C1946" s="263"/>
      <c r="D1946" s="262"/>
      <c r="E1946" s="81" t="s">
        <v>187</v>
      </c>
      <c r="F1946" s="81" t="s">
        <v>187</v>
      </c>
      <c r="G1946" s="81" t="s">
        <v>187</v>
      </c>
      <c r="H1946" s="81" t="s">
        <v>187</v>
      </c>
      <c r="I1946" s="81" t="s">
        <v>187</v>
      </c>
      <c r="J1946" s="81" t="s">
        <v>187</v>
      </c>
      <c r="K1946" s="81" t="s">
        <v>187</v>
      </c>
      <c r="L1946" s="81" t="s">
        <v>187</v>
      </c>
    </row>
    <row r="1947" ht="15.75" customHeight="1">
      <c r="A1947" s="262"/>
      <c r="B1947" s="262"/>
      <c r="C1947" s="263"/>
      <c r="D1947" s="262"/>
      <c r="E1947" s="81" t="s">
        <v>187</v>
      </c>
      <c r="F1947" s="81" t="s">
        <v>187</v>
      </c>
      <c r="G1947" s="81" t="s">
        <v>187</v>
      </c>
      <c r="H1947" s="81" t="s">
        <v>187</v>
      </c>
      <c r="I1947" s="81" t="s">
        <v>187</v>
      </c>
      <c r="J1947" s="81" t="s">
        <v>187</v>
      </c>
      <c r="K1947" s="81" t="s">
        <v>187</v>
      </c>
      <c r="L1947" s="81" t="s">
        <v>187</v>
      </c>
    </row>
    <row r="1948" ht="15.75" customHeight="1">
      <c r="A1948" s="262"/>
      <c r="B1948" s="262"/>
      <c r="C1948" s="263"/>
      <c r="D1948" s="262"/>
      <c r="E1948" s="81" t="s">
        <v>187</v>
      </c>
      <c r="F1948" s="81" t="s">
        <v>187</v>
      </c>
      <c r="G1948" s="81" t="s">
        <v>187</v>
      </c>
      <c r="H1948" s="81" t="s">
        <v>187</v>
      </c>
      <c r="I1948" s="81" t="s">
        <v>187</v>
      </c>
      <c r="J1948" s="81" t="s">
        <v>187</v>
      </c>
      <c r="K1948" s="81" t="s">
        <v>187</v>
      </c>
      <c r="L1948" s="81" t="s">
        <v>187</v>
      </c>
    </row>
    <row r="1949" ht="15.75" customHeight="1">
      <c r="A1949" s="262"/>
      <c r="B1949" s="262"/>
      <c r="C1949" s="263"/>
      <c r="D1949" s="262"/>
      <c r="E1949" s="81" t="s">
        <v>187</v>
      </c>
      <c r="F1949" s="81" t="s">
        <v>187</v>
      </c>
      <c r="G1949" s="81" t="s">
        <v>187</v>
      </c>
      <c r="H1949" s="81" t="s">
        <v>187</v>
      </c>
      <c r="I1949" s="81" t="s">
        <v>187</v>
      </c>
      <c r="J1949" s="81" t="s">
        <v>187</v>
      </c>
      <c r="K1949" s="81" t="s">
        <v>187</v>
      </c>
      <c r="L1949" s="81" t="s">
        <v>187</v>
      </c>
    </row>
    <row r="1950" ht="15.75" customHeight="1">
      <c r="A1950" s="262"/>
      <c r="B1950" s="262"/>
      <c r="C1950" s="263"/>
      <c r="D1950" s="262"/>
      <c r="E1950" s="81" t="s">
        <v>187</v>
      </c>
      <c r="F1950" s="81" t="s">
        <v>187</v>
      </c>
      <c r="G1950" s="81" t="s">
        <v>187</v>
      </c>
      <c r="H1950" s="81" t="s">
        <v>187</v>
      </c>
      <c r="I1950" s="81" t="s">
        <v>187</v>
      </c>
      <c r="J1950" s="81" t="s">
        <v>187</v>
      </c>
      <c r="K1950" s="81" t="s">
        <v>187</v>
      </c>
      <c r="L1950" s="81" t="s">
        <v>187</v>
      </c>
    </row>
    <row r="1951" ht="15.75" customHeight="1">
      <c r="A1951" s="262"/>
      <c r="B1951" s="262"/>
      <c r="C1951" s="263"/>
      <c r="D1951" s="262"/>
      <c r="E1951" s="81" t="s">
        <v>187</v>
      </c>
      <c r="F1951" s="81" t="s">
        <v>187</v>
      </c>
      <c r="G1951" s="81" t="s">
        <v>187</v>
      </c>
      <c r="H1951" s="81" t="s">
        <v>187</v>
      </c>
      <c r="I1951" s="81" t="s">
        <v>187</v>
      </c>
      <c r="J1951" s="81" t="s">
        <v>187</v>
      </c>
      <c r="K1951" s="81" t="s">
        <v>187</v>
      </c>
      <c r="L1951" s="81" t="s">
        <v>187</v>
      </c>
    </row>
    <row r="1952" ht="15.75" customHeight="1">
      <c r="A1952" s="262"/>
      <c r="B1952" s="262"/>
      <c r="C1952" s="263"/>
      <c r="D1952" s="262"/>
      <c r="E1952" s="81" t="s">
        <v>187</v>
      </c>
      <c r="F1952" s="81" t="s">
        <v>187</v>
      </c>
      <c r="G1952" s="81" t="s">
        <v>187</v>
      </c>
      <c r="H1952" s="81" t="s">
        <v>187</v>
      </c>
      <c r="I1952" s="81" t="s">
        <v>187</v>
      </c>
      <c r="J1952" s="81" t="s">
        <v>187</v>
      </c>
      <c r="K1952" s="81" t="s">
        <v>187</v>
      </c>
      <c r="L1952" s="81" t="s">
        <v>187</v>
      </c>
    </row>
    <row r="1953" ht="15.75" customHeight="1">
      <c r="A1953" s="262"/>
      <c r="B1953" s="262"/>
      <c r="C1953" s="263"/>
      <c r="D1953" s="262"/>
      <c r="E1953" s="81" t="s">
        <v>187</v>
      </c>
      <c r="F1953" s="81" t="s">
        <v>187</v>
      </c>
      <c r="G1953" s="81" t="s">
        <v>187</v>
      </c>
      <c r="H1953" s="81" t="s">
        <v>187</v>
      </c>
      <c r="I1953" s="81" t="s">
        <v>187</v>
      </c>
      <c r="J1953" s="81" t="s">
        <v>187</v>
      </c>
      <c r="K1953" s="81" t="s">
        <v>187</v>
      </c>
      <c r="L1953" s="81" t="s">
        <v>187</v>
      </c>
    </row>
    <row r="1954" ht="15.75" customHeight="1">
      <c r="A1954" s="262"/>
      <c r="B1954" s="262"/>
      <c r="C1954" s="263"/>
      <c r="D1954" s="262"/>
      <c r="E1954" s="81" t="s">
        <v>187</v>
      </c>
      <c r="F1954" s="81" t="s">
        <v>187</v>
      </c>
      <c r="G1954" s="81" t="s">
        <v>187</v>
      </c>
      <c r="H1954" s="81" t="s">
        <v>187</v>
      </c>
      <c r="I1954" s="81" t="s">
        <v>187</v>
      </c>
      <c r="J1954" s="81" t="s">
        <v>187</v>
      </c>
      <c r="K1954" s="81" t="s">
        <v>187</v>
      </c>
      <c r="L1954" s="81" t="s">
        <v>187</v>
      </c>
    </row>
    <row r="1955" ht="15.75" customHeight="1">
      <c r="A1955" s="262"/>
      <c r="B1955" s="262"/>
      <c r="C1955" s="263"/>
      <c r="D1955" s="262"/>
      <c r="E1955" s="81" t="s">
        <v>187</v>
      </c>
      <c r="F1955" s="81" t="s">
        <v>187</v>
      </c>
      <c r="G1955" s="81" t="s">
        <v>187</v>
      </c>
      <c r="H1955" s="81" t="s">
        <v>187</v>
      </c>
      <c r="I1955" s="81" t="s">
        <v>187</v>
      </c>
      <c r="J1955" s="81" t="s">
        <v>187</v>
      </c>
      <c r="K1955" s="81" t="s">
        <v>187</v>
      </c>
      <c r="L1955" s="81" t="s">
        <v>187</v>
      </c>
    </row>
    <row r="1956" ht="15.75" customHeight="1">
      <c r="A1956" s="262"/>
      <c r="B1956" s="262"/>
      <c r="C1956" s="263"/>
      <c r="D1956" s="262"/>
      <c r="E1956" s="81" t="s">
        <v>187</v>
      </c>
      <c r="F1956" s="81" t="s">
        <v>187</v>
      </c>
      <c r="G1956" s="81" t="s">
        <v>187</v>
      </c>
      <c r="H1956" s="81" t="s">
        <v>187</v>
      </c>
      <c r="I1956" s="81" t="s">
        <v>187</v>
      </c>
      <c r="J1956" s="81" t="s">
        <v>187</v>
      </c>
      <c r="K1956" s="81" t="s">
        <v>187</v>
      </c>
      <c r="L1956" s="81" t="s">
        <v>187</v>
      </c>
    </row>
    <row r="1957" ht="15.75" customHeight="1">
      <c r="A1957" s="262"/>
      <c r="B1957" s="262"/>
      <c r="C1957" s="263"/>
      <c r="D1957" s="262"/>
      <c r="E1957" s="81" t="s">
        <v>187</v>
      </c>
      <c r="F1957" s="81" t="s">
        <v>187</v>
      </c>
      <c r="G1957" s="81" t="s">
        <v>187</v>
      </c>
      <c r="H1957" s="81" t="s">
        <v>187</v>
      </c>
      <c r="I1957" s="81" t="s">
        <v>187</v>
      </c>
      <c r="J1957" s="81" t="s">
        <v>187</v>
      </c>
      <c r="K1957" s="81" t="s">
        <v>187</v>
      </c>
      <c r="L1957" s="81" t="s">
        <v>187</v>
      </c>
    </row>
    <row r="1958" ht="15.75" customHeight="1">
      <c r="A1958" s="262"/>
      <c r="B1958" s="262"/>
      <c r="C1958" s="263"/>
      <c r="D1958" s="262"/>
      <c r="E1958" s="81" t="s">
        <v>187</v>
      </c>
      <c r="F1958" s="81" t="s">
        <v>187</v>
      </c>
      <c r="G1958" s="81" t="s">
        <v>187</v>
      </c>
      <c r="H1958" s="81" t="s">
        <v>187</v>
      </c>
      <c r="I1958" s="81" t="s">
        <v>187</v>
      </c>
      <c r="J1958" s="81" t="s">
        <v>187</v>
      </c>
      <c r="K1958" s="81" t="s">
        <v>187</v>
      </c>
      <c r="L1958" s="81" t="s">
        <v>187</v>
      </c>
    </row>
    <row r="1959" ht="15.75" customHeight="1">
      <c r="A1959" s="262"/>
      <c r="B1959" s="262"/>
      <c r="C1959" s="263"/>
      <c r="D1959" s="262"/>
      <c r="E1959" s="81" t="s">
        <v>187</v>
      </c>
      <c r="F1959" s="81" t="s">
        <v>187</v>
      </c>
      <c r="G1959" s="81" t="s">
        <v>187</v>
      </c>
      <c r="H1959" s="81" t="s">
        <v>187</v>
      </c>
      <c r="I1959" s="81" t="s">
        <v>187</v>
      </c>
      <c r="J1959" s="81" t="s">
        <v>187</v>
      </c>
      <c r="K1959" s="81" t="s">
        <v>187</v>
      </c>
      <c r="L1959" s="81" t="s">
        <v>187</v>
      </c>
    </row>
    <row r="1960" ht="15.75" customHeight="1">
      <c r="A1960" s="262"/>
      <c r="B1960" s="262"/>
      <c r="C1960" s="263"/>
      <c r="D1960" s="262"/>
      <c r="E1960" s="81" t="s">
        <v>187</v>
      </c>
      <c r="F1960" s="81" t="s">
        <v>187</v>
      </c>
      <c r="G1960" s="81" t="s">
        <v>187</v>
      </c>
      <c r="H1960" s="81" t="s">
        <v>187</v>
      </c>
      <c r="I1960" s="81" t="s">
        <v>187</v>
      </c>
      <c r="J1960" s="81" t="s">
        <v>187</v>
      </c>
      <c r="K1960" s="81" t="s">
        <v>187</v>
      </c>
      <c r="L1960" s="81" t="s">
        <v>187</v>
      </c>
    </row>
    <row r="1961" ht="15.75" customHeight="1">
      <c r="A1961" s="262"/>
      <c r="B1961" s="262"/>
      <c r="C1961" s="263"/>
      <c r="D1961" s="262"/>
      <c r="E1961" s="81" t="s">
        <v>187</v>
      </c>
      <c r="F1961" s="81" t="s">
        <v>187</v>
      </c>
      <c r="G1961" s="81" t="s">
        <v>187</v>
      </c>
      <c r="H1961" s="81" t="s">
        <v>187</v>
      </c>
      <c r="I1961" s="81" t="s">
        <v>187</v>
      </c>
      <c r="J1961" s="81" t="s">
        <v>187</v>
      </c>
      <c r="K1961" s="81" t="s">
        <v>187</v>
      </c>
      <c r="L1961" s="81" t="s">
        <v>187</v>
      </c>
    </row>
    <row r="1962" ht="15.75" customHeight="1">
      <c r="A1962" s="262"/>
      <c r="B1962" s="262"/>
      <c r="C1962" s="263"/>
      <c r="D1962" s="262"/>
      <c r="E1962" s="81" t="s">
        <v>187</v>
      </c>
      <c r="F1962" s="81" t="s">
        <v>187</v>
      </c>
      <c r="G1962" s="81" t="s">
        <v>187</v>
      </c>
      <c r="H1962" s="81" t="s">
        <v>187</v>
      </c>
      <c r="I1962" s="81" t="s">
        <v>187</v>
      </c>
      <c r="J1962" s="81" t="s">
        <v>187</v>
      </c>
      <c r="K1962" s="81" t="s">
        <v>187</v>
      </c>
      <c r="L1962" s="81" t="s">
        <v>187</v>
      </c>
    </row>
    <row r="1963" ht="15.75" customHeight="1">
      <c r="A1963" s="262"/>
      <c r="B1963" s="262"/>
      <c r="C1963" s="263"/>
      <c r="D1963" s="262"/>
      <c r="E1963" s="81" t="s">
        <v>187</v>
      </c>
      <c r="F1963" s="81" t="s">
        <v>187</v>
      </c>
      <c r="G1963" s="81" t="s">
        <v>187</v>
      </c>
      <c r="H1963" s="81" t="s">
        <v>187</v>
      </c>
      <c r="I1963" s="81" t="s">
        <v>187</v>
      </c>
      <c r="J1963" s="81" t="s">
        <v>187</v>
      </c>
      <c r="K1963" s="81" t="s">
        <v>187</v>
      </c>
      <c r="L1963" s="81" t="s">
        <v>187</v>
      </c>
    </row>
    <row r="1964" ht="15.75" customHeight="1">
      <c r="A1964" s="262"/>
      <c r="B1964" s="262"/>
      <c r="C1964" s="263"/>
      <c r="D1964" s="262"/>
      <c r="E1964" s="81" t="s">
        <v>187</v>
      </c>
      <c r="F1964" s="81" t="s">
        <v>187</v>
      </c>
      <c r="G1964" s="81" t="s">
        <v>187</v>
      </c>
      <c r="H1964" s="81" t="s">
        <v>187</v>
      </c>
      <c r="I1964" s="81" t="s">
        <v>187</v>
      </c>
      <c r="J1964" s="81" t="s">
        <v>187</v>
      </c>
      <c r="K1964" s="81" t="s">
        <v>187</v>
      </c>
      <c r="L1964" s="81" t="s">
        <v>187</v>
      </c>
    </row>
    <row r="1965" ht="15.75" customHeight="1">
      <c r="A1965" s="262"/>
      <c r="B1965" s="262"/>
      <c r="C1965" s="263"/>
      <c r="D1965" s="262"/>
      <c r="E1965" s="81" t="s">
        <v>187</v>
      </c>
      <c r="F1965" s="81" t="s">
        <v>187</v>
      </c>
      <c r="G1965" s="81" t="s">
        <v>187</v>
      </c>
      <c r="H1965" s="81" t="s">
        <v>187</v>
      </c>
      <c r="I1965" s="81" t="s">
        <v>187</v>
      </c>
      <c r="J1965" s="81" t="s">
        <v>187</v>
      </c>
      <c r="K1965" s="81" t="s">
        <v>187</v>
      </c>
      <c r="L1965" s="81" t="s">
        <v>187</v>
      </c>
    </row>
    <row r="1966" ht="15.75" customHeight="1">
      <c r="A1966" s="262"/>
      <c r="B1966" s="262"/>
      <c r="C1966" s="263"/>
      <c r="D1966" s="262"/>
      <c r="E1966" s="81" t="s">
        <v>187</v>
      </c>
      <c r="F1966" s="81" t="s">
        <v>187</v>
      </c>
      <c r="G1966" s="81" t="s">
        <v>187</v>
      </c>
      <c r="H1966" s="81" t="s">
        <v>187</v>
      </c>
      <c r="I1966" s="81" t="s">
        <v>187</v>
      </c>
      <c r="J1966" s="81" t="s">
        <v>187</v>
      </c>
      <c r="K1966" s="81" t="s">
        <v>187</v>
      </c>
      <c r="L1966" s="81" t="s">
        <v>187</v>
      </c>
    </row>
    <row r="1967" ht="15.75" customHeight="1">
      <c r="A1967" s="262"/>
      <c r="B1967" s="262"/>
      <c r="C1967" s="263"/>
      <c r="D1967" s="262"/>
      <c r="E1967" s="81" t="s">
        <v>187</v>
      </c>
      <c r="F1967" s="81" t="s">
        <v>187</v>
      </c>
      <c r="G1967" s="81" t="s">
        <v>187</v>
      </c>
      <c r="H1967" s="81" t="s">
        <v>187</v>
      </c>
      <c r="I1967" s="81" t="s">
        <v>187</v>
      </c>
      <c r="J1967" s="81" t="s">
        <v>187</v>
      </c>
      <c r="K1967" s="81" t="s">
        <v>187</v>
      </c>
      <c r="L1967" s="81" t="s">
        <v>187</v>
      </c>
    </row>
    <row r="1968" ht="15.75" customHeight="1">
      <c r="A1968" s="262"/>
      <c r="B1968" s="262"/>
      <c r="C1968" s="263"/>
      <c r="D1968" s="262"/>
      <c r="E1968" s="81" t="s">
        <v>187</v>
      </c>
      <c r="F1968" s="81" t="s">
        <v>187</v>
      </c>
      <c r="G1968" s="81" t="s">
        <v>187</v>
      </c>
      <c r="H1968" s="81" t="s">
        <v>187</v>
      </c>
      <c r="I1968" s="81" t="s">
        <v>187</v>
      </c>
      <c r="J1968" s="81" t="s">
        <v>187</v>
      </c>
      <c r="K1968" s="81" t="s">
        <v>187</v>
      </c>
      <c r="L1968" s="81" t="s">
        <v>187</v>
      </c>
    </row>
    <row r="1969" ht="15.75" customHeight="1">
      <c r="A1969" s="262"/>
      <c r="B1969" s="262"/>
      <c r="C1969" s="263"/>
      <c r="D1969" s="262"/>
      <c r="E1969" s="81" t="s">
        <v>187</v>
      </c>
      <c r="F1969" s="81" t="s">
        <v>187</v>
      </c>
      <c r="G1969" s="81" t="s">
        <v>187</v>
      </c>
      <c r="H1969" s="81" t="s">
        <v>187</v>
      </c>
      <c r="I1969" s="81" t="s">
        <v>187</v>
      </c>
      <c r="J1969" s="81" t="s">
        <v>187</v>
      </c>
      <c r="K1969" s="81" t="s">
        <v>187</v>
      </c>
      <c r="L1969" s="81" t="s">
        <v>187</v>
      </c>
    </row>
    <row r="1970" ht="15.75" customHeight="1">
      <c r="A1970" s="262"/>
      <c r="B1970" s="262"/>
      <c r="C1970" s="263"/>
      <c r="D1970" s="262"/>
      <c r="E1970" s="81" t="s">
        <v>187</v>
      </c>
      <c r="F1970" s="81" t="s">
        <v>187</v>
      </c>
      <c r="G1970" s="81" t="s">
        <v>187</v>
      </c>
      <c r="H1970" s="81" t="s">
        <v>187</v>
      </c>
      <c r="I1970" s="81" t="s">
        <v>187</v>
      </c>
      <c r="J1970" s="81" t="s">
        <v>187</v>
      </c>
      <c r="K1970" s="81" t="s">
        <v>187</v>
      </c>
      <c r="L1970" s="81" t="s">
        <v>187</v>
      </c>
    </row>
    <row r="1971" ht="15.75" customHeight="1">
      <c r="A1971" s="262"/>
      <c r="B1971" s="262"/>
      <c r="C1971" s="263"/>
      <c r="D1971" s="262"/>
      <c r="E1971" s="81" t="s">
        <v>187</v>
      </c>
      <c r="F1971" s="81" t="s">
        <v>187</v>
      </c>
      <c r="G1971" s="81" t="s">
        <v>187</v>
      </c>
      <c r="H1971" s="81" t="s">
        <v>187</v>
      </c>
      <c r="I1971" s="81" t="s">
        <v>187</v>
      </c>
      <c r="J1971" s="81" t="s">
        <v>187</v>
      </c>
      <c r="K1971" s="81" t="s">
        <v>187</v>
      </c>
      <c r="L1971" s="81" t="s">
        <v>187</v>
      </c>
    </row>
    <row r="1972" ht="15.75" customHeight="1">
      <c r="A1972" s="262"/>
      <c r="B1972" s="262"/>
      <c r="C1972" s="263"/>
      <c r="D1972" s="262"/>
      <c r="E1972" s="81" t="s">
        <v>187</v>
      </c>
      <c r="F1972" s="81" t="s">
        <v>187</v>
      </c>
      <c r="G1972" s="81" t="s">
        <v>187</v>
      </c>
      <c r="H1972" s="81" t="s">
        <v>187</v>
      </c>
      <c r="I1972" s="81" t="s">
        <v>187</v>
      </c>
      <c r="J1972" s="81" t="s">
        <v>187</v>
      </c>
      <c r="K1972" s="81" t="s">
        <v>187</v>
      </c>
      <c r="L1972" s="81" t="s">
        <v>187</v>
      </c>
    </row>
    <row r="1973" ht="15.75" customHeight="1">
      <c r="A1973" s="262"/>
      <c r="B1973" s="262"/>
      <c r="C1973" s="263"/>
      <c r="D1973" s="262"/>
      <c r="E1973" s="81" t="s">
        <v>187</v>
      </c>
      <c r="F1973" s="81" t="s">
        <v>187</v>
      </c>
      <c r="G1973" s="81" t="s">
        <v>187</v>
      </c>
      <c r="H1973" s="81" t="s">
        <v>187</v>
      </c>
      <c r="I1973" s="81" t="s">
        <v>187</v>
      </c>
      <c r="J1973" s="81" t="s">
        <v>187</v>
      </c>
      <c r="K1973" s="81" t="s">
        <v>187</v>
      </c>
      <c r="L1973" s="81" t="s">
        <v>187</v>
      </c>
    </row>
    <row r="1974" ht="15.75" customHeight="1">
      <c r="A1974" s="262"/>
      <c r="B1974" s="262"/>
      <c r="C1974" s="263"/>
      <c r="D1974" s="262"/>
      <c r="E1974" s="81" t="s">
        <v>187</v>
      </c>
      <c r="F1974" s="81" t="s">
        <v>187</v>
      </c>
      <c r="G1974" s="81" t="s">
        <v>187</v>
      </c>
      <c r="H1974" s="81" t="s">
        <v>187</v>
      </c>
      <c r="I1974" s="81" t="s">
        <v>187</v>
      </c>
      <c r="J1974" s="81" t="s">
        <v>187</v>
      </c>
      <c r="K1974" s="81" t="s">
        <v>187</v>
      </c>
      <c r="L1974" s="81" t="s">
        <v>187</v>
      </c>
    </row>
    <row r="1975" ht="15.75" customHeight="1">
      <c r="A1975" s="262"/>
      <c r="B1975" s="262"/>
      <c r="C1975" s="263"/>
      <c r="D1975" s="262"/>
      <c r="E1975" s="81" t="s">
        <v>187</v>
      </c>
      <c r="F1975" s="81" t="s">
        <v>187</v>
      </c>
      <c r="G1975" s="81" t="s">
        <v>187</v>
      </c>
      <c r="H1975" s="81" t="s">
        <v>187</v>
      </c>
      <c r="I1975" s="81" t="s">
        <v>187</v>
      </c>
      <c r="J1975" s="81" t="s">
        <v>187</v>
      </c>
      <c r="K1975" s="81" t="s">
        <v>187</v>
      </c>
      <c r="L1975" s="81" t="s">
        <v>187</v>
      </c>
    </row>
    <row r="1976" ht="15.75" customHeight="1">
      <c r="A1976" s="262"/>
      <c r="B1976" s="262"/>
      <c r="C1976" s="263"/>
      <c r="D1976" s="262"/>
      <c r="E1976" s="81" t="s">
        <v>187</v>
      </c>
      <c r="F1976" s="81" t="s">
        <v>187</v>
      </c>
      <c r="G1976" s="81" t="s">
        <v>187</v>
      </c>
      <c r="H1976" s="81" t="s">
        <v>187</v>
      </c>
      <c r="I1976" s="81" t="s">
        <v>187</v>
      </c>
      <c r="J1976" s="81" t="s">
        <v>187</v>
      </c>
      <c r="K1976" s="81" t="s">
        <v>187</v>
      </c>
      <c r="L1976" s="81" t="s">
        <v>187</v>
      </c>
    </row>
    <row r="1977" ht="15.75" customHeight="1">
      <c r="A1977" s="262"/>
      <c r="B1977" s="262"/>
      <c r="C1977" s="263"/>
      <c r="D1977" s="262"/>
      <c r="E1977" s="81" t="s">
        <v>187</v>
      </c>
      <c r="F1977" s="81" t="s">
        <v>187</v>
      </c>
      <c r="G1977" s="81" t="s">
        <v>187</v>
      </c>
      <c r="H1977" s="81" t="s">
        <v>187</v>
      </c>
      <c r="I1977" s="81" t="s">
        <v>187</v>
      </c>
      <c r="J1977" s="81" t="s">
        <v>187</v>
      </c>
      <c r="K1977" s="81" t="s">
        <v>187</v>
      </c>
      <c r="L1977" s="81" t="s">
        <v>187</v>
      </c>
    </row>
    <row r="1978" ht="15.75" customHeight="1">
      <c r="A1978" s="262"/>
      <c r="B1978" s="262"/>
      <c r="C1978" s="263"/>
      <c r="D1978" s="262"/>
      <c r="E1978" s="81" t="s">
        <v>187</v>
      </c>
      <c r="F1978" s="81" t="s">
        <v>187</v>
      </c>
      <c r="G1978" s="81" t="s">
        <v>187</v>
      </c>
      <c r="H1978" s="81" t="s">
        <v>187</v>
      </c>
      <c r="I1978" s="81" t="s">
        <v>187</v>
      </c>
      <c r="J1978" s="81" t="s">
        <v>187</v>
      </c>
      <c r="K1978" s="81" t="s">
        <v>187</v>
      </c>
      <c r="L1978" s="81" t="s">
        <v>187</v>
      </c>
    </row>
    <row r="1979" ht="15.75" customHeight="1">
      <c r="A1979" s="262"/>
      <c r="B1979" s="262"/>
      <c r="C1979" s="263"/>
      <c r="D1979" s="262"/>
      <c r="E1979" s="81" t="s">
        <v>187</v>
      </c>
      <c r="F1979" s="81" t="s">
        <v>187</v>
      </c>
      <c r="G1979" s="81" t="s">
        <v>187</v>
      </c>
      <c r="H1979" s="81" t="s">
        <v>187</v>
      </c>
      <c r="I1979" s="81" t="s">
        <v>187</v>
      </c>
      <c r="J1979" s="81" t="s">
        <v>187</v>
      </c>
      <c r="K1979" s="81" t="s">
        <v>187</v>
      </c>
      <c r="L1979" s="81" t="s">
        <v>187</v>
      </c>
    </row>
    <row r="1980" ht="15.75" customHeight="1">
      <c r="A1980" s="262"/>
      <c r="B1980" s="262"/>
      <c r="C1980" s="263"/>
      <c r="D1980" s="262"/>
      <c r="E1980" s="81" t="s">
        <v>187</v>
      </c>
      <c r="F1980" s="81" t="s">
        <v>187</v>
      </c>
      <c r="G1980" s="81" t="s">
        <v>187</v>
      </c>
      <c r="H1980" s="81" t="s">
        <v>187</v>
      </c>
      <c r="I1980" s="81" t="s">
        <v>187</v>
      </c>
      <c r="J1980" s="81" t="s">
        <v>187</v>
      </c>
      <c r="K1980" s="81" t="s">
        <v>187</v>
      </c>
      <c r="L1980" s="81" t="s">
        <v>187</v>
      </c>
    </row>
    <row r="1981" ht="15.75" customHeight="1">
      <c r="A1981" s="262"/>
      <c r="B1981" s="262"/>
      <c r="C1981" s="263"/>
      <c r="D1981" s="262"/>
      <c r="E1981" s="81" t="s">
        <v>187</v>
      </c>
      <c r="F1981" s="81" t="s">
        <v>187</v>
      </c>
      <c r="G1981" s="81" t="s">
        <v>187</v>
      </c>
      <c r="H1981" s="81" t="s">
        <v>187</v>
      </c>
      <c r="I1981" s="81" t="s">
        <v>187</v>
      </c>
      <c r="J1981" s="81" t="s">
        <v>187</v>
      </c>
      <c r="K1981" s="81" t="s">
        <v>187</v>
      </c>
      <c r="L1981" s="81" t="s">
        <v>187</v>
      </c>
    </row>
    <row r="1982" ht="15.75" customHeight="1">
      <c r="A1982" s="262"/>
      <c r="B1982" s="262"/>
      <c r="C1982" s="263"/>
      <c r="D1982" s="262"/>
      <c r="E1982" s="81" t="s">
        <v>187</v>
      </c>
      <c r="F1982" s="81" t="s">
        <v>187</v>
      </c>
      <c r="G1982" s="81" t="s">
        <v>187</v>
      </c>
      <c r="H1982" s="81" t="s">
        <v>187</v>
      </c>
      <c r="I1982" s="81" t="s">
        <v>187</v>
      </c>
      <c r="J1982" s="81" t="s">
        <v>187</v>
      </c>
      <c r="K1982" s="81" t="s">
        <v>187</v>
      </c>
      <c r="L1982" s="81" t="s">
        <v>187</v>
      </c>
    </row>
    <row r="1983" ht="15.75" customHeight="1">
      <c r="A1983" s="262"/>
      <c r="B1983" s="262"/>
      <c r="C1983" s="263"/>
      <c r="D1983" s="262"/>
      <c r="E1983" s="81" t="s">
        <v>187</v>
      </c>
      <c r="F1983" s="81" t="s">
        <v>187</v>
      </c>
      <c r="G1983" s="81" t="s">
        <v>187</v>
      </c>
      <c r="H1983" s="81" t="s">
        <v>187</v>
      </c>
      <c r="I1983" s="81" t="s">
        <v>187</v>
      </c>
      <c r="J1983" s="81" t="s">
        <v>187</v>
      </c>
      <c r="K1983" s="81" t="s">
        <v>187</v>
      </c>
      <c r="L1983" s="81" t="s">
        <v>187</v>
      </c>
    </row>
    <row r="1984" ht="15.75" customHeight="1">
      <c r="A1984" s="262"/>
      <c r="B1984" s="262"/>
      <c r="C1984" s="263"/>
      <c r="D1984" s="262"/>
      <c r="E1984" s="81" t="s">
        <v>187</v>
      </c>
      <c r="F1984" s="81" t="s">
        <v>187</v>
      </c>
      <c r="G1984" s="81" t="s">
        <v>187</v>
      </c>
      <c r="H1984" s="81" t="s">
        <v>187</v>
      </c>
      <c r="I1984" s="81" t="s">
        <v>187</v>
      </c>
      <c r="J1984" s="81" t="s">
        <v>187</v>
      </c>
      <c r="K1984" s="81" t="s">
        <v>187</v>
      </c>
      <c r="L1984" s="81" t="s">
        <v>187</v>
      </c>
    </row>
    <row r="1985" ht="15.75" customHeight="1">
      <c r="A1985" s="262"/>
      <c r="B1985" s="262"/>
      <c r="C1985" s="263"/>
      <c r="D1985" s="262"/>
      <c r="E1985" s="81" t="s">
        <v>187</v>
      </c>
      <c r="F1985" s="81" t="s">
        <v>187</v>
      </c>
      <c r="G1985" s="81" t="s">
        <v>187</v>
      </c>
      <c r="H1985" s="81" t="s">
        <v>187</v>
      </c>
      <c r="I1985" s="81" t="s">
        <v>187</v>
      </c>
      <c r="J1985" s="81" t="s">
        <v>187</v>
      </c>
      <c r="K1985" s="81" t="s">
        <v>187</v>
      </c>
      <c r="L1985" s="81" t="s">
        <v>187</v>
      </c>
    </row>
    <row r="1986" ht="15.75" customHeight="1">
      <c r="A1986" s="262"/>
      <c r="B1986" s="262"/>
      <c r="C1986" s="263"/>
      <c r="D1986" s="262"/>
      <c r="E1986" s="81" t="s">
        <v>187</v>
      </c>
      <c r="F1986" s="81" t="s">
        <v>187</v>
      </c>
      <c r="G1986" s="81" t="s">
        <v>187</v>
      </c>
      <c r="H1986" s="81" t="s">
        <v>187</v>
      </c>
      <c r="I1986" s="81" t="s">
        <v>187</v>
      </c>
      <c r="J1986" s="81" t="s">
        <v>187</v>
      </c>
      <c r="K1986" s="81" t="s">
        <v>187</v>
      </c>
      <c r="L1986" s="81" t="s">
        <v>187</v>
      </c>
    </row>
    <row r="1987" ht="15.75" customHeight="1">
      <c r="A1987" s="262"/>
      <c r="B1987" s="262"/>
      <c r="C1987" s="263"/>
      <c r="D1987" s="262"/>
      <c r="E1987" s="81" t="s">
        <v>187</v>
      </c>
      <c r="F1987" s="81" t="s">
        <v>187</v>
      </c>
      <c r="G1987" s="81" t="s">
        <v>187</v>
      </c>
      <c r="H1987" s="81" t="s">
        <v>187</v>
      </c>
      <c r="I1987" s="81" t="s">
        <v>187</v>
      </c>
      <c r="J1987" s="81" t="s">
        <v>187</v>
      </c>
      <c r="K1987" s="81" t="s">
        <v>187</v>
      </c>
      <c r="L1987" s="81" t="s">
        <v>187</v>
      </c>
    </row>
    <row r="1988" ht="15.75" customHeight="1">
      <c r="A1988" s="262"/>
      <c r="B1988" s="262"/>
      <c r="C1988" s="263"/>
      <c r="D1988" s="262"/>
      <c r="E1988" s="81" t="s">
        <v>187</v>
      </c>
      <c r="F1988" s="81" t="s">
        <v>187</v>
      </c>
      <c r="G1988" s="81" t="s">
        <v>187</v>
      </c>
      <c r="H1988" s="81" t="s">
        <v>187</v>
      </c>
      <c r="I1988" s="81" t="s">
        <v>187</v>
      </c>
      <c r="J1988" s="81" t="s">
        <v>187</v>
      </c>
      <c r="K1988" s="81" t="s">
        <v>187</v>
      </c>
      <c r="L1988" s="81" t="s">
        <v>187</v>
      </c>
    </row>
    <row r="1989" ht="15.75" customHeight="1">
      <c r="A1989" s="262"/>
      <c r="B1989" s="262"/>
      <c r="C1989" s="263"/>
      <c r="D1989" s="262"/>
      <c r="E1989" s="81" t="s">
        <v>187</v>
      </c>
      <c r="F1989" s="81" t="s">
        <v>187</v>
      </c>
      <c r="G1989" s="81" t="s">
        <v>187</v>
      </c>
      <c r="H1989" s="81" t="s">
        <v>187</v>
      </c>
      <c r="I1989" s="81" t="s">
        <v>187</v>
      </c>
      <c r="J1989" s="81" t="s">
        <v>187</v>
      </c>
      <c r="K1989" s="81" t="s">
        <v>187</v>
      </c>
      <c r="L1989" s="81" t="s">
        <v>187</v>
      </c>
    </row>
    <row r="1990" ht="15.75" customHeight="1">
      <c r="A1990" s="262"/>
      <c r="B1990" s="262"/>
      <c r="C1990" s="263"/>
      <c r="D1990" s="262"/>
      <c r="E1990" s="81" t="s">
        <v>187</v>
      </c>
      <c r="F1990" s="81" t="s">
        <v>187</v>
      </c>
      <c r="G1990" s="81" t="s">
        <v>187</v>
      </c>
      <c r="H1990" s="81" t="s">
        <v>187</v>
      </c>
      <c r="I1990" s="81" t="s">
        <v>187</v>
      </c>
      <c r="J1990" s="81" t="s">
        <v>187</v>
      </c>
      <c r="K1990" s="81" t="s">
        <v>187</v>
      </c>
      <c r="L1990" s="81" t="s">
        <v>187</v>
      </c>
    </row>
    <row r="1991" ht="15.75" customHeight="1">
      <c r="A1991" s="262"/>
      <c r="B1991" s="262"/>
      <c r="C1991" s="263"/>
      <c r="D1991" s="262"/>
      <c r="E1991" s="81" t="s">
        <v>187</v>
      </c>
      <c r="F1991" s="81" t="s">
        <v>187</v>
      </c>
      <c r="G1991" s="81" t="s">
        <v>187</v>
      </c>
      <c r="H1991" s="81" t="s">
        <v>187</v>
      </c>
      <c r="I1991" s="81" t="s">
        <v>187</v>
      </c>
      <c r="J1991" s="81" t="s">
        <v>187</v>
      </c>
      <c r="K1991" s="81" t="s">
        <v>187</v>
      </c>
      <c r="L1991" s="81" t="s">
        <v>187</v>
      </c>
    </row>
    <row r="1992" ht="15.75" customHeight="1">
      <c r="A1992" s="262"/>
      <c r="B1992" s="262"/>
      <c r="C1992" s="263"/>
      <c r="D1992" s="262"/>
      <c r="E1992" s="81" t="s">
        <v>187</v>
      </c>
      <c r="F1992" s="81" t="s">
        <v>187</v>
      </c>
      <c r="G1992" s="81" t="s">
        <v>187</v>
      </c>
      <c r="H1992" s="81" t="s">
        <v>187</v>
      </c>
      <c r="I1992" s="81" t="s">
        <v>187</v>
      </c>
      <c r="J1992" s="81" t="s">
        <v>187</v>
      </c>
      <c r="K1992" s="81" t="s">
        <v>187</v>
      </c>
      <c r="L1992" s="81" t="s">
        <v>187</v>
      </c>
    </row>
    <row r="1993" ht="15.75" customHeight="1">
      <c r="A1993" s="262"/>
      <c r="B1993" s="262"/>
      <c r="C1993" s="263"/>
      <c r="D1993" s="262"/>
      <c r="E1993" s="81" t="s">
        <v>187</v>
      </c>
      <c r="F1993" s="81" t="s">
        <v>187</v>
      </c>
      <c r="G1993" s="81" t="s">
        <v>187</v>
      </c>
      <c r="H1993" s="81" t="s">
        <v>187</v>
      </c>
      <c r="I1993" s="81" t="s">
        <v>187</v>
      </c>
      <c r="J1993" s="81" t="s">
        <v>187</v>
      </c>
      <c r="K1993" s="81" t="s">
        <v>187</v>
      </c>
      <c r="L1993" s="81" t="s">
        <v>187</v>
      </c>
    </row>
    <row r="1994" ht="15.75" customHeight="1">
      <c r="A1994" s="262"/>
      <c r="B1994" s="262"/>
      <c r="C1994" s="263"/>
      <c r="D1994" s="262"/>
      <c r="E1994" s="81" t="s">
        <v>187</v>
      </c>
      <c r="F1994" s="81" t="s">
        <v>187</v>
      </c>
      <c r="G1994" s="81" t="s">
        <v>187</v>
      </c>
      <c r="H1994" s="81" t="s">
        <v>187</v>
      </c>
      <c r="I1994" s="81" t="s">
        <v>187</v>
      </c>
      <c r="J1994" s="81" t="s">
        <v>187</v>
      </c>
      <c r="K1994" s="81" t="s">
        <v>187</v>
      </c>
      <c r="L1994" s="81" t="s">
        <v>187</v>
      </c>
    </row>
    <row r="1995" ht="15.75" customHeight="1">
      <c r="A1995" s="262"/>
      <c r="B1995" s="262"/>
      <c r="C1995" s="263"/>
      <c r="D1995" s="262"/>
      <c r="E1995" s="81" t="s">
        <v>187</v>
      </c>
      <c r="F1995" s="81" t="s">
        <v>187</v>
      </c>
      <c r="G1995" s="81" t="s">
        <v>187</v>
      </c>
      <c r="H1995" s="81" t="s">
        <v>187</v>
      </c>
      <c r="I1995" s="81" t="s">
        <v>187</v>
      </c>
      <c r="J1995" s="81" t="s">
        <v>187</v>
      </c>
      <c r="K1995" s="81" t="s">
        <v>187</v>
      </c>
      <c r="L1995" s="81" t="s">
        <v>187</v>
      </c>
    </row>
    <row r="1996" ht="15.75" customHeight="1">
      <c r="A1996" s="262"/>
      <c r="B1996" s="262"/>
      <c r="C1996" s="263"/>
      <c r="D1996" s="262"/>
      <c r="E1996" s="81" t="s">
        <v>187</v>
      </c>
      <c r="F1996" s="81" t="s">
        <v>187</v>
      </c>
      <c r="G1996" s="81" t="s">
        <v>187</v>
      </c>
      <c r="H1996" s="81" t="s">
        <v>187</v>
      </c>
      <c r="I1996" s="81" t="s">
        <v>187</v>
      </c>
      <c r="J1996" s="81" t="s">
        <v>187</v>
      </c>
      <c r="K1996" s="81" t="s">
        <v>187</v>
      </c>
      <c r="L1996" s="81" t="s">
        <v>187</v>
      </c>
    </row>
    <row r="1997" ht="15.75" customHeight="1">
      <c r="A1997" s="262"/>
      <c r="B1997" s="262"/>
      <c r="C1997" s="263"/>
      <c r="D1997" s="262"/>
      <c r="E1997" s="81" t="s">
        <v>187</v>
      </c>
      <c r="F1997" s="81" t="s">
        <v>187</v>
      </c>
      <c r="G1997" s="81" t="s">
        <v>187</v>
      </c>
      <c r="H1997" s="81" t="s">
        <v>187</v>
      </c>
      <c r="I1997" s="81" t="s">
        <v>187</v>
      </c>
      <c r="J1997" s="81" t="s">
        <v>187</v>
      </c>
      <c r="K1997" s="81" t="s">
        <v>187</v>
      </c>
      <c r="L1997" s="81" t="s">
        <v>187</v>
      </c>
    </row>
    <row r="1998" ht="15.75" customHeight="1">
      <c r="A1998" s="262"/>
      <c r="B1998" s="262"/>
      <c r="C1998" s="263"/>
      <c r="D1998" s="262"/>
      <c r="E1998" s="81" t="s">
        <v>187</v>
      </c>
      <c r="F1998" s="81" t="s">
        <v>187</v>
      </c>
      <c r="G1998" s="81" t="s">
        <v>187</v>
      </c>
      <c r="H1998" s="81" t="s">
        <v>187</v>
      </c>
      <c r="I1998" s="81" t="s">
        <v>187</v>
      </c>
      <c r="J1998" s="81" t="s">
        <v>187</v>
      </c>
      <c r="K1998" s="81" t="s">
        <v>187</v>
      </c>
      <c r="L1998" s="81" t="s">
        <v>187</v>
      </c>
    </row>
    <row r="1999" ht="15.75" customHeight="1">
      <c r="A1999" s="262"/>
      <c r="B1999" s="262"/>
      <c r="C1999" s="263"/>
      <c r="D1999" s="262"/>
      <c r="E1999" s="81" t="s">
        <v>187</v>
      </c>
      <c r="F1999" s="81" t="s">
        <v>187</v>
      </c>
      <c r="G1999" s="81" t="s">
        <v>187</v>
      </c>
      <c r="H1999" s="81" t="s">
        <v>187</v>
      </c>
      <c r="I1999" s="81" t="s">
        <v>187</v>
      </c>
      <c r="J1999" s="81" t="s">
        <v>187</v>
      </c>
      <c r="K1999" s="81" t="s">
        <v>187</v>
      </c>
      <c r="L1999" s="81" t="s">
        <v>187</v>
      </c>
    </row>
    <row r="2000" ht="15.75" customHeight="1">
      <c r="A2000" s="262"/>
      <c r="B2000" s="262"/>
      <c r="C2000" s="263"/>
      <c r="D2000" s="262"/>
      <c r="E2000" s="81" t="s">
        <v>187</v>
      </c>
      <c r="F2000" s="81" t="s">
        <v>187</v>
      </c>
      <c r="G2000" s="81" t="s">
        <v>187</v>
      </c>
      <c r="H2000" s="81" t="s">
        <v>187</v>
      </c>
      <c r="I2000" s="81" t="s">
        <v>187</v>
      </c>
      <c r="J2000" s="81" t="s">
        <v>187</v>
      </c>
      <c r="K2000" s="81" t="s">
        <v>187</v>
      </c>
      <c r="L2000" s="81" t="s">
        <v>187</v>
      </c>
    </row>
    <row r="2001" ht="15.75" customHeight="1">
      <c r="A2001" s="262"/>
      <c r="B2001" s="262"/>
      <c r="C2001" s="263"/>
      <c r="D2001" s="262"/>
      <c r="E2001" s="81" t="s">
        <v>187</v>
      </c>
      <c r="F2001" s="81" t="s">
        <v>187</v>
      </c>
      <c r="G2001" s="81" t="s">
        <v>187</v>
      </c>
      <c r="H2001" s="81" t="s">
        <v>187</v>
      </c>
      <c r="I2001" s="81" t="s">
        <v>187</v>
      </c>
      <c r="J2001" s="81" t="s">
        <v>187</v>
      </c>
      <c r="K2001" s="81" t="s">
        <v>187</v>
      </c>
      <c r="L2001" s="81" t="s">
        <v>187</v>
      </c>
    </row>
    <row r="2002" ht="15.75" customHeight="1">
      <c r="A2002" s="262"/>
      <c r="B2002" s="262"/>
      <c r="C2002" s="263"/>
      <c r="D2002" s="262"/>
      <c r="E2002" s="81" t="s">
        <v>187</v>
      </c>
      <c r="F2002" s="81" t="s">
        <v>187</v>
      </c>
      <c r="G2002" s="81" t="s">
        <v>187</v>
      </c>
      <c r="H2002" s="81" t="s">
        <v>187</v>
      </c>
      <c r="I2002" s="81" t="s">
        <v>187</v>
      </c>
      <c r="J2002" s="81" t="s">
        <v>187</v>
      </c>
      <c r="K2002" s="81" t="s">
        <v>187</v>
      </c>
      <c r="L2002" s="81" t="s">
        <v>187</v>
      </c>
    </row>
    <row r="2003" ht="15.75" customHeight="1">
      <c r="A2003" s="262"/>
      <c r="B2003" s="262"/>
      <c r="C2003" s="263"/>
      <c r="D2003" s="262"/>
      <c r="E2003" s="81" t="s">
        <v>187</v>
      </c>
      <c r="F2003" s="81" t="s">
        <v>187</v>
      </c>
      <c r="G2003" s="81" t="s">
        <v>187</v>
      </c>
      <c r="H2003" s="81" t="s">
        <v>187</v>
      </c>
      <c r="I2003" s="81" t="s">
        <v>187</v>
      </c>
      <c r="J2003" s="81" t="s">
        <v>187</v>
      </c>
      <c r="K2003" s="81" t="s">
        <v>187</v>
      </c>
      <c r="L2003" s="81" t="s">
        <v>187</v>
      </c>
    </row>
    <row r="2004" ht="15.75" customHeight="1">
      <c r="A2004" s="262"/>
      <c r="B2004" s="262"/>
      <c r="C2004" s="263"/>
      <c r="D2004" s="262"/>
      <c r="E2004" s="81" t="s">
        <v>187</v>
      </c>
      <c r="F2004" s="81" t="s">
        <v>187</v>
      </c>
      <c r="G2004" s="81" t="s">
        <v>187</v>
      </c>
      <c r="H2004" s="81" t="s">
        <v>187</v>
      </c>
      <c r="I2004" s="81" t="s">
        <v>187</v>
      </c>
      <c r="J2004" s="81" t="s">
        <v>187</v>
      </c>
      <c r="K2004" s="81" t="s">
        <v>187</v>
      </c>
      <c r="L2004" s="81" t="s">
        <v>187</v>
      </c>
    </row>
    <row r="2005" ht="15.75" customHeight="1">
      <c r="A2005" s="262"/>
      <c r="B2005" s="262"/>
      <c r="C2005" s="263"/>
      <c r="D2005" s="262"/>
      <c r="E2005" s="81" t="s">
        <v>187</v>
      </c>
      <c r="F2005" s="81" t="s">
        <v>187</v>
      </c>
      <c r="G2005" s="81" t="s">
        <v>187</v>
      </c>
      <c r="H2005" s="81" t="s">
        <v>187</v>
      </c>
      <c r="I2005" s="81" t="s">
        <v>187</v>
      </c>
      <c r="J2005" s="81" t="s">
        <v>187</v>
      </c>
      <c r="K2005" s="81" t="s">
        <v>187</v>
      </c>
      <c r="L2005" s="81" t="s">
        <v>187</v>
      </c>
    </row>
    <row r="2006" ht="15.75" customHeight="1">
      <c r="A2006" s="262"/>
      <c r="B2006" s="262"/>
      <c r="C2006" s="263"/>
      <c r="D2006" s="262"/>
      <c r="E2006" s="81" t="s">
        <v>187</v>
      </c>
      <c r="F2006" s="81" t="s">
        <v>187</v>
      </c>
      <c r="G2006" s="81" t="s">
        <v>187</v>
      </c>
      <c r="H2006" s="81" t="s">
        <v>187</v>
      </c>
      <c r="I2006" s="81" t="s">
        <v>187</v>
      </c>
      <c r="J2006" s="81" t="s">
        <v>187</v>
      </c>
      <c r="K2006" s="81" t="s">
        <v>187</v>
      </c>
      <c r="L2006" s="81" t="s">
        <v>187</v>
      </c>
    </row>
    <row r="2007" ht="15.75" customHeight="1">
      <c r="A2007" s="262"/>
      <c r="B2007" s="262"/>
      <c r="C2007" s="263"/>
      <c r="D2007" s="262"/>
      <c r="E2007" s="81" t="s">
        <v>187</v>
      </c>
      <c r="F2007" s="81" t="s">
        <v>187</v>
      </c>
      <c r="G2007" s="81" t="s">
        <v>187</v>
      </c>
      <c r="H2007" s="81" t="s">
        <v>187</v>
      </c>
      <c r="I2007" s="81" t="s">
        <v>187</v>
      </c>
      <c r="J2007" s="81" t="s">
        <v>187</v>
      </c>
      <c r="K2007" s="81" t="s">
        <v>187</v>
      </c>
      <c r="L2007" s="81" t="s">
        <v>187</v>
      </c>
    </row>
    <row r="2008" ht="15.75" customHeight="1">
      <c r="A2008" s="262"/>
      <c r="B2008" s="262"/>
      <c r="C2008" s="263"/>
      <c r="D2008" s="262"/>
      <c r="E2008" s="81" t="s">
        <v>187</v>
      </c>
      <c r="F2008" s="81" t="s">
        <v>187</v>
      </c>
      <c r="G2008" s="81" t="s">
        <v>187</v>
      </c>
      <c r="H2008" s="81" t="s">
        <v>187</v>
      </c>
      <c r="I2008" s="81" t="s">
        <v>187</v>
      </c>
      <c r="J2008" s="81" t="s">
        <v>187</v>
      </c>
      <c r="K2008" s="81" t="s">
        <v>187</v>
      </c>
      <c r="L2008" s="81" t="s">
        <v>187</v>
      </c>
    </row>
    <row r="2009" ht="15.75" customHeight="1">
      <c r="A2009" s="262"/>
      <c r="B2009" s="262"/>
      <c r="C2009" s="263"/>
      <c r="D2009" s="262"/>
      <c r="E2009" s="81" t="s">
        <v>187</v>
      </c>
      <c r="F2009" s="81" t="s">
        <v>187</v>
      </c>
      <c r="G2009" s="81" t="s">
        <v>187</v>
      </c>
      <c r="H2009" s="81" t="s">
        <v>187</v>
      </c>
      <c r="I2009" s="81" t="s">
        <v>187</v>
      </c>
      <c r="J2009" s="81" t="s">
        <v>187</v>
      </c>
      <c r="K2009" s="81" t="s">
        <v>187</v>
      </c>
      <c r="L2009" s="81" t="s">
        <v>187</v>
      </c>
    </row>
    <row r="2010" ht="15.75" customHeight="1">
      <c r="A2010" s="262"/>
      <c r="B2010" s="262"/>
      <c r="C2010" s="263"/>
      <c r="D2010" s="262"/>
      <c r="E2010" s="81" t="s">
        <v>187</v>
      </c>
      <c r="F2010" s="81" t="s">
        <v>187</v>
      </c>
      <c r="G2010" s="81" t="s">
        <v>187</v>
      </c>
      <c r="H2010" s="81" t="s">
        <v>187</v>
      </c>
      <c r="I2010" s="81" t="s">
        <v>187</v>
      </c>
      <c r="J2010" s="81" t="s">
        <v>187</v>
      </c>
      <c r="K2010" s="81" t="s">
        <v>187</v>
      </c>
      <c r="L2010" s="81" t="s">
        <v>187</v>
      </c>
    </row>
    <row r="2011" ht="15.75" customHeight="1">
      <c r="A2011" s="262"/>
      <c r="B2011" s="262"/>
      <c r="C2011" s="263"/>
      <c r="D2011" s="262"/>
      <c r="E2011" s="81" t="s">
        <v>187</v>
      </c>
      <c r="F2011" s="81" t="s">
        <v>187</v>
      </c>
      <c r="G2011" s="81" t="s">
        <v>187</v>
      </c>
      <c r="H2011" s="81" t="s">
        <v>187</v>
      </c>
      <c r="I2011" s="81" t="s">
        <v>187</v>
      </c>
      <c r="J2011" s="81" t="s">
        <v>187</v>
      </c>
      <c r="K2011" s="81" t="s">
        <v>187</v>
      </c>
      <c r="L2011" s="81" t="s">
        <v>187</v>
      </c>
    </row>
    <row r="2012" ht="15.75" customHeight="1">
      <c r="A2012" s="262"/>
      <c r="B2012" s="262"/>
      <c r="C2012" s="263"/>
      <c r="D2012" s="262"/>
      <c r="E2012" s="81" t="s">
        <v>187</v>
      </c>
      <c r="F2012" s="81" t="s">
        <v>187</v>
      </c>
      <c r="G2012" s="81" t="s">
        <v>187</v>
      </c>
      <c r="H2012" s="81" t="s">
        <v>187</v>
      </c>
      <c r="I2012" s="81" t="s">
        <v>187</v>
      </c>
      <c r="J2012" s="81" t="s">
        <v>187</v>
      </c>
      <c r="K2012" s="81" t="s">
        <v>187</v>
      </c>
      <c r="L2012" s="81" t="s">
        <v>187</v>
      </c>
    </row>
    <row r="2013" ht="15.75" customHeight="1">
      <c r="A2013" s="262"/>
      <c r="B2013" s="262"/>
      <c r="C2013" s="263"/>
      <c r="D2013" s="262"/>
      <c r="E2013" s="81" t="s">
        <v>187</v>
      </c>
      <c r="F2013" s="81" t="s">
        <v>187</v>
      </c>
      <c r="G2013" s="81" t="s">
        <v>187</v>
      </c>
      <c r="H2013" s="81" t="s">
        <v>187</v>
      </c>
      <c r="I2013" s="81" t="s">
        <v>187</v>
      </c>
      <c r="J2013" s="81" t="s">
        <v>187</v>
      </c>
      <c r="K2013" s="81" t="s">
        <v>187</v>
      </c>
      <c r="L2013" s="81" t="s">
        <v>187</v>
      </c>
    </row>
    <row r="2014" ht="15.75" customHeight="1">
      <c r="A2014" s="262"/>
      <c r="B2014" s="262"/>
      <c r="C2014" s="263"/>
      <c r="D2014" s="262"/>
      <c r="E2014" s="81" t="s">
        <v>187</v>
      </c>
      <c r="F2014" s="81" t="s">
        <v>187</v>
      </c>
      <c r="G2014" s="81" t="s">
        <v>187</v>
      </c>
      <c r="H2014" s="81" t="s">
        <v>187</v>
      </c>
      <c r="I2014" s="81" t="s">
        <v>187</v>
      </c>
      <c r="J2014" s="81" t="s">
        <v>187</v>
      </c>
      <c r="K2014" s="81" t="s">
        <v>187</v>
      </c>
      <c r="L2014" s="81" t="s">
        <v>187</v>
      </c>
    </row>
    <row r="2015" ht="15.75" customHeight="1">
      <c r="A2015" s="262"/>
      <c r="B2015" s="262"/>
      <c r="C2015" s="263"/>
      <c r="D2015" s="262"/>
      <c r="E2015" s="81" t="s">
        <v>187</v>
      </c>
      <c r="F2015" s="81" t="s">
        <v>187</v>
      </c>
      <c r="G2015" s="81" t="s">
        <v>187</v>
      </c>
      <c r="H2015" s="81" t="s">
        <v>187</v>
      </c>
      <c r="I2015" s="81" t="s">
        <v>187</v>
      </c>
      <c r="J2015" s="81" t="s">
        <v>187</v>
      </c>
      <c r="K2015" s="81" t="s">
        <v>187</v>
      </c>
      <c r="L2015" s="81" t="s">
        <v>187</v>
      </c>
    </row>
    <row r="2016" ht="15.75" customHeight="1">
      <c r="A2016" s="262"/>
      <c r="B2016" s="262"/>
      <c r="C2016" s="263"/>
      <c r="D2016" s="262"/>
      <c r="E2016" s="81" t="s">
        <v>187</v>
      </c>
      <c r="F2016" s="81" t="s">
        <v>187</v>
      </c>
      <c r="G2016" s="81" t="s">
        <v>187</v>
      </c>
      <c r="H2016" s="81" t="s">
        <v>187</v>
      </c>
      <c r="I2016" s="81" t="s">
        <v>187</v>
      </c>
      <c r="J2016" s="81" t="s">
        <v>187</v>
      </c>
      <c r="K2016" s="81" t="s">
        <v>187</v>
      </c>
      <c r="L2016" s="81" t="s">
        <v>187</v>
      </c>
    </row>
    <row r="2017" ht="15.75" customHeight="1">
      <c r="A2017" s="262"/>
      <c r="B2017" s="262"/>
      <c r="C2017" s="263"/>
      <c r="D2017" s="262"/>
      <c r="E2017" s="81" t="s">
        <v>187</v>
      </c>
      <c r="F2017" s="81" t="s">
        <v>187</v>
      </c>
      <c r="G2017" s="81" t="s">
        <v>187</v>
      </c>
      <c r="H2017" s="81" t="s">
        <v>187</v>
      </c>
      <c r="I2017" s="81" t="s">
        <v>187</v>
      </c>
      <c r="J2017" s="81" t="s">
        <v>187</v>
      </c>
      <c r="K2017" s="81" t="s">
        <v>187</v>
      </c>
      <c r="L2017" s="81" t="s">
        <v>187</v>
      </c>
    </row>
    <row r="2018" ht="15.75" customHeight="1">
      <c r="A2018" s="262"/>
      <c r="B2018" s="262"/>
      <c r="C2018" s="263"/>
      <c r="D2018" s="262"/>
      <c r="E2018" s="81" t="s">
        <v>187</v>
      </c>
      <c r="F2018" s="81" t="s">
        <v>187</v>
      </c>
      <c r="G2018" s="81" t="s">
        <v>187</v>
      </c>
      <c r="H2018" s="81" t="s">
        <v>187</v>
      </c>
      <c r="I2018" s="81" t="s">
        <v>187</v>
      </c>
      <c r="J2018" s="81" t="s">
        <v>187</v>
      </c>
      <c r="K2018" s="81" t="s">
        <v>187</v>
      </c>
      <c r="L2018" s="81" t="s">
        <v>187</v>
      </c>
    </row>
    <row r="2019" ht="15.75" customHeight="1">
      <c r="A2019" s="262"/>
      <c r="B2019" s="262"/>
      <c r="C2019" s="263"/>
      <c r="D2019" s="262"/>
      <c r="E2019" s="81" t="s">
        <v>187</v>
      </c>
      <c r="F2019" s="81" t="s">
        <v>187</v>
      </c>
      <c r="G2019" s="81" t="s">
        <v>187</v>
      </c>
      <c r="H2019" s="81" t="s">
        <v>187</v>
      </c>
      <c r="I2019" s="81" t="s">
        <v>187</v>
      </c>
      <c r="J2019" s="81" t="s">
        <v>187</v>
      </c>
      <c r="K2019" s="81" t="s">
        <v>187</v>
      </c>
      <c r="L2019" s="81" t="s">
        <v>187</v>
      </c>
    </row>
    <row r="2020" ht="15.75" customHeight="1">
      <c r="A2020" s="262"/>
      <c r="B2020" s="262"/>
      <c r="C2020" s="263"/>
      <c r="D2020" s="262"/>
      <c r="E2020" s="81" t="s">
        <v>187</v>
      </c>
      <c r="F2020" s="81" t="s">
        <v>187</v>
      </c>
      <c r="G2020" s="81" t="s">
        <v>187</v>
      </c>
      <c r="H2020" s="81" t="s">
        <v>187</v>
      </c>
      <c r="I2020" s="81" t="s">
        <v>187</v>
      </c>
      <c r="J2020" s="81" t="s">
        <v>187</v>
      </c>
      <c r="K2020" s="81" t="s">
        <v>187</v>
      </c>
      <c r="L2020" s="81" t="s">
        <v>187</v>
      </c>
    </row>
    <row r="2021" ht="15.75" customHeight="1">
      <c r="A2021" s="262"/>
      <c r="B2021" s="262"/>
      <c r="C2021" s="263"/>
      <c r="D2021" s="262"/>
      <c r="E2021" s="81" t="s">
        <v>187</v>
      </c>
      <c r="F2021" s="81" t="s">
        <v>187</v>
      </c>
      <c r="G2021" s="81" t="s">
        <v>187</v>
      </c>
      <c r="H2021" s="81" t="s">
        <v>187</v>
      </c>
      <c r="I2021" s="81" t="s">
        <v>187</v>
      </c>
      <c r="J2021" s="81" t="s">
        <v>187</v>
      </c>
      <c r="K2021" s="81" t="s">
        <v>187</v>
      </c>
      <c r="L2021" s="81" t="s">
        <v>187</v>
      </c>
    </row>
    <row r="2022" ht="15.75" customHeight="1">
      <c r="A2022" s="262"/>
      <c r="B2022" s="262"/>
      <c r="C2022" s="263"/>
      <c r="D2022" s="262"/>
      <c r="E2022" s="81" t="s">
        <v>187</v>
      </c>
      <c r="F2022" s="81" t="s">
        <v>187</v>
      </c>
      <c r="G2022" s="81" t="s">
        <v>187</v>
      </c>
      <c r="H2022" s="81" t="s">
        <v>187</v>
      </c>
      <c r="I2022" s="81" t="s">
        <v>187</v>
      </c>
      <c r="J2022" s="81" t="s">
        <v>187</v>
      </c>
      <c r="K2022" s="81" t="s">
        <v>187</v>
      </c>
      <c r="L2022" s="81" t="s">
        <v>187</v>
      </c>
    </row>
    <row r="2023" ht="15.75" customHeight="1">
      <c r="A2023" s="262"/>
      <c r="B2023" s="262"/>
      <c r="C2023" s="263"/>
      <c r="D2023" s="262"/>
      <c r="E2023" s="81" t="s">
        <v>187</v>
      </c>
      <c r="F2023" s="81" t="s">
        <v>187</v>
      </c>
      <c r="G2023" s="81" t="s">
        <v>187</v>
      </c>
      <c r="H2023" s="81" t="s">
        <v>187</v>
      </c>
      <c r="I2023" s="81" t="s">
        <v>187</v>
      </c>
      <c r="J2023" s="81" t="s">
        <v>187</v>
      </c>
      <c r="K2023" s="81" t="s">
        <v>187</v>
      </c>
      <c r="L2023" s="81" t="s">
        <v>187</v>
      </c>
    </row>
    <row r="2024" ht="15.75" customHeight="1">
      <c r="A2024" s="262"/>
      <c r="B2024" s="262"/>
      <c r="C2024" s="263"/>
      <c r="D2024" s="262"/>
      <c r="E2024" s="81" t="s">
        <v>187</v>
      </c>
      <c r="F2024" s="81" t="s">
        <v>187</v>
      </c>
      <c r="G2024" s="81" t="s">
        <v>187</v>
      </c>
      <c r="H2024" s="81" t="s">
        <v>187</v>
      </c>
      <c r="I2024" s="81" t="s">
        <v>187</v>
      </c>
      <c r="J2024" s="81" t="s">
        <v>187</v>
      </c>
      <c r="K2024" s="81" t="s">
        <v>187</v>
      </c>
      <c r="L2024" s="81" t="s">
        <v>187</v>
      </c>
    </row>
    <row r="2025" ht="15.75" customHeight="1">
      <c r="A2025" s="262"/>
      <c r="B2025" s="262"/>
      <c r="C2025" s="263"/>
      <c r="D2025" s="262"/>
      <c r="E2025" s="81" t="s">
        <v>187</v>
      </c>
      <c r="F2025" s="81" t="s">
        <v>187</v>
      </c>
      <c r="G2025" s="81" t="s">
        <v>187</v>
      </c>
      <c r="H2025" s="81" t="s">
        <v>187</v>
      </c>
      <c r="I2025" s="81" t="s">
        <v>187</v>
      </c>
      <c r="J2025" s="81" t="s">
        <v>187</v>
      </c>
      <c r="K2025" s="81" t="s">
        <v>187</v>
      </c>
      <c r="L2025" s="81" t="s">
        <v>187</v>
      </c>
    </row>
    <row r="2026" ht="15.75" customHeight="1">
      <c r="A2026" s="262"/>
      <c r="B2026" s="262"/>
      <c r="C2026" s="263"/>
      <c r="D2026" s="262"/>
      <c r="E2026" s="81" t="s">
        <v>187</v>
      </c>
      <c r="F2026" s="81" t="s">
        <v>187</v>
      </c>
      <c r="G2026" s="81" t="s">
        <v>187</v>
      </c>
      <c r="H2026" s="81" t="s">
        <v>187</v>
      </c>
      <c r="I2026" s="81" t="s">
        <v>187</v>
      </c>
      <c r="J2026" s="81" t="s">
        <v>187</v>
      </c>
      <c r="K2026" s="81" t="s">
        <v>187</v>
      </c>
      <c r="L2026" s="81" t="s">
        <v>187</v>
      </c>
    </row>
    <row r="2027" ht="15.75" customHeight="1">
      <c r="A2027" s="262"/>
      <c r="B2027" s="262"/>
      <c r="C2027" s="263"/>
      <c r="D2027" s="262"/>
      <c r="E2027" s="81" t="s">
        <v>187</v>
      </c>
      <c r="F2027" s="81" t="s">
        <v>187</v>
      </c>
      <c r="G2027" s="81" t="s">
        <v>187</v>
      </c>
      <c r="H2027" s="81" t="s">
        <v>187</v>
      </c>
      <c r="I2027" s="81" t="s">
        <v>187</v>
      </c>
      <c r="J2027" s="81" t="s">
        <v>187</v>
      </c>
      <c r="K2027" s="81" t="s">
        <v>187</v>
      </c>
      <c r="L2027" s="81" t="s">
        <v>187</v>
      </c>
    </row>
    <row r="2028" ht="15.75" customHeight="1">
      <c r="A2028" s="262"/>
      <c r="B2028" s="262"/>
      <c r="C2028" s="263"/>
      <c r="D2028" s="262"/>
      <c r="E2028" s="81" t="s">
        <v>187</v>
      </c>
      <c r="F2028" s="81" t="s">
        <v>187</v>
      </c>
      <c r="G2028" s="81" t="s">
        <v>187</v>
      </c>
      <c r="H2028" s="81" t="s">
        <v>187</v>
      </c>
      <c r="I2028" s="81" t="s">
        <v>187</v>
      </c>
      <c r="J2028" s="81" t="s">
        <v>187</v>
      </c>
      <c r="K2028" s="81" t="s">
        <v>187</v>
      </c>
      <c r="L2028" s="81" t="s">
        <v>187</v>
      </c>
    </row>
    <row r="2029" ht="15.75" customHeight="1">
      <c r="A2029" s="262"/>
      <c r="B2029" s="262"/>
      <c r="C2029" s="263"/>
      <c r="D2029" s="262"/>
      <c r="E2029" s="81" t="s">
        <v>187</v>
      </c>
      <c r="F2029" s="81" t="s">
        <v>187</v>
      </c>
      <c r="G2029" s="81" t="s">
        <v>187</v>
      </c>
      <c r="H2029" s="81" t="s">
        <v>187</v>
      </c>
      <c r="I2029" s="81" t="s">
        <v>187</v>
      </c>
      <c r="J2029" s="81" t="s">
        <v>187</v>
      </c>
      <c r="K2029" s="81" t="s">
        <v>187</v>
      </c>
      <c r="L2029" s="81" t="s">
        <v>187</v>
      </c>
    </row>
    <row r="2030" ht="15.75" customHeight="1">
      <c r="A2030" s="262"/>
      <c r="B2030" s="262"/>
      <c r="C2030" s="263"/>
      <c r="D2030" s="262"/>
      <c r="E2030" s="81" t="s">
        <v>187</v>
      </c>
      <c r="F2030" s="81" t="s">
        <v>187</v>
      </c>
      <c r="G2030" s="81" t="s">
        <v>187</v>
      </c>
      <c r="H2030" s="81" t="s">
        <v>187</v>
      </c>
      <c r="I2030" s="81" t="s">
        <v>187</v>
      </c>
      <c r="J2030" s="81" t="s">
        <v>187</v>
      </c>
      <c r="K2030" s="81" t="s">
        <v>187</v>
      </c>
      <c r="L2030" s="81" t="s">
        <v>187</v>
      </c>
    </row>
    <row r="2031" ht="15.75" customHeight="1">
      <c r="A2031" s="262"/>
      <c r="B2031" s="262"/>
      <c r="C2031" s="263"/>
      <c r="D2031" s="262"/>
      <c r="E2031" s="81" t="s">
        <v>187</v>
      </c>
      <c r="F2031" s="81" t="s">
        <v>187</v>
      </c>
      <c r="G2031" s="81" t="s">
        <v>187</v>
      </c>
      <c r="H2031" s="81" t="s">
        <v>187</v>
      </c>
      <c r="I2031" s="81" t="s">
        <v>187</v>
      </c>
      <c r="J2031" s="81" t="s">
        <v>187</v>
      </c>
      <c r="K2031" s="81" t="s">
        <v>187</v>
      </c>
      <c r="L2031" s="81" t="s">
        <v>187</v>
      </c>
    </row>
    <row r="2032" ht="15.75" customHeight="1">
      <c r="A2032" s="262"/>
      <c r="B2032" s="262"/>
      <c r="C2032" s="263"/>
      <c r="D2032" s="262"/>
      <c r="E2032" s="81" t="s">
        <v>187</v>
      </c>
      <c r="F2032" s="81" t="s">
        <v>187</v>
      </c>
      <c r="G2032" s="81" t="s">
        <v>187</v>
      </c>
      <c r="H2032" s="81" t="s">
        <v>187</v>
      </c>
      <c r="I2032" s="81" t="s">
        <v>187</v>
      </c>
      <c r="J2032" s="81" t="s">
        <v>187</v>
      </c>
      <c r="K2032" s="81" t="s">
        <v>187</v>
      </c>
      <c r="L2032" s="81" t="s">
        <v>187</v>
      </c>
    </row>
    <row r="2033" ht="15.75" customHeight="1">
      <c r="A2033" s="262"/>
      <c r="B2033" s="262"/>
      <c r="C2033" s="263"/>
      <c r="D2033" s="262"/>
      <c r="E2033" s="81" t="s">
        <v>187</v>
      </c>
      <c r="F2033" s="81" t="s">
        <v>187</v>
      </c>
      <c r="G2033" s="81" t="s">
        <v>187</v>
      </c>
      <c r="H2033" s="81" t="s">
        <v>187</v>
      </c>
      <c r="I2033" s="81" t="s">
        <v>187</v>
      </c>
      <c r="J2033" s="81" t="s">
        <v>187</v>
      </c>
      <c r="K2033" s="81" t="s">
        <v>187</v>
      </c>
      <c r="L2033" s="81" t="s">
        <v>187</v>
      </c>
    </row>
    <row r="2034" ht="15.75" customHeight="1">
      <c r="A2034" s="262"/>
      <c r="B2034" s="262"/>
      <c r="C2034" s="263"/>
      <c r="D2034" s="262"/>
      <c r="E2034" s="81" t="s">
        <v>187</v>
      </c>
      <c r="F2034" s="81" t="s">
        <v>187</v>
      </c>
      <c r="G2034" s="81" t="s">
        <v>187</v>
      </c>
      <c r="H2034" s="81" t="s">
        <v>187</v>
      </c>
      <c r="I2034" s="81" t="s">
        <v>187</v>
      </c>
      <c r="J2034" s="81" t="s">
        <v>187</v>
      </c>
      <c r="K2034" s="81" t="s">
        <v>187</v>
      </c>
      <c r="L2034" s="81" t="s">
        <v>187</v>
      </c>
    </row>
    <row r="2035" ht="15.75" customHeight="1">
      <c r="A2035" s="262"/>
      <c r="B2035" s="262"/>
      <c r="C2035" s="263"/>
      <c r="D2035" s="262"/>
      <c r="E2035" s="81" t="s">
        <v>187</v>
      </c>
      <c r="F2035" s="81" t="s">
        <v>187</v>
      </c>
      <c r="G2035" s="81" t="s">
        <v>187</v>
      </c>
      <c r="H2035" s="81" t="s">
        <v>187</v>
      </c>
      <c r="I2035" s="81" t="s">
        <v>187</v>
      </c>
      <c r="J2035" s="81" t="s">
        <v>187</v>
      </c>
      <c r="K2035" s="81" t="s">
        <v>187</v>
      </c>
      <c r="L2035" s="81" t="s">
        <v>187</v>
      </c>
    </row>
    <row r="2036" ht="15.75" customHeight="1">
      <c r="A2036" s="262"/>
      <c r="B2036" s="262"/>
      <c r="C2036" s="263"/>
      <c r="D2036" s="262"/>
      <c r="E2036" s="81" t="s">
        <v>187</v>
      </c>
      <c r="F2036" s="81" t="s">
        <v>187</v>
      </c>
      <c r="G2036" s="81" t="s">
        <v>187</v>
      </c>
      <c r="H2036" s="81" t="s">
        <v>187</v>
      </c>
      <c r="I2036" s="81" t="s">
        <v>187</v>
      </c>
      <c r="J2036" s="81" t="s">
        <v>187</v>
      </c>
      <c r="K2036" s="81" t="s">
        <v>187</v>
      </c>
      <c r="L2036" s="81" t="s">
        <v>187</v>
      </c>
    </row>
    <row r="2037" ht="15.75" customHeight="1">
      <c r="A2037" s="262"/>
      <c r="B2037" s="262"/>
      <c r="C2037" s="263"/>
      <c r="D2037" s="262"/>
      <c r="E2037" s="81" t="s">
        <v>187</v>
      </c>
      <c r="F2037" s="81" t="s">
        <v>187</v>
      </c>
      <c r="G2037" s="81" t="s">
        <v>187</v>
      </c>
      <c r="H2037" s="81" t="s">
        <v>187</v>
      </c>
      <c r="I2037" s="81" t="s">
        <v>187</v>
      </c>
      <c r="J2037" s="81" t="s">
        <v>187</v>
      </c>
      <c r="K2037" s="81" t="s">
        <v>187</v>
      </c>
      <c r="L2037" s="81" t="s">
        <v>187</v>
      </c>
    </row>
    <row r="2038" ht="15.75" customHeight="1">
      <c r="A2038" s="262"/>
      <c r="B2038" s="262"/>
      <c r="C2038" s="263"/>
      <c r="D2038" s="262"/>
      <c r="E2038" s="81" t="s">
        <v>187</v>
      </c>
      <c r="F2038" s="81" t="s">
        <v>187</v>
      </c>
      <c r="G2038" s="81" t="s">
        <v>187</v>
      </c>
      <c r="H2038" s="81" t="s">
        <v>187</v>
      </c>
      <c r="I2038" s="81" t="s">
        <v>187</v>
      </c>
      <c r="J2038" s="81" t="s">
        <v>187</v>
      </c>
      <c r="K2038" s="81" t="s">
        <v>187</v>
      </c>
      <c r="L2038" s="81" t="s">
        <v>187</v>
      </c>
    </row>
    <row r="2039" ht="15.75" customHeight="1">
      <c r="A2039" s="262"/>
      <c r="B2039" s="262"/>
      <c r="C2039" s="263"/>
      <c r="D2039" s="262"/>
      <c r="E2039" s="81" t="s">
        <v>187</v>
      </c>
      <c r="F2039" s="81" t="s">
        <v>187</v>
      </c>
      <c r="G2039" s="81" t="s">
        <v>187</v>
      </c>
      <c r="H2039" s="81" t="s">
        <v>187</v>
      </c>
      <c r="I2039" s="81" t="s">
        <v>187</v>
      </c>
      <c r="J2039" s="81" t="s">
        <v>187</v>
      </c>
      <c r="K2039" s="81" t="s">
        <v>187</v>
      </c>
      <c r="L2039" s="81" t="s">
        <v>187</v>
      </c>
    </row>
    <row r="2040" ht="15.75" customHeight="1">
      <c r="A2040" s="262"/>
      <c r="B2040" s="262"/>
      <c r="C2040" s="263"/>
      <c r="D2040" s="262"/>
      <c r="E2040" s="81" t="s">
        <v>187</v>
      </c>
      <c r="F2040" s="81" t="s">
        <v>187</v>
      </c>
      <c r="G2040" s="81" t="s">
        <v>187</v>
      </c>
      <c r="H2040" s="81" t="s">
        <v>187</v>
      </c>
      <c r="I2040" s="81" t="s">
        <v>187</v>
      </c>
      <c r="J2040" s="81" t="s">
        <v>187</v>
      </c>
      <c r="K2040" s="81" t="s">
        <v>187</v>
      </c>
      <c r="L2040" s="81" t="s">
        <v>187</v>
      </c>
    </row>
    <row r="2041" ht="15.75" customHeight="1">
      <c r="A2041" s="262"/>
      <c r="B2041" s="262"/>
      <c r="C2041" s="263"/>
      <c r="D2041" s="262"/>
      <c r="E2041" s="81" t="s">
        <v>187</v>
      </c>
      <c r="F2041" s="81" t="s">
        <v>187</v>
      </c>
      <c r="G2041" s="81" t="s">
        <v>187</v>
      </c>
      <c r="H2041" s="81" t="s">
        <v>187</v>
      </c>
      <c r="I2041" s="81" t="s">
        <v>187</v>
      </c>
      <c r="J2041" s="81" t="s">
        <v>187</v>
      </c>
      <c r="K2041" s="81" t="s">
        <v>187</v>
      </c>
      <c r="L2041" s="81" t="s">
        <v>187</v>
      </c>
    </row>
    <row r="2042" ht="15.75" customHeight="1">
      <c r="A2042" s="262"/>
      <c r="B2042" s="262"/>
      <c r="C2042" s="263"/>
      <c r="D2042" s="262"/>
      <c r="E2042" s="81" t="s">
        <v>187</v>
      </c>
      <c r="F2042" s="81" t="s">
        <v>187</v>
      </c>
      <c r="G2042" s="81" t="s">
        <v>187</v>
      </c>
      <c r="H2042" s="81" t="s">
        <v>187</v>
      </c>
      <c r="I2042" s="81" t="s">
        <v>187</v>
      </c>
      <c r="J2042" s="81" t="s">
        <v>187</v>
      </c>
      <c r="K2042" s="81" t="s">
        <v>187</v>
      </c>
      <c r="L2042" s="81" t="s">
        <v>187</v>
      </c>
    </row>
    <row r="2043" ht="15.75" customHeight="1">
      <c r="A2043" s="262"/>
      <c r="B2043" s="262"/>
      <c r="C2043" s="263"/>
      <c r="D2043" s="262"/>
      <c r="E2043" s="81" t="s">
        <v>187</v>
      </c>
      <c r="F2043" s="81" t="s">
        <v>187</v>
      </c>
      <c r="G2043" s="81" t="s">
        <v>187</v>
      </c>
      <c r="H2043" s="81" t="s">
        <v>187</v>
      </c>
      <c r="I2043" s="81" t="s">
        <v>187</v>
      </c>
      <c r="J2043" s="81" t="s">
        <v>187</v>
      </c>
      <c r="K2043" s="81" t="s">
        <v>187</v>
      </c>
      <c r="L2043" s="81" t="s">
        <v>187</v>
      </c>
    </row>
    <row r="2044" ht="15.75" customHeight="1">
      <c r="A2044" s="262"/>
      <c r="B2044" s="262"/>
      <c r="C2044" s="263"/>
      <c r="D2044" s="262"/>
      <c r="E2044" s="81" t="s">
        <v>187</v>
      </c>
      <c r="F2044" s="81" t="s">
        <v>187</v>
      </c>
      <c r="G2044" s="81" t="s">
        <v>187</v>
      </c>
      <c r="H2044" s="81" t="s">
        <v>187</v>
      </c>
      <c r="I2044" s="81" t="s">
        <v>187</v>
      </c>
      <c r="J2044" s="81" t="s">
        <v>187</v>
      </c>
      <c r="K2044" s="81" t="s">
        <v>187</v>
      </c>
      <c r="L2044" s="81" t="s">
        <v>187</v>
      </c>
    </row>
    <row r="2045" ht="15.75" customHeight="1">
      <c r="A2045" s="262"/>
      <c r="B2045" s="262"/>
      <c r="C2045" s="263"/>
      <c r="D2045" s="262"/>
      <c r="E2045" s="81" t="s">
        <v>187</v>
      </c>
      <c r="F2045" s="81" t="s">
        <v>187</v>
      </c>
      <c r="G2045" s="81" t="s">
        <v>187</v>
      </c>
      <c r="H2045" s="81" t="s">
        <v>187</v>
      </c>
      <c r="I2045" s="81" t="s">
        <v>187</v>
      </c>
      <c r="J2045" s="81" t="s">
        <v>187</v>
      </c>
      <c r="K2045" s="81" t="s">
        <v>187</v>
      </c>
      <c r="L2045" s="81" t="s">
        <v>187</v>
      </c>
    </row>
    <row r="2046" ht="15.75" customHeight="1">
      <c r="A2046" s="262"/>
      <c r="B2046" s="262"/>
      <c r="C2046" s="263"/>
      <c r="D2046" s="262"/>
      <c r="E2046" s="81" t="s">
        <v>187</v>
      </c>
      <c r="F2046" s="81" t="s">
        <v>187</v>
      </c>
      <c r="G2046" s="81" t="s">
        <v>187</v>
      </c>
      <c r="H2046" s="81" t="s">
        <v>187</v>
      </c>
      <c r="I2046" s="81" t="s">
        <v>187</v>
      </c>
      <c r="J2046" s="81" t="s">
        <v>187</v>
      </c>
      <c r="K2046" s="81" t="s">
        <v>187</v>
      </c>
      <c r="L2046" s="81" t="s">
        <v>187</v>
      </c>
    </row>
    <row r="2047" ht="15.75" customHeight="1">
      <c r="A2047" s="262"/>
      <c r="B2047" s="262"/>
      <c r="C2047" s="263"/>
      <c r="D2047" s="262"/>
      <c r="E2047" s="81" t="s">
        <v>187</v>
      </c>
      <c r="F2047" s="81" t="s">
        <v>187</v>
      </c>
      <c r="G2047" s="81" t="s">
        <v>187</v>
      </c>
      <c r="H2047" s="81" t="s">
        <v>187</v>
      </c>
      <c r="I2047" s="81" t="s">
        <v>187</v>
      </c>
      <c r="J2047" s="81" t="s">
        <v>187</v>
      </c>
      <c r="K2047" s="81" t="s">
        <v>187</v>
      </c>
      <c r="L2047" s="81" t="s">
        <v>187</v>
      </c>
    </row>
    <row r="2048" ht="15.75" customHeight="1">
      <c r="A2048" s="262"/>
      <c r="B2048" s="262"/>
      <c r="C2048" s="263"/>
      <c r="D2048" s="262"/>
      <c r="E2048" s="81" t="s">
        <v>187</v>
      </c>
      <c r="F2048" s="81" t="s">
        <v>187</v>
      </c>
      <c r="G2048" s="81" t="s">
        <v>187</v>
      </c>
      <c r="H2048" s="81" t="s">
        <v>187</v>
      </c>
      <c r="I2048" s="81" t="s">
        <v>187</v>
      </c>
      <c r="J2048" s="81" t="s">
        <v>187</v>
      </c>
      <c r="K2048" s="81" t="s">
        <v>187</v>
      </c>
      <c r="L2048" s="81" t="s">
        <v>187</v>
      </c>
    </row>
    <row r="2049" ht="15.75" customHeight="1">
      <c r="A2049" s="262"/>
      <c r="B2049" s="262"/>
      <c r="C2049" s="263"/>
      <c r="D2049" s="262"/>
      <c r="E2049" s="81" t="s">
        <v>187</v>
      </c>
      <c r="F2049" s="81" t="s">
        <v>187</v>
      </c>
      <c r="G2049" s="81" t="s">
        <v>187</v>
      </c>
      <c r="H2049" s="81" t="s">
        <v>187</v>
      </c>
      <c r="I2049" s="81" t="s">
        <v>187</v>
      </c>
      <c r="J2049" s="81" t="s">
        <v>187</v>
      </c>
      <c r="K2049" s="81" t="s">
        <v>187</v>
      </c>
      <c r="L2049" s="81" t="s">
        <v>187</v>
      </c>
    </row>
    <row r="2050" ht="15.75" customHeight="1">
      <c r="A2050" s="262"/>
      <c r="B2050" s="262"/>
      <c r="C2050" s="263"/>
      <c r="D2050" s="262"/>
      <c r="E2050" s="81" t="s">
        <v>187</v>
      </c>
      <c r="F2050" s="81" t="s">
        <v>187</v>
      </c>
      <c r="G2050" s="81" t="s">
        <v>187</v>
      </c>
      <c r="H2050" s="81" t="s">
        <v>187</v>
      </c>
      <c r="I2050" s="81" t="s">
        <v>187</v>
      </c>
      <c r="J2050" s="81" t="s">
        <v>187</v>
      </c>
      <c r="K2050" s="81" t="s">
        <v>187</v>
      </c>
      <c r="L2050" s="81" t="s">
        <v>187</v>
      </c>
    </row>
    <row r="2051" ht="15.75" customHeight="1">
      <c r="A2051" s="262"/>
      <c r="B2051" s="262"/>
      <c r="C2051" s="263"/>
      <c r="D2051" s="262"/>
      <c r="E2051" s="81" t="s">
        <v>187</v>
      </c>
      <c r="F2051" s="81" t="s">
        <v>187</v>
      </c>
      <c r="G2051" s="81" t="s">
        <v>187</v>
      </c>
      <c r="H2051" s="81" t="s">
        <v>187</v>
      </c>
      <c r="I2051" s="81" t="s">
        <v>187</v>
      </c>
      <c r="J2051" s="81" t="s">
        <v>187</v>
      </c>
      <c r="K2051" s="81" t="s">
        <v>187</v>
      </c>
      <c r="L2051" s="81" t="s">
        <v>187</v>
      </c>
    </row>
    <row r="2052" ht="15.75" customHeight="1">
      <c r="A2052" s="262"/>
      <c r="B2052" s="262"/>
      <c r="C2052" s="263"/>
      <c r="D2052" s="262"/>
      <c r="E2052" s="81" t="s">
        <v>187</v>
      </c>
      <c r="F2052" s="81" t="s">
        <v>187</v>
      </c>
      <c r="G2052" s="81" t="s">
        <v>187</v>
      </c>
      <c r="H2052" s="81" t="s">
        <v>187</v>
      </c>
      <c r="I2052" s="81" t="s">
        <v>187</v>
      </c>
      <c r="J2052" s="81" t="s">
        <v>187</v>
      </c>
      <c r="K2052" s="81" t="s">
        <v>187</v>
      </c>
      <c r="L2052" s="81" t="s">
        <v>187</v>
      </c>
    </row>
    <row r="2053" ht="15.75" customHeight="1">
      <c r="A2053" s="262"/>
      <c r="B2053" s="262"/>
      <c r="C2053" s="263"/>
      <c r="D2053" s="262"/>
      <c r="E2053" s="81" t="s">
        <v>187</v>
      </c>
      <c r="F2053" s="81" t="s">
        <v>187</v>
      </c>
      <c r="G2053" s="81" t="s">
        <v>187</v>
      </c>
      <c r="H2053" s="81" t="s">
        <v>187</v>
      </c>
      <c r="I2053" s="81" t="s">
        <v>187</v>
      </c>
      <c r="J2053" s="81" t="s">
        <v>187</v>
      </c>
      <c r="K2053" s="81" t="s">
        <v>187</v>
      </c>
      <c r="L2053" s="81" t="s">
        <v>187</v>
      </c>
    </row>
    <row r="2054" ht="15.75" customHeight="1">
      <c r="A2054" s="262"/>
      <c r="B2054" s="262"/>
      <c r="C2054" s="263"/>
      <c r="D2054" s="262"/>
      <c r="E2054" s="81" t="s">
        <v>187</v>
      </c>
      <c r="F2054" s="81" t="s">
        <v>187</v>
      </c>
      <c r="G2054" s="81" t="s">
        <v>187</v>
      </c>
      <c r="H2054" s="81" t="s">
        <v>187</v>
      </c>
      <c r="I2054" s="81" t="s">
        <v>187</v>
      </c>
      <c r="J2054" s="81" t="s">
        <v>187</v>
      </c>
      <c r="K2054" s="81" t="s">
        <v>187</v>
      </c>
      <c r="L2054" s="81" t="s">
        <v>187</v>
      </c>
    </row>
    <row r="2055" ht="15.75" customHeight="1">
      <c r="A2055" s="262"/>
      <c r="B2055" s="262"/>
      <c r="C2055" s="263"/>
      <c r="D2055" s="262"/>
      <c r="E2055" s="81" t="s">
        <v>187</v>
      </c>
      <c r="F2055" s="81" t="s">
        <v>187</v>
      </c>
      <c r="G2055" s="81" t="s">
        <v>187</v>
      </c>
      <c r="H2055" s="81" t="s">
        <v>187</v>
      </c>
      <c r="I2055" s="81" t="s">
        <v>187</v>
      </c>
      <c r="J2055" s="81" t="s">
        <v>187</v>
      </c>
      <c r="K2055" s="81" t="s">
        <v>187</v>
      </c>
      <c r="L2055" s="81" t="s">
        <v>187</v>
      </c>
    </row>
    <row r="2056" ht="15.75" customHeight="1">
      <c r="A2056" s="262"/>
      <c r="B2056" s="262"/>
      <c r="C2056" s="263"/>
      <c r="D2056" s="262"/>
      <c r="E2056" s="81" t="s">
        <v>187</v>
      </c>
      <c r="F2056" s="81" t="s">
        <v>187</v>
      </c>
      <c r="G2056" s="81" t="s">
        <v>187</v>
      </c>
      <c r="H2056" s="81" t="s">
        <v>187</v>
      </c>
      <c r="I2056" s="81" t="s">
        <v>187</v>
      </c>
      <c r="J2056" s="81" t="s">
        <v>187</v>
      </c>
      <c r="K2056" s="81" t="s">
        <v>187</v>
      </c>
      <c r="L2056" s="81" t="s">
        <v>187</v>
      </c>
    </row>
    <row r="2057" ht="15.75" customHeight="1">
      <c r="A2057" s="262"/>
      <c r="B2057" s="262"/>
      <c r="C2057" s="263"/>
      <c r="D2057" s="262"/>
      <c r="E2057" s="81" t="s">
        <v>187</v>
      </c>
      <c r="F2057" s="81" t="s">
        <v>187</v>
      </c>
      <c r="G2057" s="81" t="s">
        <v>187</v>
      </c>
      <c r="H2057" s="81" t="s">
        <v>187</v>
      </c>
      <c r="I2057" s="81" t="s">
        <v>187</v>
      </c>
      <c r="J2057" s="81" t="s">
        <v>187</v>
      </c>
      <c r="K2057" s="81" t="s">
        <v>187</v>
      </c>
      <c r="L2057" s="81" t="s">
        <v>187</v>
      </c>
    </row>
    <row r="2058" ht="15.75" customHeight="1">
      <c r="A2058" s="262"/>
      <c r="B2058" s="262"/>
      <c r="C2058" s="263"/>
      <c r="D2058" s="262"/>
      <c r="E2058" s="81" t="s">
        <v>187</v>
      </c>
      <c r="F2058" s="81" t="s">
        <v>187</v>
      </c>
      <c r="G2058" s="81" t="s">
        <v>187</v>
      </c>
      <c r="H2058" s="81" t="s">
        <v>187</v>
      </c>
      <c r="I2058" s="81" t="s">
        <v>187</v>
      </c>
      <c r="J2058" s="81" t="s">
        <v>187</v>
      </c>
      <c r="K2058" s="81" t="s">
        <v>187</v>
      </c>
      <c r="L2058" s="81" t="s">
        <v>187</v>
      </c>
    </row>
    <row r="2059" ht="15.75" customHeight="1">
      <c r="A2059" s="262"/>
      <c r="B2059" s="262"/>
      <c r="C2059" s="263"/>
      <c r="D2059" s="262"/>
      <c r="E2059" s="81" t="s">
        <v>187</v>
      </c>
      <c r="F2059" s="81" t="s">
        <v>187</v>
      </c>
      <c r="G2059" s="81" t="s">
        <v>187</v>
      </c>
      <c r="H2059" s="81" t="s">
        <v>187</v>
      </c>
      <c r="I2059" s="81" t="s">
        <v>187</v>
      </c>
      <c r="J2059" s="81" t="s">
        <v>187</v>
      </c>
      <c r="K2059" s="81" t="s">
        <v>187</v>
      </c>
      <c r="L2059" s="81" t="s">
        <v>187</v>
      </c>
    </row>
    <row r="2060" ht="15.75" customHeight="1">
      <c r="A2060" s="262"/>
      <c r="B2060" s="262"/>
      <c r="C2060" s="263"/>
      <c r="D2060" s="262"/>
      <c r="E2060" s="81" t="s">
        <v>187</v>
      </c>
      <c r="F2060" s="81" t="s">
        <v>187</v>
      </c>
      <c r="G2060" s="81" t="s">
        <v>187</v>
      </c>
      <c r="H2060" s="81" t="s">
        <v>187</v>
      </c>
      <c r="I2060" s="81" t="s">
        <v>187</v>
      </c>
      <c r="J2060" s="81" t="s">
        <v>187</v>
      </c>
      <c r="K2060" s="81" t="s">
        <v>187</v>
      </c>
      <c r="L2060" s="81" t="s">
        <v>187</v>
      </c>
    </row>
    <row r="2061" ht="15.75" customHeight="1">
      <c r="A2061" s="262"/>
      <c r="B2061" s="262"/>
      <c r="C2061" s="263"/>
      <c r="D2061" s="262"/>
      <c r="E2061" s="81" t="s">
        <v>187</v>
      </c>
      <c r="F2061" s="81" t="s">
        <v>187</v>
      </c>
      <c r="G2061" s="81" t="s">
        <v>187</v>
      </c>
      <c r="H2061" s="81" t="s">
        <v>187</v>
      </c>
      <c r="I2061" s="81" t="s">
        <v>187</v>
      </c>
      <c r="J2061" s="81" t="s">
        <v>187</v>
      </c>
      <c r="K2061" s="81" t="s">
        <v>187</v>
      </c>
      <c r="L2061" s="81" t="s">
        <v>187</v>
      </c>
    </row>
    <row r="2062" ht="15.75" customHeight="1">
      <c r="A2062" s="262"/>
      <c r="B2062" s="262"/>
      <c r="C2062" s="263"/>
      <c r="D2062" s="262"/>
      <c r="E2062" s="81" t="s">
        <v>187</v>
      </c>
      <c r="F2062" s="81" t="s">
        <v>187</v>
      </c>
      <c r="G2062" s="81" t="s">
        <v>187</v>
      </c>
      <c r="H2062" s="81" t="s">
        <v>187</v>
      </c>
      <c r="I2062" s="81" t="s">
        <v>187</v>
      </c>
      <c r="J2062" s="81" t="s">
        <v>187</v>
      </c>
      <c r="K2062" s="81" t="s">
        <v>187</v>
      </c>
      <c r="L2062" s="81" t="s">
        <v>187</v>
      </c>
    </row>
    <row r="2063" ht="15.75" customHeight="1">
      <c r="A2063" s="262"/>
      <c r="B2063" s="262"/>
      <c r="C2063" s="263"/>
      <c r="D2063" s="262"/>
      <c r="E2063" s="81" t="s">
        <v>187</v>
      </c>
      <c r="F2063" s="81" t="s">
        <v>187</v>
      </c>
      <c r="G2063" s="81" t="s">
        <v>187</v>
      </c>
      <c r="H2063" s="81" t="s">
        <v>187</v>
      </c>
      <c r="I2063" s="81" t="s">
        <v>187</v>
      </c>
      <c r="J2063" s="81" t="s">
        <v>187</v>
      </c>
      <c r="K2063" s="81" t="s">
        <v>187</v>
      </c>
      <c r="L2063" s="81" t="s">
        <v>187</v>
      </c>
    </row>
    <row r="2064" ht="15.75" customHeight="1">
      <c r="A2064" s="262"/>
      <c r="B2064" s="262"/>
      <c r="C2064" s="263"/>
      <c r="D2064" s="262"/>
      <c r="E2064" s="81" t="s">
        <v>187</v>
      </c>
      <c r="F2064" s="81" t="s">
        <v>187</v>
      </c>
      <c r="G2064" s="81" t="s">
        <v>187</v>
      </c>
      <c r="H2064" s="81" t="s">
        <v>187</v>
      </c>
      <c r="I2064" s="81" t="s">
        <v>187</v>
      </c>
      <c r="J2064" s="81" t="s">
        <v>187</v>
      </c>
      <c r="K2064" s="81" t="s">
        <v>187</v>
      </c>
      <c r="L2064" s="81" t="s">
        <v>187</v>
      </c>
    </row>
    <row r="2065" ht="15.75" customHeight="1">
      <c r="A2065" s="262"/>
      <c r="B2065" s="262"/>
      <c r="C2065" s="263"/>
      <c r="D2065" s="262"/>
      <c r="E2065" s="81" t="s">
        <v>187</v>
      </c>
      <c r="F2065" s="81" t="s">
        <v>187</v>
      </c>
      <c r="G2065" s="81" t="s">
        <v>187</v>
      </c>
      <c r="H2065" s="81" t="s">
        <v>187</v>
      </c>
      <c r="I2065" s="81" t="s">
        <v>187</v>
      </c>
      <c r="J2065" s="81" t="s">
        <v>187</v>
      </c>
      <c r="K2065" s="81" t="s">
        <v>187</v>
      </c>
      <c r="L2065" s="81" t="s">
        <v>187</v>
      </c>
    </row>
    <row r="2066" ht="15.75" customHeight="1">
      <c r="A2066" s="262"/>
      <c r="B2066" s="262"/>
      <c r="C2066" s="263"/>
      <c r="D2066" s="262"/>
      <c r="E2066" s="81" t="s">
        <v>187</v>
      </c>
      <c r="F2066" s="81" t="s">
        <v>187</v>
      </c>
      <c r="G2066" s="81" t="s">
        <v>187</v>
      </c>
      <c r="H2066" s="81" t="s">
        <v>187</v>
      </c>
      <c r="I2066" s="81" t="s">
        <v>187</v>
      </c>
      <c r="J2066" s="81" t="s">
        <v>187</v>
      </c>
      <c r="K2066" s="81" t="s">
        <v>187</v>
      </c>
      <c r="L2066" s="81" t="s">
        <v>187</v>
      </c>
    </row>
    <row r="2067" ht="15.75" customHeight="1">
      <c r="A2067" s="262"/>
      <c r="B2067" s="262"/>
      <c r="C2067" s="263"/>
      <c r="D2067" s="262"/>
      <c r="E2067" s="81" t="s">
        <v>187</v>
      </c>
      <c r="F2067" s="81" t="s">
        <v>187</v>
      </c>
      <c r="G2067" s="81" t="s">
        <v>187</v>
      </c>
      <c r="H2067" s="81" t="s">
        <v>187</v>
      </c>
      <c r="I2067" s="81" t="s">
        <v>187</v>
      </c>
      <c r="J2067" s="81" t="s">
        <v>187</v>
      </c>
      <c r="K2067" s="81" t="s">
        <v>187</v>
      </c>
      <c r="L2067" s="81" t="s">
        <v>187</v>
      </c>
    </row>
    <row r="2068" ht="15.75" customHeight="1">
      <c r="A2068" s="262"/>
      <c r="B2068" s="262"/>
      <c r="C2068" s="263"/>
      <c r="D2068" s="262"/>
      <c r="E2068" s="81" t="s">
        <v>187</v>
      </c>
      <c r="F2068" s="81" t="s">
        <v>187</v>
      </c>
      <c r="G2068" s="81" t="s">
        <v>187</v>
      </c>
      <c r="H2068" s="81" t="s">
        <v>187</v>
      </c>
      <c r="I2068" s="81" t="s">
        <v>187</v>
      </c>
      <c r="J2068" s="81" t="s">
        <v>187</v>
      </c>
      <c r="K2068" s="81" t="s">
        <v>187</v>
      </c>
      <c r="L2068" s="81" t="s">
        <v>187</v>
      </c>
    </row>
    <row r="2069" ht="15.75" customHeight="1">
      <c r="A2069" s="262"/>
      <c r="B2069" s="262"/>
      <c r="C2069" s="263"/>
      <c r="D2069" s="262"/>
      <c r="E2069" s="81" t="s">
        <v>187</v>
      </c>
      <c r="F2069" s="81" t="s">
        <v>187</v>
      </c>
      <c r="G2069" s="81" t="s">
        <v>187</v>
      </c>
      <c r="H2069" s="81" t="s">
        <v>187</v>
      </c>
      <c r="I2069" s="81" t="s">
        <v>187</v>
      </c>
      <c r="J2069" s="81" t="s">
        <v>187</v>
      </c>
      <c r="K2069" s="81" t="s">
        <v>187</v>
      </c>
      <c r="L2069" s="81" t="s">
        <v>187</v>
      </c>
    </row>
    <row r="2070" ht="15.75" customHeight="1">
      <c r="A2070" s="262"/>
      <c r="B2070" s="262"/>
      <c r="C2070" s="263"/>
      <c r="D2070" s="262"/>
      <c r="E2070" s="81" t="s">
        <v>187</v>
      </c>
      <c r="F2070" s="81" t="s">
        <v>187</v>
      </c>
      <c r="G2070" s="81" t="s">
        <v>187</v>
      </c>
      <c r="H2070" s="81" t="s">
        <v>187</v>
      </c>
      <c r="I2070" s="81" t="s">
        <v>187</v>
      </c>
      <c r="J2070" s="81" t="s">
        <v>187</v>
      </c>
      <c r="K2070" s="81" t="s">
        <v>187</v>
      </c>
      <c r="L2070" s="81" t="s">
        <v>187</v>
      </c>
    </row>
    <row r="2071" ht="15.75" customHeight="1">
      <c r="A2071" s="262"/>
      <c r="B2071" s="262"/>
      <c r="C2071" s="263"/>
      <c r="D2071" s="262"/>
      <c r="E2071" s="81" t="s">
        <v>187</v>
      </c>
      <c r="F2071" s="81" t="s">
        <v>187</v>
      </c>
      <c r="G2071" s="81" t="s">
        <v>187</v>
      </c>
      <c r="H2071" s="81" t="s">
        <v>187</v>
      </c>
      <c r="I2071" s="81" t="s">
        <v>187</v>
      </c>
      <c r="J2071" s="81" t="s">
        <v>187</v>
      </c>
      <c r="K2071" s="81" t="s">
        <v>187</v>
      </c>
      <c r="L2071" s="81" t="s">
        <v>187</v>
      </c>
    </row>
    <row r="2072" ht="15.75" customHeight="1">
      <c r="A2072" s="262"/>
      <c r="B2072" s="262"/>
      <c r="C2072" s="263"/>
      <c r="D2072" s="262"/>
      <c r="E2072" s="81" t="s">
        <v>187</v>
      </c>
      <c r="F2072" s="81" t="s">
        <v>187</v>
      </c>
      <c r="G2072" s="81" t="s">
        <v>187</v>
      </c>
      <c r="H2072" s="81" t="s">
        <v>187</v>
      </c>
      <c r="I2072" s="81" t="s">
        <v>187</v>
      </c>
      <c r="J2072" s="81" t="s">
        <v>187</v>
      </c>
      <c r="K2072" s="81" t="s">
        <v>187</v>
      </c>
      <c r="L2072" s="81" t="s">
        <v>187</v>
      </c>
    </row>
    <row r="2073" ht="15.75" customHeight="1">
      <c r="A2073" s="262"/>
      <c r="B2073" s="262"/>
      <c r="C2073" s="263"/>
      <c r="D2073" s="262"/>
      <c r="E2073" s="81" t="s">
        <v>187</v>
      </c>
      <c r="F2073" s="81" t="s">
        <v>187</v>
      </c>
      <c r="G2073" s="81" t="s">
        <v>187</v>
      </c>
      <c r="H2073" s="81" t="s">
        <v>187</v>
      </c>
      <c r="I2073" s="81" t="s">
        <v>187</v>
      </c>
      <c r="J2073" s="81" t="s">
        <v>187</v>
      </c>
      <c r="K2073" s="81" t="s">
        <v>187</v>
      </c>
      <c r="L2073" s="81" t="s">
        <v>187</v>
      </c>
    </row>
    <row r="2074" ht="15.75" customHeight="1">
      <c r="A2074" s="262"/>
      <c r="B2074" s="262"/>
      <c r="C2074" s="263"/>
      <c r="D2074" s="262"/>
      <c r="E2074" s="81" t="s">
        <v>187</v>
      </c>
      <c r="F2074" s="81" t="s">
        <v>187</v>
      </c>
      <c r="G2074" s="81" t="s">
        <v>187</v>
      </c>
      <c r="H2074" s="81" t="s">
        <v>187</v>
      </c>
      <c r="I2074" s="81" t="s">
        <v>187</v>
      </c>
      <c r="J2074" s="81" t="s">
        <v>187</v>
      </c>
      <c r="K2074" s="81" t="s">
        <v>187</v>
      </c>
      <c r="L2074" s="81" t="s">
        <v>187</v>
      </c>
    </row>
    <row r="2075" ht="15.75" customHeight="1">
      <c r="A2075" s="262"/>
      <c r="B2075" s="262"/>
      <c r="C2075" s="263"/>
      <c r="D2075" s="262"/>
      <c r="E2075" s="81" t="s">
        <v>187</v>
      </c>
      <c r="F2075" s="81" t="s">
        <v>187</v>
      </c>
      <c r="G2075" s="81" t="s">
        <v>187</v>
      </c>
      <c r="H2075" s="81" t="s">
        <v>187</v>
      </c>
      <c r="I2075" s="81" t="s">
        <v>187</v>
      </c>
      <c r="J2075" s="81" t="s">
        <v>187</v>
      </c>
      <c r="K2075" s="81" t="s">
        <v>187</v>
      </c>
      <c r="L2075" s="81" t="s">
        <v>187</v>
      </c>
    </row>
    <row r="2076" ht="15.75" customHeight="1">
      <c r="A2076" s="262"/>
      <c r="B2076" s="262"/>
      <c r="C2076" s="263"/>
      <c r="D2076" s="262"/>
      <c r="E2076" s="81" t="s">
        <v>187</v>
      </c>
      <c r="F2076" s="81" t="s">
        <v>187</v>
      </c>
      <c r="G2076" s="81" t="s">
        <v>187</v>
      </c>
      <c r="H2076" s="81" t="s">
        <v>187</v>
      </c>
      <c r="I2076" s="81" t="s">
        <v>187</v>
      </c>
      <c r="J2076" s="81" t="s">
        <v>187</v>
      </c>
      <c r="K2076" s="81" t="s">
        <v>187</v>
      </c>
      <c r="L2076" s="81" t="s">
        <v>187</v>
      </c>
    </row>
    <row r="2077" ht="15.75" customHeight="1">
      <c r="A2077" s="262"/>
      <c r="B2077" s="262"/>
      <c r="C2077" s="263"/>
      <c r="D2077" s="262"/>
      <c r="E2077" s="81" t="s">
        <v>187</v>
      </c>
      <c r="F2077" s="81" t="s">
        <v>187</v>
      </c>
      <c r="G2077" s="81" t="s">
        <v>187</v>
      </c>
      <c r="H2077" s="81" t="s">
        <v>187</v>
      </c>
      <c r="I2077" s="81" t="s">
        <v>187</v>
      </c>
      <c r="J2077" s="81" t="s">
        <v>187</v>
      </c>
      <c r="K2077" s="81" t="s">
        <v>187</v>
      </c>
      <c r="L2077" s="81" t="s">
        <v>187</v>
      </c>
    </row>
    <row r="2078" ht="15.75" customHeight="1">
      <c r="A2078" s="262"/>
      <c r="B2078" s="262"/>
      <c r="C2078" s="263"/>
      <c r="D2078" s="262"/>
      <c r="E2078" s="81" t="s">
        <v>187</v>
      </c>
      <c r="F2078" s="81" t="s">
        <v>187</v>
      </c>
      <c r="G2078" s="81" t="s">
        <v>187</v>
      </c>
      <c r="H2078" s="81" t="s">
        <v>187</v>
      </c>
      <c r="I2078" s="81" t="s">
        <v>187</v>
      </c>
      <c r="J2078" s="81" t="s">
        <v>187</v>
      </c>
      <c r="K2078" s="81" t="s">
        <v>187</v>
      </c>
      <c r="L2078" s="81" t="s">
        <v>187</v>
      </c>
    </row>
    <row r="2079" ht="15.75" customHeight="1">
      <c r="A2079" s="262"/>
      <c r="B2079" s="262"/>
      <c r="C2079" s="263"/>
      <c r="D2079" s="262"/>
      <c r="E2079" s="81" t="s">
        <v>187</v>
      </c>
      <c r="F2079" s="81" t="s">
        <v>187</v>
      </c>
      <c r="G2079" s="81" t="s">
        <v>187</v>
      </c>
      <c r="H2079" s="81" t="s">
        <v>187</v>
      </c>
      <c r="I2079" s="81" t="s">
        <v>187</v>
      </c>
      <c r="J2079" s="81" t="s">
        <v>187</v>
      </c>
      <c r="K2079" s="81" t="s">
        <v>187</v>
      </c>
      <c r="L2079" s="81" t="s">
        <v>187</v>
      </c>
    </row>
    <row r="2080" ht="15.75" customHeight="1">
      <c r="A2080" s="262"/>
      <c r="B2080" s="262"/>
      <c r="C2080" s="263"/>
      <c r="D2080" s="262"/>
      <c r="E2080" s="81" t="s">
        <v>187</v>
      </c>
      <c r="F2080" s="81" t="s">
        <v>187</v>
      </c>
      <c r="G2080" s="81" t="s">
        <v>187</v>
      </c>
      <c r="H2080" s="81" t="s">
        <v>187</v>
      </c>
      <c r="I2080" s="81" t="s">
        <v>187</v>
      </c>
      <c r="J2080" s="81" t="s">
        <v>187</v>
      </c>
      <c r="K2080" s="81" t="s">
        <v>187</v>
      </c>
      <c r="L2080" s="81" t="s">
        <v>187</v>
      </c>
    </row>
    <row r="2081" ht="15.75" customHeight="1">
      <c r="A2081" s="262"/>
      <c r="B2081" s="262"/>
      <c r="C2081" s="263"/>
      <c r="D2081" s="262"/>
      <c r="E2081" s="81" t="s">
        <v>187</v>
      </c>
      <c r="F2081" s="81" t="s">
        <v>187</v>
      </c>
      <c r="G2081" s="81" t="s">
        <v>187</v>
      </c>
      <c r="H2081" s="81" t="s">
        <v>187</v>
      </c>
      <c r="I2081" s="81" t="s">
        <v>187</v>
      </c>
      <c r="J2081" s="81" t="s">
        <v>187</v>
      </c>
      <c r="K2081" s="81" t="s">
        <v>187</v>
      </c>
      <c r="L2081" s="81" t="s">
        <v>187</v>
      </c>
    </row>
    <row r="2082" ht="15.75" customHeight="1">
      <c r="A2082" s="262"/>
      <c r="B2082" s="262"/>
      <c r="C2082" s="263"/>
      <c r="D2082" s="262"/>
      <c r="E2082" s="81" t="s">
        <v>187</v>
      </c>
      <c r="F2082" s="81" t="s">
        <v>187</v>
      </c>
      <c r="G2082" s="81" t="s">
        <v>187</v>
      </c>
      <c r="H2082" s="81" t="s">
        <v>187</v>
      </c>
      <c r="I2082" s="81" t="s">
        <v>187</v>
      </c>
      <c r="J2082" s="81" t="s">
        <v>187</v>
      </c>
      <c r="K2082" s="81" t="s">
        <v>187</v>
      </c>
      <c r="L2082" s="81" t="s">
        <v>187</v>
      </c>
    </row>
    <row r="2083" ht="15.75" customHeight="1">
      <c r="A2083" s="262"/>
      <c r="B2083" s="262"/>
      <c r="C2083" s="263"/>
      <c r="D2083" s="262"/>
      <c r="E2083" s="81" t="s">
        <v>187</v>
      </c>
      <c r="F2083" s="81" t="s">
        <v>187</v>
      </c>
      <c r="G2083" s="81" t="s">
        <v>187</v>
      </c>
      <c r="H2083" s="81" t="s">
        <v>187</v>
      </c>
      <c r="I2083" s="81" t="s">
        <v>187</v>
      </c>
      <c r="J2083" s="81" t="s">
        <v>187</v>
      </c>
      <c r="K2083" s="81" t="s">
        <v>187</v>
      </c>
      <c r="L2083" s="81" t="s">
        <v>187</v>
      </c>
    </row>
    <row r="2084" ht="15.75" customHeight="1">
      <c r="A2084" s="262"/>
      <c r="B2084" s="262"/>
      <c r="C2084" s="263"/>
      <c r="D2084" s="262"/>
      <c r="E2084" s="81" t="s">
        <v>187</v>
      </c>
      <c r="F2084" s="81" t="s">
        <v>187</v>
      </c>
      <c r="G2084" s="81" t="s">
        <v>187</v>
      </c>
      <c r="H2084" s="81" t="s">
        <v>187</v>
      </c>
      <c r="I2084" s="81" t="s">
        <v>187</v>
      </c>
      <c r="J2084" s="81" t="s">
        <v>187</v>
      </c>
      <c r="K2084" s="81" t="s">
        <v>187</v>
      </c>
      <c r="L2084" s="81" t="s">
        <v>187</v>
      </c>
    </row>
    <row r="2085" ht="15.75" customHeight="1">
      <c r="A2085" s="262"/>
      <c r="B2085" s="262"/>
      <c r="C2085" s="263"/>
      <c r="D2085" s="262"/>
      <c r="E2085" s="81" t="s">
        <v>187</v>
      </c>
      <c r="F2085" s="81" t="s">
        <v>187</v>
      </c>
      <c r="G2085" s="81" t="s">
        <v>187</v>
      </c>
      <c r="H2085" s="81" t="s">
        <v>187</v>
      </c>
      <c r="I2085" s="81" t="s">
        <v>187</v>
      </c>
      <c r="J2085" s="81" t="s">
        <v>187</v>
      </c>
      <c r="K2085" s="81" t="s">
        <v>187</v>
      </c>
      <c r="L2085" s="81" t="s">
        <v>187</v>
      </c>
    </row>
    <row r="2086" ht="15.75" customHeight="1">
      <c r="A2086" s="262"/>
      <c r="B2086" s="262"/>
      <c r="C2086" s="263"/>
      <c r="D2086" s="262"/>
      <c r="E2086" s="81" t="s">
        <v>187</v>
      </c>
      <c r="F2086" s="81" t="s">
        <v>187</v>
      </c>
      <c r="G2086" s="81" t="s">
        <v>187</v>
      </c>
      <c r="H2086" s="81" t="s">
        <v>187</v>
      </c>
      <c r="I2086" s="81" t="s">
        <v>187</v>
      </c>
      <c r="J2086" s="81" t="s">
        <v>187</v>
      </c>
      <c r="K2086" s="81" t="s">
        <v>187</v>
      </c>
      <c r="L2086" s="81" t="s">
        <v>187</v>
      </c>
    </row>
    <row r="2087" ht="15.75" customHeight="1">
      <c r="A2087" s="262"/>
      <c r="B2087" s="262"/>
      <c r="C2087" s="263"/>
      <c r="D2087" s="262"/>
      <c r="E2087" s="81" t="s">
        <v>187</v>
      </c>
      <c r="F2087" s="81" t="s">
        <v>187</v>
      </c>
      <c r="G2087" s="81" t="s">
        <v>187</v>
      </c>
      <c r="H2087" s="81" t="s">
        <v>187</v>
      </c>
      <c r="I2087" s="81" t="s">
        <v>187</v>
      </c>
      <c r="J2087" s="81" t="s">
        <v>187</v>
      </c>
      <c r="K2087" s="81" t="s">
        <v>187</v>
      </c>
      <c r="L2087" s="81" t="s">
        <v>187</v>
      </c>
    </row>
    <row r="2088" ht="15.75" customHeight="1">
      <c r="A2088" s="262"/>
      <c r="B2088" s="262"/>
      <c r="C2088" s="263"/>
      <c r="D2088" s="262"/>
      <c r="E2088" s="81" t="s">
        <v>187</v>
      </c>
      <c r="F2088" s="81" t="s">
        <v>187</v>
      </c>
      <c r="G2088" s="81" t="s">
        <v>187</v>
      </c>
      <c r="H2088" s="81" t="s">
        <v>187</v>
      </c>
      <c r="I2088" s="81" t="s">
        <v>187</v>
      </c>
      <c r="J2088" s="81" t="s">
        <v>187</v>
      </c>
      <c r="K2088" s="81" t="s">
        <v>187</v>
      </c>
      <c r="L2088" s="81" t="s">
        <v>187</v>
      </c>
    </row>
    <row r="2089" ht="15.75" customHeight="1">
      <c r="A2089" s="262"/>
      <c r="B2089" s="262"/>
      <c r="C2089" s="263"/>
      <c r="D2089" s="262"/>
      <c r="E2089" s="81" t="s">
        <v>187</v>
      </c>
      <c r="F2089" s="81" t="s">
        <v>187</v>
      </c>
      <c r="G2089" s="81" t="s">
        <v>187</v>
      </c>
      <c r="H2089" s="81" t="s">
        <v>187</v>
      </c>
      <c r="I2089" s="81" t="s">
        <v>187</v>
      </c>
      <c r="J2089" s="81" t="s">
        <v>187</v>
      </c>
      <c r="K2089" s="81" t="s">
        <v>187</v>
      </c>
      <c r="L2089" s="81" t="s">
        <v>187</v>
      </c>
    </row>
    <row r="2090" ht="15.75" customHeight="1">
      <c r="A2090" s="262"/>
      <c r="B2090" s="262"/>
      <c r="C2090" s="263"/>
      <c r="D2090" s="262"/>
      <c r="E2090" s="81" t="s">
        <v>187</v>
      </c>
      <c r="F2090" s="81" t="s">
        <v>187</v>
      </c>
      <c r="G2090" s="81" t="s">
        <v>187</v>
      </c>
      <c r="H2090" s="81" t="s">
        <v>187</v>
      </c>
      <c r="I2090" s="81" t="s">
        <v>187</v>
      </c>
      <c r="J2090" s="81" t="s">
        <v>187</v>
      </c>
      <c r="K2090" s="81" t="s">
        <v>187</v>
      </c>
      <c r="L2090" s="81" t="s">
        <v>187</v>
      </c>
    </row>
    <row r="2091" ht="15.75" customHeight="1">
      <c r="A2091" s="262"/>
      <c r="B2091" s="262"/>
      <c r="C2091" s="263"/>
      <c r="D2091" s="262"/>
      <c r="E2091" s="81" t="s">
        <v>187</v>
      </c>
      <c r="F2091" s="81" t="s">
        <v>187</v>
      </c>
      <c r="G2091" s="81" t="s">
        <v>187</v>
      </c>
      <c r="H2091" s="81" t="s">
        <v>187</v>
      </c>
      <c r="I2091" s="81" t="s">
        <v>187</v>
      </c>
      <c r="J2091" s="81" t="s">
        <v>187</v>
      </c>
      <c r="K2091" s="81" t="s">
        <v>187</v>
      </c>
      <c r="L2091" s="81" t="s">
        <v>187</v>
      </c>
    </row>
    <row r="2092" ht="15.75" customHeight="1">
      <c r="A2092" s="262"/>
      <c r="B2092" s="262"/>
      <c r="C2092" s="263"/>
      <c r="D2092" s="262"/>
      <c r="E2092" s="81" t="s">
        <v>187</v>
      </c>
      <c r="F2092" s="81" t="s">
        <v>187</v>
      </c>
      <c r="G2092" s="81" t="s">
        <v>187</v>
      </c>
      <c r="H2092" s="81" t="s">
        <v>187</v>
      </c>
      <c r="I2092" s="81" t="s">
        <v>187</v>
      </c>
      <c r="J2092" s="81" t="s">
        <v>187</v>
      </c>
      <c r="K2092" s="81" t="s">
        <v>187</v>
      </c>
      <c r="L2092" s="81" t="s">
        <v>187</v>
      </c>
    </row>
    <row r="2093" ht="15.75" customHeight="1">
      <c r="A2093" s="262"/>
      <c r="B2093" s="262"/>
      <c r="C2093" s="263"/>
      <c r="D2093" s="262"/>
      <c r="E2093" s="81" t="s">
        <v>187</v>
      </c>
      <c r="F2093" s="81" t="s">
        <v>187</v>
      </c>
      <c r="G2093" s="81" t="s">
        <v>187</v>
      </c>
      <c r="H2093" s="81" t="s">
        <v>187</v>
      </c>
      <c r="I2093" s="81" t="s">
        <v>187</v>
      </c>
      <c r="J2093" s="81" t="s">
        <v>187</v>
      </c>
      <c r="K2093" s="81" t="s">
        <v>187</v>
      </c>
      <c r="L2093" s="81" t="s">
        <v>187</v>
      </c>
    </row>
    <row r="2094" ht="15.75" customHeight="1">
      <c r="A2094" s="262"/>
      <c r="B2094" s="262"/>
      <c r="C2094" s="263"/>
      <c r="D2094" s="262"/>
      <c r="E2094" s="81" t="s">
        <v>187</v>
      </c>
      <c r="F2094" s="81" t="s">
        <v>187</v>
      </c>
      <c r="G2094" s="81" t="s">
        <v>187</v>
      </c>
      <c r="H2094" s="81" t="s">
        <v>187</v>
      </c>
      <c r="I2094" s="81" t="s">
        <v>187</v>
      </c>
      <c r="J2094" s="81" t="s">
        <v>187</v>
      </c>
      <c r="K2094" s="81" t="s">
        <v>187</v>
      </c>
      <c r="L2094" s="81" t="s">
        <v>187</v>
      </c>
    </row>
    <row r="2095" ht="15.75" customHeight="1">
      <c r="A2095" s="262"/>
      <c r="B2095" s="262"/>
      <c r="C2095" s="263"/>
      <c r="D2095" s="262"/>
      <c r="E2095" s="81" t="s">
        <v>187</v>
      </c>
      <c r="F2095" s="81" t="s">
        <v>187</v>
      </c>
      <c r="G2095" s="81" t="s">
        <v>187</v>
      </c>
      <c r="H2095" s="81" t="s">
        <v>187</v>
      </c>
      <c r="I2095" s="81" t="s">
        <v>187</v>
      </c>
      <c r="J2095" s="81" t="s">
        <v>187</v>
      </c>
      <c r="K2095" s="81" t="s">
        <v>187</v>
      </c>
      <c r="L2095" s="81" t="s">
        <v>187</v>
      </c>
    </row>
    <row r="2096" ht="15.75" customHeight="1">
      <c r="A2096" s="262"/>
      <c r="B2096" s="262"/>
      <c r="C2096" s="263"/>
      <c r="D2096" s="262"/>
      <c r="E2096" s="81" t="s">
        <v>187</v>
      </c>
      <c r="F2096" s="81" t="s">
        <v>187</v>
      </c>
      <c r="G2096" s="81" t="s">
        <v>187</v>
      </c>
      <c r="H2096" s="81" t="s">
        <v>187</v>
      </c>
      <c r="I2096" s="81" t="s">
        <v>187</v>
      </c>
      <c r="J2096" s="81" t="s">
        <v>187</v>
      </c>
      <c r="K2096" s="81" t="s">
        <v>187</v>
      </c>
      <c r="L2096" s="81" t="s">
        <v>187</v>
      </c>
    </row>
    <row r="2097" ht="15.75" customHeight="1">
      <c r="A2097" s="262"/>
      <c r="B2097" s="262"/>
      <c r="C2097" s="263"/>
      <c r="D2097" s="262"/>
      <c r="E2097" s="81" t="s">
        <v>187</v>
      </c>
      <c r="F2097" s="81" t="s">
        <v>187</v>
      </c>
      <c r="G2097" s="81" t="s">
        <v>187</v>
      </c>
      <c r="H2097" s="81" t="s">
        <v>187</v>
      </c>
      <c r="I2097" s="81" t="s">
        <v>187</v>
      </c>
      <c r="J2097" s="81" t="s">
        <v>187</v>
      </c>
      <c r="K2097" s="81" t="s">
        <v>187</v>
      </c>
      <c r="L2097" s="81" t="s">
        <v>187</v>
      </c>
    </row>
    <row r="2098" ht="15.75" customHeight="1">
      <c r="A2098" s="262"/>
      <c r="B2098" s="262"/>
      <c r="C2098" s="263"/>
      <c r="D2098" s="262"/>
      <c r="E2098" s="81" t="s">
        <v>187</v>
      </c>
      <c r="F2098" s="81" t="s">
        <v>187</v>
      </c>
      <c r="G2098" s="81" t="s">
        <v>187</v>
      </c>
      <c r="H2098" s="81" t="s">
        <v>187</v>
      </c>
      <c r="I2098" s="81" t="s">
        <v>187</v>
      </c>
      <c r="J2098" s="81" t="s">
        <v>187</v>
      </c>
      <c r="K2098" s="81" t="s">
        <v>187</v>
      </c>
      <c r="L2098" s="81" t="s">
        <v>187</v>
      </c>
    </row>
    <row r="2099" ht="15.75" customHeight="1">
      <c r="A2099" s="262"/>
      <c r="B2099" s="262"/>
      <c r="C2099" s="263"/>
      <c r="D2099" s="262"/>
      <c r="E2099" s="81" t="s">
        <v>187</v>
      </c>
      <c r="F2099" s="81" t="s">
        <v>187</v>
      </c>
      <c r="G2099" s="81" t="s">
        <v>187</v>
      </c>
      <c r="H2099" s="81" t="s">
        <v>187</v>
      </c>
      <c r="I2099" s="81" t="s">
        <v>187</v>
      </c>
      <c r="J2099" s="81" t="s">
        <v>187</v>
      </c>
      <c r="K2099" s="81" t="s">
        <v>187</v>
      </c>
      <c r="L2099" s="81" t="s">
        <v>187</v>
      </c>
    </row>
    <row r="2100" ht="15.75" customHeight="1">
      <c r="A2100" s="262"/>
      <c r="B2100" s="262"/>
      <c r="C2100" s="263"/>
      <c r="D2100" s="262"/>
      <c r="E2100" s="81" t="s">
        <v>187</v>
      </c>
      <c r="F2100" s="81" t="s">
        <v>187</v>
      </c>
      <c r="G2100" s="81" t="s">
        <v>187</v>
      </c>
      <c r="H2100" s="81" t="s">
        <v>187</v>
      </c>
      <c r="I2100" s="81" t="s">
        <v>187</v>
      </c>
      <c r="J2100" s="81" t="s">
        <v>187</v>
      </c>
      <c r="K2100" s="81" t="s">
        <v>187</v>
      </c>
      <c r="L2100" s="81" t="s">
        <v>187</v>
      </c>
    </row>
    <row r="2101" ht="15.75" customHeight="1">
      <c r="A2101" s="262"/>
      <c r="B2101" s="262"/>
      <c r="C2101" s="263"/>
      <c r="D2101" s="262"/>
      <c r="E2101" s="81" t="s">
        <v>187</v>
      </c>
      <c r="F2101" s="81" t="s">
        <v>187</v>
      </c>
      <c r="G2101" s="81" t="s">
        <v>187</v>
      </c>
      <c r="H2101" s="81" t="s">
        <v>187</v>
      </c>
      <c r="I2101" s="81" t="s">
        <v>187</v>
      </c>
      <c r="J2101" s="81" t="s">
        <v>187</v>
      </c>
      <c r="K2101" s="81" t="s">
        <v>187</v>
      </c>
      <c r="L2101" s="81" t="s">
        <v>187</v>
      </c>
    </row>
    <row r="2102" ht="15.75" customHeight="1">
      <c r="A2102" s="262"/>
      <c r="B2102" s="262"/>
      <c r="C2102" s="263"/>
      <c r="D2102" s="262"/>
      <c r="E2102" s="81" t="s">
        <v>187</v>
      </c>
      <c r="F2102" s="81" t="s">
        <v>187</v>
      </c>
      <c r="G2102" s="81" t="s">
        <v>187</v>
      </c>
      <c r="H2102" s="81" t="s">
        <v>187</v>
      </c>
      <c r="I2102" s="81" t="s">
        <v>187</v>
      </c>
      <c r="J2102" s="81" t="s">
        <v>187</v>
      </c>
      <c r="K2102" s="81" t="s">
        <v>187</v>
      </c>
      <c r="L2102" s="81" t="s">
        <v>187</v>
      </c>
    </row>
    <row r="2103" ht="15.75" customHeight="1">
      <c r="A2103" s="262"/>
      <c r="B2103" s="262"/>
      <c r="C2103" s="263"/>
      <c r="D2103" s="262"/>
      <c r="E2103" s="81" t="s">
        <v>187</v>
      </c>
      <c r="F2103" s="81" t="s">
        <v>187</v>
      </c>
      <c r="G2103" s="81" t="s">
        <v>187</v>
      </c>
      <c r="H2103" s="81" t="s">
        <v>187</v>
      </c>
      <c r="I2103" s="81" t="s">
        <v>187</v>
      </c>
      <c r="J2103" s="81" t="s">
        <v>187</v>
      </c>
      <c r="K2103" s="81" t="s">
        <v>187</v>
      </c>
      <c r="L2103" s="81" t="s">
        <v>187</v>
      </c>
    </row>
    <row r="2104" ht="15.75" customHeight="1">
      <c r="A2104" s="262"/>
      <c r="B2104" s="262"/>
      <c r="C2104" s="263"/>
      <c r="D2104" s="262"/>
      <c r="E2104" s="81" t="s">
        <v>187</v>
      </c>
      <c r="F2104" s="81" t="s">
        <v>187</v>
      </c>
      <c r="G2104" s="81" t="s">
        <v>187</v>
      </c>
      <c r="H2104" s="81" t="s">
        <v>187</v>
      </c>
      <c r="I2104" s="81" t="s">
        <v>187</v>
      </c>
      <c r="J2104" s="81" t="s">
        <v>187</v>
      </c>
      <c r="K2104" s="81" t="s">
        <v>187</v>
      </c>
      <c r="L2104" s="81" t="s">
        <v>187</v>
      </c>
    </row>
    <row r="2105" ht="15.75" customHeight="1">
      <c r="A2105" s="262"/>
      <c r="B2105" s="262"/>
      <c r="C2105" s="263"/>
      <c r="D2105" s="262"/>
      <c r="E2105" s="81" t="s">
        <v>187</v>
      </c>
      <c r="F2105" s="81" t="s">
        <v>187</v>
      </c>
      <c r="G2105" s="81" t="s">
        <v>187</v>
      </c>
      <c r="H2105" s="81" t="s">
        <v>187</v>
      </c>
      <c r="I2105" s="81" t="s">
        <v>187</v>
      </c>
      <c r="J2105" s="81" t="s">
        <v>187</v>
      </c>
      <c r="K2105" s="81" t="s">
        <v>187</v>
      </c>
      <c r="L2105" s="81" t="s">
        <v>187</v>
      </c>
    </row>
    <row r="2106" ht="15.75" customHeight="1">
      <c r="A2106" s="262"/>
      <c r="B2106" s="262"/>
      <c r="C2106" s="263"/>
      <c r="D2106" s="262"/>
      <c r="E2106" s="81" t="s">
        <v>187</v>
      </c>
      <c r="F2106" s="81" t="s">
        <v>187</v>
      </c>
      <c r="G2106" s="81" t="s">
        <v>187</v>
      </c>
      <c r="H2106" s="81" t="s">
        <v>187</v>
      </c>
      <c r="I2106" s="81" t="s">
        <v>187</v>
      </c>
      <c r="J2106" s="81" t="s">
        <v>187</v>
      </c>
      <c r="K2106" s="81" t="s">
        <v>187</v>
      </c>
      <c r="L2106" s="81" t="s">
        <v>187</v>
      </c>
    </row>
    <row r="2107" ht="15.75" customHeight="1">
      <c r="A2107" s="262"/>
      <c r="B2107" s="262"/>
      <c r="C2107" s="263"/>
      <c r="D2107" s="262"/>
      <c r="E2107" s="81" t="s">
        <v>187</v>
      </c>
      <c r="F2107" s="81" t="s">
        <v>187</v>
      </c>
      <c r="G2107" s="81" t="s">
        <v>187</v>
      </c>
      <c r="H2107" s="81" t="s">
        <v>187</v>
      </c>
      <c r="I2107" s="81" t="s">
        <v>187</v>
      </c>
      <c r="J2107" s="81" t="s">
        <v>187</v>
      </c>
      <c r="K2107" s="81" t="s">
        <v>187</v>
      </c>
      <c r="L2107" s="81" t="s">
        <v>187</v>
      </c>
    </row>
    <row r="2108" ht="15.75" customHeight="1">
      <c r="A2108" s="262"/>
      <c r="B2108" s="262"/>
      <c r="C2108" s="263"/>
      <c r="D2108" s="262"/>
      <c r="E2108" s="81" t="s">
        <v>187</v>
      </c>
      <c r="F2108" s="81" t="s">
        <v>187</v>
      </c>
      <c r="G2108" s="81" t="s">
        <v>187</v>
      </c>
      <c r="H2108" s="81" t="s">
        <v>187</v>
      </c>
      <c r="I2108" s="81" t="s">
        <v>187</v>
      </c>
      <c r="J2108" s="81" t="s">
        <v>187</v>
      </c>
      <c r="K2108" s="81" t="s">
        <v>187</v>
      </c>
      <c r="L2108" s="81" t="s">
        <v>187</v>
      </c>
    </row>
    <row r="2109" ht="15.75" customHeight="1">
      <c r="A2109" s="262"/>
      <c r="B2109" s="262"/>
      <c r="C2109" s="263"/>
      <c r="D2109" s="262"/>
      <c r="E2109" s="81" t="s">
        <v>187</v>
      </c>
      <c r="F2109" s="81" t="s">
        <v>187</v>
      </c>
      <c r="G2109" s="81" t="s">
        <v>187</v>
      </c>
      <c r="H2109" s="81" t="s">
        <v>187</v>
      </c>
      <c r="I2109" s="81" t="s">
        <v>187</v>
      </c>
      <c r="J2109" s="81" t="s">
        <v>187</v>
      </c>
      <c r="K2109" s="81" t="s">
        <v>187</v>
      </c>
      <c r="L2109" s="81" t="s">
        <v>187</v>
      </c>
    </row>
    <row r="2110" ht="15.75" customHeight="1">
      <c r="A2110" s="262"/>
      <c r="B2110" s="262"/>
      <c r="C2110" s="263"/>
      <c r="D2110" s="262"/>
      <c r="E2110" s="81" t="s">
        <v>187</v>
      </c>
      <c r="F2110" s="81" t="s">
        <v>187</v>
      </c>
      <c r="G2110" s="81" t="s">
        <v>187</v>
      </c>
      <c r="H2110" s="81" t="s">
        <v>187</v>
      </c>
      <c r="I2110" s="81" t="s">
        <v>187</v>
      </c>
      <c r="J2110" s="81" t="s">
        <v>187</v>
      </c>
      <c r="K2110" s="81" t="s">
        <v>187</v>
      </c>
      <c r="L2110" s="81" t="s">
        <v>187</v>
      </c>
    </row>
    <row r="2111" ht="15.75" customHeight="1">
      <c r="A2111" s="262"/>
      <c r="B2111" s="262"/>
      <c r="C2111" s="263"/>
      <c r="D2111" s="262"/>
      <c r="E2111" s="81" t="s">
        <v>187</v>
      </c>
      <c r="F2111" s="81" t="s">
        <v>187</v>
      </c>
      <c r="G2111" s="81" t="s">
        <v>187</v>
      </c>
      <c r="H2111" s="81" t="s">
        <v>187</v>
      </c>
      <c r="I2111" s="81" t="s">
        <v>187</v>
      </c>
      <c r="J2111" s="81" t="s">
        <v>187</v>
      </c>
      <c r="K2111" s="81" t="s">
        <v>187</v>
      </c>
      <c r="L2111" s="81" t="s">
        <v>187</v>
      </c>
    </row>
    <row r="2112" ht="15.75" customHeight="1">
      <c r="A2112" s="262"/>
      <c r="B2112" s="262"/>
      <c r="C2112" s="263"/>
      <c r="D2112" s="262"/>
      <c r="E2112" s="81" t="s">
        <v>187</v>
      </c>
      <c r="F2112" s="81" t="s">
        <v>187</v>
      </c>
      <c r="G2112" s="81" t="s">
        <v>187</v>
      </c>
      <c r="H2112" s="81" t="s">
        <v>187</v>
      </c>
      <c r="I2112" s="81" t="s">
        <v>187</v>
      </c>
      <c r="J2112" s="81" t="s">
        <v>187</v>
      </c>
      <c r="K2112" s="81" t="s">
        <v>187</v>
      </c>
      <c r="L2112" s="81" t="s">
        <v>187</v>
      </c>
    </row>
    <row r="2113" ht="15.75" customHeight="1">
      <c r="A2113" s="262"/>
      <c r="B2113" s="262"/>
      <c r="C2113" s="263"/>
      <c r="D2113" s="262"/>
      <c r="E2113" s="81" t="s">
        <v>187</v>
      </c>
      <c r="F2113" s="81" t="s">
        <v>187</v>
      </c>
      <c r="G2113" s="81" t="s">
        <v>187</v>
      </c>
      <c r="H2113" s="81" t="s">
        <v>187</v>
      </c>
      <c r="I2113" s="81" t="s">
        <v>187</v>
      </c>
      <c r="J2113" s="81" t="s">
        <v>187</v>
      </c>
      <c r="K2113" s="81" t="s">
        <v>187</v>
      </c>
      <c r="L2113" s="81" t="s">
        <v>187</v>
      </c>
    </row>
    <row r="2114" ht="15.75" customHeight="1">
      <c r="A2114" s="262"/>
      <c r="B2114" s="262"/>
      <c r="C2114" s="263"/>
      <c r="D2114" s="262"/>
      <c r="E2114" s="81" t="s">
        <v>187</v>
      </c>
      <c r="F2114" s="81" t="s">
        <v>187</v>
      </c>
      <c r="G2114" s="81" t="s">
        <v>187</v>
      </c>
      <c r="H2114" s="81" t="s">
        <v>187</v>
      </c>
      <c r="I2114" s="81" t="s">
        <v>187</v>
      </c>
      <c r="J2114" s="81" t="s">
        <v>187</v>
      </c>
      <c r="K2114" s="81" t="s">
        <v>187</v>
      </c>
      <c r="L2114" s="81" t="s">
        <v>187</v>
      </c>
    </row>
    <row r="2115" ht="15.75" customHeight="1">
      <c r="A2115" s="262"/>
      <c r="B2115" s="262"/>
      <c r="C2115" s="263"/>
      <c r="D2115" s="262"/>
      <c r="E2115" s="81" t="s">
        <v>187</v>
      </c>
      <c r="F2115" s="81" t="s">
        <v>187</v>
      </c>
      <c r="G2115" s="81" t="s">
        <v>187</v>
      </c>
      <c r="H2115" s="81" t="s">
        <v>187</v>
      </c>
      <c r="I2115" s="81" t="s">
        <v>187</v>
      </c>
      <c r="J2115" s="81" t="s">
        <v>187</v>
      </c>
      <c r="K2115" s="81" t="s">
        <v>187</v>
      </c>
      <c r="L2115" s="81" t="s">
        <v>187</v>
      </c>
    </row>
    <row r="2116" ht="15.75" customHeight="1">
      <c r="A2116" s="262"/>
      <c r="B2116" s="262"/>
      <c r="C2116" s="263"/>
      <c r="D2116" s="262"/>
      <c r="E2116" s="81" t="s">
        <v>187</v>
      </c>
      <c r="F2116" s="81" t="s">
        <v>187</v>
      </c>
      <c r="G2116" s="81" t="s">
        <v>187</v>
      </c>
      <c r="H2116" s="81" t="s">
        <v>187</v>
      </c>
      <c r="I2116" s="81" t="s">
        <v>187</v>
      </c>
      <c r="J2116" s="81" t="s">
        <v>187</v>
      </c>
      <c r="K2116" s="81" t="s">
        <v>187</v>
      </c>
      <c r="L2116" s="81" t="s">
        <v>187</v>
      </c>
    </row>
    <row r="2117" ht="15.75" customHeight="1">
      <c r="A2117" s="262"/>
      <c r="B2117" s="262"/>
      <c r="C2117" s="263"/>
      <c r="D2117" s="262"/>
      <c r="E2117" s="81" t="s">
        <v>187</v>
      </c>
      <c r="F2117" s="81" t="s">
        <v>187</v>
      </c>
      <c r="G2117" s="81" t="s">
        <v>187</v>
      </c>
      <c r="H2117" s="81" t="s">
        <v>187</v>
      </c>
      <c r="I2117" s="81" t="s">
        <v>187</v>
      </c>
      <c r="J2117" s="81" t="s">
        <v>187</v>
      </c>
      <c r="K2117" s="81" t="s">
        <v>187</v>
      </c>
      <c r="L2117" s="81" t="s">
        <v>187</v>
      </c>
    </row>
    <row r="2118" ht="15.75" customHeight="1">
      <c r="A2118" s="262"/>
      <c r="B2118" s="262"/>
      <c r="C2118" s="263"/>
      <c r="D2118" s="262"/>
      <c r="E2118" s="81" t="s">
        <v>187</v>
      </c>
      <c r="F2118" s="81" t="s">
        <v>187</v>
      </c>
      <c r="G2118" s="81" t="s">
        <v>187</v>
      </c>
      <c r="H2118" s="81" t="s">
        <v>187</v>
      </c>
      <c r="I2118" s="81" t="s">
        <v>187</v>
      </c>
      <c r="J2118" s="81" t="s">
        <v>187</v>
      </c>
      <c r="K2118" s="81" t="s">
        <v>187</v>
      </c>
      <c r="L2118" s="81" t="s">
        <v>187</v>
      </c>
    </row>
    <row r="2119" ht="15.75" customHeight="1">
      <c r="A2119" s="262"/>
      <c r="B2119" s="262"/>
      <c r="C2119" s="263"/>
      <c r="D2119" s="262"/>
      <c r="E2119" s="81" t="s">
        <v>187</v>
      </c>
      <c r="F2119" s="81" t="s">
        <v>187</v>
      </c>
      <c r="G2119" s="81" t="s">
        <v>187</v>
      </c>
      <c r="H2119" s="81" t="s">
        <v>187</v>
      </c>
      <c r="I2119" s="81" t="s">
        <v>187</v>
      </c>
      <c r="J2119" s="81" t="s">
        <v>187</v>
      </c>
      <c r="K2119" s="81" t="s">
        <v>187</v>
      </c>
      <c r="L2119" s="81" t="s">
        <v>187</v>
      </c>
    </row>
    <row r="2120" ht="15.75" customHeight="1">
      <c r="A2120" s="262"/>
      <c r="B2120" s="262"/>
      <c r="C2120" s="263"/>
      <c r="D2120" s="262"/>
      <c r="E2120" s="81" t="s">
        <v>187</v>
      </c>
      <c r="F2120" s="81" t="s">
        <v>187</v>
      </c>
      <c r="G2120" s="81" t="s">
        <v>187</v>
      </c>
      <c r="H2120" s="81" t="s">
        <v>187</v>
      </c>
      <c r="I2120" s="81" t="s">
        <v>187</v>
      </c>
      <c r="J2120" s="81" t="s">
        <v>187</v>
      </c>
      <c r="K2120" s="81" t="s">
        <v>187</v>
      </c>
      <c r="L2120" s="81" t="s">
        <v>187</v>
      </c>
    </row>
    <row r="2121" ht="15.75" customHeight="1">
      <c r="A2121" s="262"/>
      <c r="B2121" s="262"/>
      <c r="C2121" s="263"/>
      <c r="D2121" s="262"/>
      <c r="E2121" s="81" t="s">
        <v>187</v>
      </c>
      <c r="F2121" s="81" t="s">
        <v>187</v>
      </c>
      <c r="G2121" s="81" t="s">
        <v>187</v>
      </c>
      <c r="H2121" s="81" t="s">
        <v>187</v>
      </c>
      <c r="I2121" s="81" t="s">
        <v>187</v>
      </c>
      <c r="J2121" s="81" t="s">
        <v>187</v>
      </c>
      <c r="K2121" s="81" t="s">
        <v>187</v>
      </c>
      <c r="L2121" s="81" t="s">
        <v>187</v>
      </c>
    </row>
    <row r="2122" ht="15.75" customHeight="1">
      <c r="A2122" s="262"/>
      <c r="B2122" s="262"/>
      <c r="C2122" s="263"/>
      <c r="D2122" s="262"/>
      <c r="E2122" s="81" t="s">
        <v>187</v>
      </c>
      <c r="F2122" s="81" t="s">
        <v>187</v>
      </c>
      <c r="G2122" s="81" t="s">
        <v>187</v>
      </c>
      <c r="H2122" s="81" t="s">
        <v>187</v>
      </c>
      <c r="I2122" s="81" t="s">
        <v>187</v>
      </c>
      <c r="J2122" s="81" t="s">
        <v>187</v>
      </c>
      <c r="K2122" s="81" t="s">
        <v>187</v>
      </c>
      <c r="L2122" s="81" t="s">
        <v>187</v>
      </c>
    </row>
    <row r="2123" ht="15.75" customHeight="1">
      <c r="A2123" s="262"/>
      <c r="B2123" s="262"/>
      <c r="C2123" s="263"/>
      <c r="D2123" s="262"/>
      <c r="E2123" s="81" t="s">
        <v>187</v>
      </c>
      <c r="F2123" s="81" t="s">
        <v>187</v>
      </c>
      <c r="G2123" s="81" t="s">
        <v>187</v>
      </c>
      <c r="H2123" s="81" t="s">
        <v>187</v>
      </c>
      <c r="I2123" s="81" t="s">
        <v>187</v>
      </c>
      <c r="J2123" s="81" t="s">
        <v>187</v>
      </c>
      <c r="K2123" s="81" t="s">
        <v>187</v>
      </c>
      <c r="L2123" s="81" t="s">
        <v>187</v>
      </c>
    </row>
    <row r="2124" ht="15.75" customHeight="1">
      <c r="A2124" s="262"/>
      <c r="B2124" s="262"/>
      <c r="C2124" s="263"/>
      <c r="D2124" s="262"/>
      <c r="E2124" s="81" t="s">
        <v>187</v>
      </c>
      <c r="F2124" s="81" t="s">
        <v>187</v>
      </c>
      <c r="G2124" s="81" t="s">
        <v>187</v>
      </c>
      <c r="H2124" s="81" t="s">
        <v>187</v>
      </c>
      <c r="I2124" s="81" t="s">
        <v>187</v>
      </c>
      <c r="J2124" s="81" t="s">
        <v>187</v>
      </c>
      <c r="K2124" s="81" t="s">
        <v>187</v>
      </c>
      <c r="L2124" s="81" t="s">
        <v>187</v>
      </c>
    </row>
    <row r="2125" ht="15.75" customHeight="1">
      <c r="A2125" s="262"/>
      <c r="B2125" s="262"/>
      <c r="C2125" s="263"/>
      <c r="D2125" s="262"/>
      <c r="E2125" s="81" t="s">
        <v>187</v>
      </c>
      <c r="F2125" s="81" t="s">
        <v>187</v>
      </c>
      <c r="G2125" s="81" t="s">
        <v>187</v>
      </c>
      <c r="H2125" s="81" t="s">
        <v>187</v>
      </c>
      <c r="I2125" s="81" t="s">
        <v>187</v>
      </c>
      <c r="J2125" s="81" t="s">
        <v>187</v>
      </c>
      <c r="K2125" s="81" t="s">
        <v>187</v>
      </c>
      <c r="L2125" s="81" t="s">
        <v>187</v>
      </c>
    </row>
    <row r="2126" ht="15.75" customHeight="1">
      <c r="A2126" s="262"/>
      <c r="B2126" s="262"/>
      <c r="C2126" s="263"/>
      <c r="D2126" s="262"/>
      <c r="E2126" s="81" t="s">
        <v>187</v>
      </c>
      <c r="F2126" s="81" t="s">
        <v>187</v>
      </c>
      <c r="G2126" s="81" t="s">
        <v>187</v>
      </c>
      <c r="H2126" s="81" t="s">
        <v>187</v>
      </c>
      <c r="I2126" s="81" t="s">
        <v>187</v>
      </c>
      <c r="J2126" s="81" t="s">
        <v>187</v>
      </c>
      <c r="K2126" s="81" t="s">
        <v>187</v>
      </c>
      <c r="L2126" s="81" t="s">
        <v>187</v>
      </c>
    </row>
    <row r="2127" ht="15.75" customHeight="1">
      <c r="A2127" s="262"/>
      <c r="B2127" s="262"/>
      <c r="C2127" s="263"/>
      <c r="D2127" s="262"/>
      <c r="E2127" s="81" t="s">
        <v>187</v>
      </c>
      <c r="F2127" s="81" t="s">
        <v>187</v>
      </c>
      <c r="G2127" s="81" t="s">
        <v>187</v>
      </c>
      <c r="H2127" s="81" t="s">
        <v>187</v>
      </c>
      <c r="I2127" s="81" t="s">
        <v>187</v>
      </c>
      <c r="J2127" s="81" t="s">
        <v>187</v>
      </c>
      <c r="K2127" s="81" t="s">
        <v>187</v>
      </c>
      <c r="L2127" s="81" t="s">
        <v>187</v>
      </c>
    </row>
    <row r="2128" ht="15.75" customHeight="1">
      <c r="A2128" s="262"/>
      <c r="B2128" s="262"/>
      <c r="C2128" s="263"/>
      <c r="D2128" s="262"/>
      <c r="E2128" s="81" t="s">
        <v>187</v>
      </c>
      <c r="F2128" s="81" t="s">
        <v>187</v>
      </c>
      <c r="G2128" s="81" t="s">
        <v>187</v>
      </c>
      <c r="H2128" s="81" t="s">
        <v>187</v>
      </c>
      <c r="I2128" s="81" t="s">
        <v>187</v>
      </c>
      <c r="J2128" s="81" t="s">
        <v>187</v>
      </c>
      <c r="K2128" s="81" t="s">
        <v>187</v>
      </c>
      <c r="L2128" s="81" t="s">
        <v>187</v>
      </c>
    </row>
    <row r="2129" ht="15.75" customHeight="1">
      <c r="A2129" s="262"/>
      <c r="B2129" s="262"/>
      <c r="C2129" s="263"/>
      <c r="D2129" s="262"/>
      <c r="E2129" s="81" t="s">
        <v>187</v>
      </c>
      <c r="F2129" s="81" t="s">
        <v>187</v>
      </c>
      <c r="G2129" s="81" t="s">
        <v>187</v>
      </c>
      <c r="H2129" s="81" t="s">
        <v>187</v>
      </c>
      <c r="I2129" s="81" t="s">
        <v>187</v>
      </c>
      <c r="J2129" s="81" t="s">
        <v>187</v>
      </c>
      <c r="K2129" s="81" t="s">
        <v>187</v>
      </c>
      <c r="L2129" s="81" t="s">
        <v>187</v>
      </c>
    </row>
    <row r="2130" ht="15.75" customHeight="1">
      <c r="A2130" s="262"/>
      <c r="B2130" s="262"/>
      <c r="C2130" s="263"/>
      <c r="D2130" s="262"/>
      <c r="E2130" s="81" t="s">
        <v>187</v>
      </c>
      <c r="F2130" s="81" t="s">
        <v>187</v>
      </c>
      <c r="G2130" s="81" t="s">
        <v>187</v>
      </c>
      <c r="H2130" s="81" t="s">
        <v>187</v>
      </c>
      <c r="I2130" s="81" t="s">
        <v>187</v>
      </c>
      <c r="J2130" s="81" t="s">
        <v>187</v>
      </c>
      <c r="K2130" s="81" t="s">
        <v>187</v>
      </c>
      <c r="L2130" s="81" t="s">
        <v>187</v>
      </c>
    </row>
    <row r="2131" ht="15.75" customHeight="1">
      <c r="A2131" s="262"/>
      <c r="B2131" s="262"/>
      <c r="C2131" s="263"/>
      <c r="D2131" s="262"/>
      <c r="E2131" s="81" t="s">
        <v>187</v>
      </c>
      <c r="F2131" s="81" t="s">
        <v>187</v>
      </c>
      <c r="G2131" s="81" t="s">
        <v>187</v>
      </c>
      <c r="H2131" s="81" t="s">
        <v>187</v>
      </c>
      <c r="I2131" s="81" t="s">
        <v>187</v>
      </c>
      <c r="J2131" s="81" t="s">
        <v>187</v>
      </c>
      <c r="K2131" s="81" t="s">
        <v>187</v>
      </c>
      <c r="L2131" s="81" t="s">
        <v>187</v>
      </c>
    </row>
    <row r="2132" ht="15.75" customHeight="1">
      <c r="A2132" s="262"/>
      <c r="B2132" s="262"/>
      <c r="C2132" s="263"/>
      <c r="D2132" s="262"/>
      <c r="E2132" s="81" t="s">
        <v>187</v>
      </c>
      <c r="F2132" s="81" t="s">
        <v>187</v>
      </c>
      <c r="G2132" s="81" t="s">
        <v>187</v>
      </c>
      <c r="H2132" s="81" t="s">
        <v>187</v>
      </c>
      <c r="I2132" s="81" t="s">
        <v>187</v>
      </c>
      <c r="J2132" s="81" t="s">
        <v>187</v>
      </c>
      <c r="K2132" s="81" t="s">
        <v>187</v>
      </c>
      <c r="L2132" s="81" t="s">
        <v>187</v>
      </c>
    </row>
    <row r="2133" ht="15.75" customHeight="1">
      <c r="A2133" s="262"/>
      <c r="B2133" s="262"/>
      <c r="C2133" s="263"/>
      <c r="D2133" s="262"/>
      <c r="E2133" s="81" t="s">
        <v>187</v>
      </c>
      <c r="F2133" s="81" t="s">
        <v>187</v>
      </c>
      <c r="G2133" s="81" t="s">
        <v>187</v>
      </c>
      <c r="H2133" s="81" t="s">
        <v>187</v>
      </c>
      <c r="I2133" s="81" t="s">
        <v>187</v>
      </c>
      <c r="J2133" s="81" t="s">
        <v>187</v>
      </c>
      <c r="K2133" s="81" t="s">
        <v>187</v>
      </c>
      <c r="L2133" s="81" t="s">
        <v>187</v>
      </c>
    </row>
    <row r="2134" ht="15.75" customHeight="1">
      <c r="A2134" s="262"/>
      <c r="B2134" s="262"/>
      <c r="C2134" s="263"/>
      <c r="D2134" s="262"/>
      <c r="E2134" s="81" t="s">
        <v>187</v>
      </c>
      <c r="F2134" s="81" t="s">
        <v>187</v>
      </c>
      <c r="G2134" s="81" t="s">
        <v>187</v>
      </c>
      <c r="H2134" s="81" t="s">
        <v>187</v>
      </c>
      <c r="I2134" s="81" t="s">
        <v>187</v>
      </c>
      <c r="J2134" s="81" t="s">
        <v>187</v>
      </c>
      <c r="K2134" s="81" t="s">
        <v>187</v>
      </c>
      <c r="L2134" s="81" t="s">
        <v>187</v>
      </c>
    </row>
    <row r="2135" ht="15.75" customHeight="1">
      <c r="A2135" s="262"/>
      <c r="B2135" s="262"/>
      <c r="C2135" s="263"/>
      <c r="D2135" s="262"/>
      <c r="E2135" s="81" t="s">
        <v>187</v>
      </c>
      <c r="F2135" s="81" t="s">
        <v>187</v>
      </c>
      <c r="G2135" s="81" t="s">
        <v>187</v>
      </c>
      <c r="H2135" s="81" t="s">
        <v>187</v>
      </c>
      <c r="I2135" s="81" t="s">
        <v>187</v>
      </c>
      <c r="J2135" s="81" t="s">
        <v>187</v>
      </c>
      <c r="K2135" s="81" t="s">
        <v>187</v>
      </c>
      <c r="L2135" s="81" t="s">
        <v>187</v>
      </c>
    </row>
    <row r="2136" ht="15.75" customHeight="1">
      <c r="A2136" s="262"/>
      <c r="B2136" s="262"/>
      <c r="C2136" s="263"/>
      <c r="D2136" s="262"/>
      <c r="E2136" s="81" t="s">
        <v>187</v>
      </c>
      <c r="F2136" s="81" t="s">
        <v>187</v>
      </c>
      <c r="G2136" s="81" t="s">
        <v>187</v>
      </c>
      <c r="H2136" s="81" t="s">
        <v>187</v>
      </c>
      <c r="I2136" s="81" t="s">
        <v>187</v>
      </c>
      <c r="J2136" s="81" t="s">
        <v>187</v>
      </c>
      <c r="K2136" s="81" t="s">
        <v>187</v>
      </c>
      <c r="L2136" s="81" t="s">
        <v>187</v>
      </c>
    </row>
    <row r="2137" ht="15.75" customHeight="1">
      <c r="A2137" s="262"/>
      <c r="B2137" s="262"/>
      <c r="C2137" s="263"/>
      <c r="D2137" s="262"/>
      <c r="E2137" s="81" t="s">
        <v>187</v>
      </c>
      <c r="F2137" s="81" t="s">
        <v>187</v>
      </c>
      <c r="G2137" s="81" t="s">
        <v>187</v>
      </c>
      <c r="H2137" s="81" t="s">
        <v>187</v>
      </c>
      <c r="I2137" s="81" t="s">
        <v>187</v>
      </c>
      <c r="J2137" s="81" t="s">
        <v>187</v>
      </c>
      <c r="K2137" s="81" t="s">
        <v>187</v>
      </c>
      <c r="L2137" s="81" t="s">
        <v>187</v>
      </c>
    </row>
    <row r="2138" ht="15.75" customHeight="1">
      <c r="A2138" s="262"/>
      <c r="B2138" s="262"/>
      <c r="C2138" s="263"/>
      <c r="D2138" s="262"/>
      <c r="E2138" s="81" t="s">
        <v>187</v>
      </c>
      <c r="F2138" s="81" t="s">
        <v>187</v>
      </c>
      <c r="G2138" s="81" t="s">
        <v>187</v>
      </c>
      <c r="H2138" s="81" t="s">
        <v>187</v>
      </c>
      <c r="I2138" s="81" t="s">
        <v>187</v>
      </c>
      <c r="J2138" s="81" t="s">
        <v>187</v>
      </c>
      <c r="K2138" s="81" t="s">
        <v>187</v>
      </c>
      <c r="L2138" s="81" t="s">
        <v>187</v>
      </c>
    </row>
    <row r="2139" ht="15.75" customHeight="1">
      <c r="A2139" s="262"/>
      <c r="B2139" s="262"/>
      <c r="C2139" s="263"/>
      <c r="D2139" s="262"/>
      <c r="E2139" s="81" t="s">
        <v>187</v>
      </c>
      <c r="F2139" s="81" t="s">
        <v>187</v>
      </c>
      <c r="G2139" s="81" t="s">
        <v>187</v>
      </c>
      <c r="H2139" s="81" t="s">
        <v>187</v>
      </c>
      <c r="I2139" s="81" t="s">
        <v>187</v>
      </c>
      <c r="J2139" s="81" t="s">
        <v>187</v>
      </c>
      <c r="K2139" s="81" t="s">
        <v>187</v>
      </c>
      <c r="L2139" s="81" t="s">
        <v>187</v>
      </c>
    </row>
    <row r="2140" ht="15.75" customHeight="1">
      <c r="A2140" s="262"/>
      <c r="B2140" s="262"/>
      <c r="C2140" s="263"/>
      <c r="D2140" s="262"/>
      <c r="E2140" s="81" t="s">
        <v>187</v>
      </c>
      <c r="F2140" s="81" t="s">
        <v>187</v>
      </c>
      <c r="G2140" s="81" t="s">
        <v>187</v>
      </c>
      <c r="H2140" s="81" t="s">
        <v>187</v>
      </c>
      <c r="I2140" s="81" t="s">
        <v>187</v>
      </c>
      <c r="J2140" s="81" t="s">
        <v>187</v>
      </c>
      <c r="K2140" s="81" t="s">
        <v>187</v>
      </c>
      <c r="L2140" s="81" t="s">
        <v>187</v>
      </c>
    </row>
    <row r="2141" ht="15.75" customHeight="1">
      <c r="A2141" s="262"/>
      <c r="B2141" s="262"/>
      <c r="C2141" s="263"/>
      <c r="D2141" s="262"/>
      <c r="E2141" s="81" t="s">
        <v>187</v>
      </c>
      <c r="F2141" s="81" t="s">
        <v>187</v>
      </c>
      <c r="G2141" s="81" t="s">
        <v>187</v>
      </c>
      <c r="H2141" s="81" t="s">
        <v>187</v>
      </c>
      <c r="I2141" s="81" t="s">
        <v>187</v>
      </c>
      <c r="J2141" s="81" t="s">
        <v>187</v>
      </c>
      <c r="K2141" s="81" t="s">
        <v>187</v>
      </c>
      <c r="L2141" s="81" t="s">
        <v>187</v>
      </c>
    </row>
    <row r="2142" ht="15.75" customHeight="1">
      <c r="A2142" s="262"/>
      <c r="B2142" s="262"/>
      <c r="C2142" s="263"/>
      <c r="D2142" s="262"/>
      <c r="E2142" s="81" t="s">
        <v>187</v>
      </c>
      <c r="F2142" s="81" t="s">
        <v>187</v>
      </c>
      <c r="G2142" s="81" t="s">
        <v>187</v>
      </c>
      <c r="H2142" s="81" t="s">
        <v>187</v>
      </c>
      <c r="I2142" s="81" t="s">
        <v>187</v>
      </c>
      <c r="J2142" s="81" t="s">
        <v>187</v>
      </c>
      <c r="K2142" s="81" t="s">
        <v>187</v>
      </c>
      <c r="L2142" s="81" t="s">
        <v>187</v>
      </c>
    </row>
    <row r="2143" ht="15.75" customHeight="1">
      <c r="A2143" s="262"/>
      <c r="B2143" s="262"/>
      <c r="C2143" s="263"/>
      <c r="D2143" s="262"/>
      <c r="E2143" s="81" t="s">
        <v>187</v>
      </c>
      <c r="F2143" s="81" t="s">
        <v>187</v>
      </c>
      <c r="G2143" s="81" t="s">
        <v>187</v>
      </c>
      <c r="H2143" s="81" t="s">
        <v>187</v>
      </c>
      <c r="I2143" s="81" t="s">
        <v>187</v>
      </c>
      <c r="J2143" s="81" t="s">
        <v>187</v>
      </c>
      <c r="K2143" s="81" t="s">
        <v>187</v>
      </c>
      <c r="L2143" s="81" t="s">
        <v>187</v>
      </c>
    </row>
    <row r="2144" ht="15.75" customHeight="1">
      <c r="A2144" s="262"/>
      <c r="B2144" s="262"/>
      <c r="C2144" s="263"/>
      <c r="D2144" s="262"/>
      <c r="E2144" s="81" t="s">
        <v>187</v>
      </c>
      <c r="F2144" s="81" t="s">
        <v>187</v>
      </c>
      <c r="G2144" s="81" t="s">
        <v>187</v>
      </c>
      <c r="H2144" s="81" t="s">
        <v>187</v>
      </c>
      <c r="I2144" s="81" t="s">
        <v>187</v>
      </c>
      <c r="J2144" s="81" t="s">
        <v>187</v>
      </c>
      <c r="K2144" s="81" t="s">
        <v>187</v>
      </c>
      <c r="L2144" s="81" t="s">
        <v>187</v>
      </c>
    </row>
    <row r="2145" ht="15.75" customHeight="1">
      <c r="A2145" s="262"/>
      <c r="B2145" s="262"/>
      <c r="C2145" s="263"/>
      <c r="D2145" s="262"/>
      <c r="E2145" s="81" t="s">
        <v>187</v>
      </c>
      <c r="F2145" s="81" t="s">
        <v>187</v>
      </c>
      <c r="G2145" s="81" t="s">
        <v>187</v>
      </c>
      <c r="H2145" s="81" t="s">
        <v>187</v>
      </c>
      <c r="I2145" s="81" t="s">
        <v>187</v>
      </c>
      <c r="J2145" s="81" t="s">
        <v>187</v>
      </c>
      <c r="K2145" s="81" t="s">
        <v>187</v>
      </c>
      <c r="L2145" s="81" t="s">
        <v>187</v>
      </c>
    </row>
    <row r="2146" ht="15.75" customHeight="1">
      <c r="A2146" s="262"/>
      <c r="B2146" s="262"/>
      <c r="C2146" s="263"/>
      <c r="D2146" s="262"/>
      <c r="E2146" s="81" t="s">
        <v>187</v>
      </c>
      <c r="F2146" s="81" t="s">
        <v>187</v>
      </c>
      <c r="G2146" s="81" t="s">
        <v>187</v>
      </c>
      <c r="H2146" s="81" t="s">
        <v>187</v>
      </c>
      <c r="I2146" s="81" t="s">
        <v>187</v>
      </c>
      <c r="J2146" s="81" t="s">
        <v>187</v>
      </c>
      <c r="K2146" s="81" t="s">
        <v>187</v>
      </c>
      <c r="L2146" s="81" t="s">
        <v>187</v>
      </c>
    </row>
    <row r="2147" ht="15.75" customHeight="1">
      <c r="A2147" s="262"/>
      <c r="B2147" s="262"/>
      <c r="C2147" s="263"/>
      <c r="D2147" s="262"/>
      <c r="E2147" s="81" t="s">
        <v>187</v>
      </c>
      <c r="F2147" s="81" t="s">
        <v>187</v>
      </c>
      <c r="G2147" s="81" t="s">
        <v>187</v>
      </c>
      <c r="H2147" s="81" t="s">
        <v>187</v>
      </c>
      <c r="I2147" s="81" t="s">
        <v>187</v>
      </c>
      <c r="J2147" s="81" t="s">
        <v>187</v>
      </c>
      <c r="K2147" s="81" t="s">
        <v>187</v>
      </c>
      <c r="L2147" s="81" t="s">
        <v>187</v>
      </c>
    </row>
    <row r="2148" ht="15.75" customHeight="1">
      <c r="A2148" s="262"/>
      <c r="B2148" s="262"/>
      <c r="C2148" s="263"/>
      <c r="D2148" s="262"/>
      <c r="E2148" s="81" t="s">
        <v>187</v>
      </c>
      <c r="F2148" s="81" t="s">
        <v>187</v>
      </c>
      <c r="G2148" s="81" t="s">
        <v>187</v>
      </c>
      <c r="H2148" s="81" t="s">
        <v>187</v>
      </c>
      <c r="I2148" s="81" t="s">
        <v>187</v>
      </c>
      <c r="J2148" s="81" t="s">
        <v>187</v>
      </c>
      <c r="K2148" s="81" t="s">
        <v>187</v>
      </c>
      <c r="L2148" s="81" t="s">
        <v>187</v>
      </c>
    </row>
    <row r="2149" ht="15.75" customHeight="1">
      <c r="A2149" s="262"/>
      <c r="B2149" s="262"/>
      <c r="C2149" s="263"/>
      <c r="D2149" s="262"/>
      <c r="E2149" s="81" t="s">
        <v>187</v>
      </c>
      <c r="F2149" s="81" t="s">
        <v>187</v>
      </c>
      <c r="G2149" s="81" t="s">
        <v>187</v>
      </c>
      <c r="H2149" s="81" t="s">
        <v>187</v>
      </c>
      <c r="I2149" s="81" t="s">
        <v>187</v>
      </c>
      <c r="J2149" s="81" t="s">
        <v>187</v>
      </c>
      <c r="K2149" s="81" t="s">
        <v>187</v>
      </c>
      <c r="L2149" s="81" t="s">
        <v>187</v>
      </c>
    </row>
    <row r="2150" ht="15.75" customHeight="1">
      <c r="A2150" s="262"/>
      <c r="B2150" s="262"/>
      <c r="C2150" s="263"/>
      <c r="D2150" s="262"/>
      <c r="E2150" s="81" t="s">
        <v>187</v>
      </c>
      <c r="F2150" s="81" t="s">
        <v>187</v>
      </c>
      <c r="G2150" s="81" t="s">
        <v>187</v>
      </c>
      <c r="H2150" s="81" t="s">
        <v>187</v>
      </c>
      <c r="I2150" s="81" t="s">
        <v>187</v>
      </c>
      <c r="J2150" s="81" t="s">
        <v>187</v>
      </c>
      <c r="K2150" s="81" t="s">
        <v>187</v>
      </c>
      <c r="L2150" s="81" t="s">
        <v>187</v>
      </c>
    </row>
    <row r="2151" ht="15.75" customHeight="1">
      <c r="A2151" s="262"/>
      <c r="B2151" s="262"/>
      <c r="C2151" s="263"/>
      <c r="D2151" s="262"/>
      <c r="E2151" s="81" t="s">
        <v>187</v>
      </c>
      <c r="F2151" s="81" t="s">
        <v>187</v>
      </c>
      <c r="G2151" s="81" t="s">
        <v>187</v>
      </c>
      <c r="H2151" s="81" t="s">
        <v>187</v>
      </c>
      <c r="I2151" s="81" t="s">
        <v>187</v>
      </c>
      <c r="J2151" s="81" t="s">
        <v>187</v>
      </c>
      <c r="K2151" s="81" t="s">
        <v>187</v>
      </c>
      <c r="L2151" s="81" t="s">
        <v>187</v>
      </c>
    </row>
    <row r="2152" ht="15.75" customHeight="1">
      <c r="A2152" s="262"/>
      <c r="B2152" s="262"/>
      <c r="C2152" s="263"/>
      <c r="D2152" s="262"/>
      <c r="E2152" s="81" t="s">
        <v>187</v>
      </c>
      <c r="F2152" s="81" t="s">
        <v>187</v>
      </c>
      <c r="G2152" s="81" t="s">
        <v>187</v>
      </c>
      <c r="H2152" s="81" t="s">
        <v>187</v>
      </c>
      <c r="I2152" s="81" t="s">
        <v>187</v>
      </c>
      <c r="J2152" s="81" t="s">
        <v>187</v>
      </c>
      <c r="K2152" s="81" t="s">
        <v>187</v>
      </c>
      <c r="L2152" s="81" t="s">
        <v>187</v>
      </c>
    </row>
    <row r="2153" ht="15.75" customHeight="1">
      <c r="A2153" s="262"/>
      <c r="B2153" s="262"/>
      <c r="C2153" s="263"/>
      <c r="D2153" s="262"/>
      <c r="E2153" s="81" t="s">
        <v>187</v>
      </c>
      <c r="F2153" s="81" t="s">
        <v>187</v>
      </c>
      <c r="G2153" s="81" t="s">
        <v>187</v>
      </c>
      <c r="H2153" s="81" t="s">
        <v>187</v>
      </c>
      <c r="I2153" s="81" t="s">
        <v>187</v>
      </c>
      <c r="J2153" s="81" t="s">
        <v>187</v>
      </c>
      <c r="K2153" s="81" t="s">
        <v>187</v>
      </c>
      <c r="L2153" s="81" t="s">
        <v>187</v>
      </c>
    </row>
    <row r="2154" ht="15.75" customHeight="1">
      <c r="A2154" s="262"/>
      <c r="B2154" s="262"/>
      <c r="C2154" s="263"/>
      <c r="D2154" s="262"/>
      <c r="E2154" s="81" t="s">
        <v>187</v>
      </c>
      <c r="F2154" s="81" t="s">
        <v>187</v>
      </c>
      <c r="G2154" s="81" t="s">
        <v>187</v>
      </c>
      <c r="H2154" s="81" t="s">
        <v>187</v>
      </c>
      <c r="I2154" s="81" t="s">
        <v>187</v>
      </c>
      <c r="J2154" s="81" t="s">
        <v>187</v>
      </c>
      <c r="K2154" s="81" t="s">
        <v>187</v>
      </c>
      <c r="L2154" s="81" t="s">
        <v>187</v>
      </c>
    </row>
    <row r="2155" ht="15.75" customHeight="1">
      <c r="A2155" s="262"/>
      <c r="B2155" s="262"/>
      <c r="C2155" s="263"/>
      <c r="D2155" s="262"/>
      <c r="E2155" s="81" t="s">
        <v>187</v>
      </c>
      <c r="F2155" s="81" t="s">
        <v>187</v>
      </c>
      <c r="G2155" s="81" t="s">
        <v>187</v>
      </c>
      <c r="H2155" s="81" t="s">
        <v>187</v>
      </c>
      <c r="I2155" s="81" t="s">
        <v>187</v>
      </c>
      <c r="J2155" s="81" t="s">
        <v>187</v>
      </c>
      <c r="K2155" s="81" t="s">
        <v>187</v>
      </c>
      <c r="L2155" s="81" t="s">
        <v>187</v>
      </c>
    </row>
    <row r="2156" ht="15.75" customHeight="1">
      <c r="A2156" s="262"/>
      <c r="B2156" s="262"/>
      <c r="C2156" s="263"/>
      <c r="D2156" s="262"/>
      <c r="E2156" s="81" t="s">
        <v>187</v>
      </c>
      <c r="F2156" s="81" t="s">
        <v>187</v>
      </c>
      <c r="G2156" s="81" t="s">
        <v>187</v>
      </c>
      <c r="H2156" s="81" t="s">
        <v>187</v>
      </c>
      <c r="I2156" s="81" t="s">
        <v>187</v>
      </c>
      <c r="J2156" s="81" t="s">
        <v>187</v>
      </c>
      <c r="K2156" s="81" t="s">
        <v>187</v>
      </c>
      <c r="L2156" s="81" t="s">
        <v>187</v>
      </c>
    </row>
    <row r="2157" ht="15.75" customHeight="1">
      <c r="A2157" s="262"/>
      <c r="B2157" s="262"/>
      <c r="C2157" s="263"/>
      <c r="D2157" s="262"/>
      <c r="E2157" s="81" t="s">
        <v>187</v>
      </c>
      <c r="F2157" s="81" t="s">
        <v>187</v>
      </c>
      <c r="G2157" s="81" t="s">
        <v>187</v>
      </c>
      <c r="H2157" s="81" t="s">
        <v>187</v>
      </c>
      <c r="I2157" s="81" t="s">
        <v>187</v>
      </c>
      <c r="J2157" s="81" t="s">
        <v>187</v>
      </c>
      <c r="K2157" s="81" t="s">
        <v>187</v>
      </c>
      <c r="L2157" s="81" t="s">
        <v>187</v>
      </c>
    </row>
    <row r="2158" ht="15.75" customHeight="1">
      <c r="A2158" s="262"/>
      <c r="B2158" s="262"/>
      <c r="C2158" s="263"/>
      <c r="D2158" s="262"/>
      <c r="E2158" s="81" t="s">
        <v>187</v>
      </c>
      <c r="F2158" s="81" t="s">
        <v>187</v>
      </c>
      <c r="G2158" s="81" t="s">
        <v>187</v>
      </c>
      <c r="H2158" s="81" t="s">
        <v>187</v>
      </c>
      <c r="I2158" s="81" t="s">
        <v>187</v>
      </c>
      <c r="J2158" s="81" t="s">
        <v>187</v>
      </c>
      <c r="K2158" s="81" t="s">
        <v>187</v>
      </c>
      <c r="L2158" s="81" t="s">
        <v>187</v>
      </c>
    </row>
    <row r="2159" ht="15.75" customHeight="1">
      <c r="A2159" s="262"/>
      <c r="B2159" s="262"/>
      <c r="C2159" s="263"/>
      <c r="D2159" s="262"/>
      <c r="E2159" s="81" t="s">
        <v>187</v>
      </c>
      <c r="F2159" s="81" t="s">
        <v>187</v>
      </c>
      <c r="G2159" s="81" t="s">
        <v>187</v>
      </c>
      <c r="H2159" s="81" t="s">
        <v>187</v>
      </c>
      <c r="I2159" s="81" t="s">
        <v>187</v>
      </c>
      <c r="J2159" s="81" t="s">
        <v>187</v>
      </c>
      <c r="K2159" s="81" t="s">
        <v>187</v>
      </c>
      <c r="L2159" s="81" t="s">
        <v>187</v>
      </c>
    </row>
    <row r="2160" ht="15.75" customHeight="1">
      <c r="A2160" s="262"/>
      <c r="B2160" s="262"/>
      <c r="C2160" s="263"/>
      <c r="D2160" s="262"/>
      <c r="E2160" s="81" t="s">
        <v>187</v>
      </c>
      <c r="F2160" s="81" t="s">
        <v>187</v>
      </c>
      <c r="G2160" s="81" t="s">
        <v>187</v>
      </c>
      <c r="H2160" s="81" t="s">
        <v>187</v>
      </c>
      <c r="I2160" s="81" t="s">
        <v>187</v>
      </c>
      <c r="J2160" s="81" t="s">
        <v>187</v>
      </c>
      <c r="K2160" s="81" t="s">
        <v>187</v>
      </c>
      <c r="L2160" s="81" t="s">
        <v>187</v>
      </c>
    </row>
    <row r="2161" ht="15.75" customHeight="1">
      <c r="A2161" s="262"/>
      <c r="B2161" s="262"/>
      <c r="C2161" s="263"/>
      <c r="D2161" s="262"/>
      <c r="E2161" s="81" t="s">
        <v>187</v>
      </c>
      <c r="F2161" s="81" t="s">
        <v>187</v>
      </c>
      <c r="G2161" s="81" t="s">
        <v>187</v>
      </c>
      <c r="H2161" s="81" t="s">
        <v>187</v>
      </c>
      <c r="I2161" s="81" t="s">
        <v>187</v>
      </c>
      <c r="J2161" s="81" t="s">
        <v>187</v>
      </c>
      <c r="K2161" s="81" t="s">
        <v>187</v>
      </c>
      <c r="L2161" s="81" t="s">
        <v>187</v>
      </c>
    </row>
    <row r="2162" ht="15.75" customHeight="1">
      <c r="A2162" s="262"/>
      <c r="B2162" s="262"/>
      <c r="C2162" s="263"/>
      <c r="D2162" s="262"/>
      <c r="E2162" s="81" t="s">
        <v>187</v>
      </c>
      <c r="F2162" s="81" t="s">
        <v>187</v>
      </c>
      <c r="G2162" s="81" t="s">
        <v>187</v>
      </c>
      <c r="H2162" s="81" t="s">
        <v>187</v>
      </c>
      <c r="I2162" s="81" t="s">
        <v>187</v>
      </c>
      <c r="J2162" s="81" t="s">
        <v>187</v>
      </c>
      <c r="K2162" s="81" t="s">
        <v>187</v>
      </c>
      <c r="L2162" s="81" t="s">
        <v>187</v>
      </c>
    </row>
    <row r="2163" ht="15.75" customHeight="1">
      <c r="A2163" s="262"/>
      <c r="B2163" s="262"/>
      <c r="C2163" s="263"/>
      <c r="D2163" s="262"/>
      <c r="E2163" s="81" t="s">
        <v>187</v>
      </c>
      <c r="F2163" s="81" t="s">
        <v>187</v>
      </c>
      <c r="G2163" s="81" t="s">
        <v>187</v>
      </c>
      <c r="H2163" s="81" t="s">
        <v>187</v>
      </c>
      <c r="I2163" s="81" t="s">
        <v>187</v>
      </c>
      <c r="J2163" s="81" t="s">
        <v>187</v>
      </c>
      <c r="K2163" s="81" t="s">
        <v>187</v>
      </c>
      <c r="L2163" s="81" t="s">
        <v>187</v>
      </c>
    </row>
    <row r="2164" ht="15.75" customHeight="1">
      <c r="A2164" s="262"/>
      <c r="B2164" s="262"/>
      <c r="C2164" s="263"/>
      <c r="D2164" s="262"/>
      <c r="E2164" s="81" t="s">
        <v>187</v>
      </c>
      <c r="F2164" s="81" t="s">
        <v>187</v>
      </c>
      <c r="G2164" s="81" t="s">
        <v>187</v>
      </c>
      <c r="H2164" s="81" t="s">
        <v>187</v>
      </c>
      <c r="I2164" s="81" t="s">
        <v>187</v>
      </c>
      <c r="J2164" s="81" t="s">
        <v>187</v>
      </c>
      <c r="K2164" s="81" t="s">
        <v>187</v>
      </c>
      <c r="L2164" s="81" t="s">
        <v>187</v>
      </c>
    </row>
    <row r="2165" ht="15.75" customHeight="1">
      <c r="A2165" s="262"/>
      <c r="B2165" s="262"/>
      <c r="C2165" s="263"/>
      <c r="D2165" s="262"/>
      <c r="E2165" s="81" t="s">
        <v>187</v>
      </c>
      <c r="F2165" s="81" t="s">
        <v>187</v>
      </c>
      <c r="G2165" s="81" t="s">
        <v>187</v>
      </c>
      <c r="H2165" s="81" t="s">
        <v>187</v>
      </c>
      <c r="I2165" s="81" t="s">
        <v>187</v>
      </c>
      <c r="J2165" s="81" t="s">
        <v>187</v>
      </c>
      <c r="K2165" s="81" t="s">
        <v>187</v>
      </c>
      <c r="L2165" s="81" t="s">
        <v>187</v>
      </c>
    </row>
    <row r="2166" ht="15.75" customHeight="1">
      <c r="A2166" s="262"/>
      <c r="B2166" s="262"/>
      <c r="C2166" s="263"/>
      <c r="D2166" s="262"/>
      <c r="E2166" s="81" t="s">
        <v>187</v>
      </c>
      <c r="F2166" s="81" t="s">
        <v>187</v>
      </c>
      <c r="G2166" s="81" t="s">
        <v>187</v>
      </c>
      <c r="H2166" s="81" t="s">
        <v>187</v>
      </c>
      <c r="I2166" s="81" t="s">
        <v>187</v>
      </c>
      <c r="J2166" s="81" t="s">
        <v>187</v>
      </c>
      <c r="K2166" s="81" t="s">
        <v>187</v>
      </c>
      <c r="L2166" s="81" t="s">
        <v>187</v>
      </c>
    </row>
    <row r="2167" ht="15.75" customHeight="1">
      <c r="A2167" s="262"/>
      <c r="B2167" s="262"/>
      <c r="C2167" s="263"/>
      <c r="D2167" s="262"/>
      <c r="E2167" s="81" t="s">
        <v>187</v>
      </c>
      <c r="F2167" s="81" t="s">
        <v>187</v>
      </c>
      <c r="G2167" s="81" t="s">
        <v>187</v>
      </c>
      <c r="H2167" s="81" t="s">
        <v>187</v>
      </c>
      <c r="I2167" s="81" t="s">
        <v>187</v>
      </c>
      <c r="J2167" s="81" t="s">
        <v>187</v>
      </c>
      <c r="K2167" s="81" t="s">
        <v>187</v>
      </c>
      <c r="L2167" s="81" t="s">
        <v>187</v>
      </c>
    </row>
    <row r="2168" ht="15.75" customHeight="1">
      <c r="A2168" s="262"/>
      <c r="B2168" s="262"/>
      <c r="C2168" s="263"/>
      <c r="D2168" s="262"/>
      <c r="E2168" s="81" t="s">
        <v>187</v>
      </c>
      <c r="F2168" s="81" t="s">
        <v>187</v>
      </c>
      <c r="G2168" s="81" t="s">
        <v>187</v>
      </c>
      <c r="H2168" s="81" t="s">
        <v>187</v>
      </c>
      <c r="I2168" s="81" t="s">
        <v>187</v>
      </c>
      <c r="J2168" s="81" t="s">
        <v>187</v>
      </c>
      <c r="K2168" s="81" t="s">
        <v>187</v>
      </c>
      <c r="L2168" s="81" t="s">
        <v>187</v>
      </c>
    </row>
    <row r="2169" ht="15.75" customHeight="1">
      <c r="A2169" s="262"/>
      <c r="B2169" s="262"/>
      <c r="C2169" s="263"/>
      <c r="D2169" s="262"/>
      <c r="E2169" s="81" t="s">
        <v>187</v>
      </c>
      <c r="F2169" s="81" t="s">
        <v>187</v>
      </c>
      <c r="G2169" s="81" t="s">
        <v>187</v>
      </c>
      <c r="H2169" s="81" t="s">
        <v>187</v>
      </c>
      <c r="I2169" s="81" t="s">
        <v>187</v>
      </c>
      <c r="J2169" s="81" t="s">
        <v>187</v>
      </c>
      <c r="K2169" s="81" t="s">
        <v>187</v>
      </c>
      <c r="L2169" s="81" t="s">
        <v>187</v>
      </c>
    </row>
    <row r="2170" ht="15.75" customHeight="1">
      <c r="A2170" s="262"/>
      <c r="B2170" s="262"/>
      <c r="C2170" s="263"/>
      <c r="D2170" s="262"/>
      <c r="E2170" s="81" t="s">
        <v>187</v>
      </c>
      <c r="F2170" s="81" t="s">
        <v>187</v>
      </c>
      <c r="G2170" s="81" t="s">
        <v>187</v>
      </c>
      <c r="H2170" s="81" t="s">
        <v>187</v>
      </c>
      <c r="I2170" s="81" t="s">
        <v>187</v>
      </c>
      <c r="J2170" s="81" t="s">
        <v>187</v>
      </c>
      <c r="K2170" s="81" t="s">
        <v>187</v>
      </c>
      <c r="L2170" s="81" t="s">
        <v>187</v>
      </c>
    </row>
    <row r="2171" ht="15.75" customHeight="1">
      <c r="A2171" s="262"/>
      <c r="B2171" s="262"/>
      <c r="C2171" s="263"/>
      <c r="D2171" s="262"/>
      <c r="E2171" s="81" t="s">
        <v>187</v>
      </c>
      <c r="F2171" s="81" t="s">
        <v>187</v>
      </c>
      <c r="G2171" s="81" t="s">
        <v>187</v>
      </c>
      <c r="H2171" s="81" t="s">
        <v>187</v>
      </c>
      <c r="I2171" s="81" t="s">
        <v>187</v>
      </c>
      <c r="J2171" s="81" t="s">
        <v>187</v>
      </c>
      <c r="K2171" s="81" t="s">
        <v>187</v>
      </c>
      <c r="L2171" s="81" t="s">
        <v>187</v>
      </c>
    </row>
    <row r="2172" ht="15.75" customHeight="1">
      <c r="A2172" s="262"/>
      <c r="B2172" s="262"/>
      <c r="C2172" s="263"/>
      <c r="D2172" s="262"/>
      <c r="E2172" s="81" t="s">
        <v>187</v>
      </c>
      <c r="F2172" s="81" t="s">
        <v>187</v>
      </c>
      <c r="G2172" s="81" t="s">
        <v>187</v>
      </c>
      <c r="H2172" s="81" t="s">
        <v>187</v>
      </c>
      <c r="I2172" s="81" t="s">
        <v>187</v>
      </c>
      <c r="J2172" s="81" t="s">
        <v>187</v>
      </c>
      <c r="K2172" s="81" t="s">
        <v>187</v>
      </c>
      <c r="L2172" s="81" t="s">
        <v>187</v>
      </c>
    </row>
    <row r="2173" ht="15.75" customHeight="1">
      <c r="A2173" s="262"/>
      <c r="B2173" s="262"/>
      <c r="C2173" s="263"/>
      <c r="D2173" s="262"/>
      <c r="E2173" s="81" t="s">
        <v>187</v>
      </c>
      <c r="F2173" s="81" t="s">
        <v>187</v>
      </c>
      <c r="G2173" s="81" t="s">
        <v>187</v>
      </c>
      <c r="H2173" s="81" t="s">
        <v>187</v>
      </c>
      <c r="I2173" s="81" t="s">
        <v>187</v>
      </c>
      <c r="J2173" s="81" t="s">
        <v>187</v>
      </c>
      <c r="K2173" s="81" t="s">
        <v>187</v>
      </c>
      <c r="L2173" s="81" t="s">
        <v>187</v>
      </c>
    </row>
    <row r="2174" ht="15.75" customHeight="1">
      <c r="A2174" s="262"/>
      <c r="B2174" s="262"/>
      <c r="C2174" s="263"/>
      <c r="D2174" s="262"/>
      <c r="E2174" s="81" t="s">
        <v>187</v>
      </c>
      <c r="F2174" s="81" t="s">
        <v>187</v>
      </c>
      <c r="G2174" s="81" t="s">
        <v>187</v>
      </c>
      <c r="H2174" s="81" t="s">
        <v>187</v>
      </c>
      <c r="I2174" s="81" t="s">
        <v>187</v>
      </c>
      <c r="J2174" s="81" t="s">
        <v>187</v>
      </c>
      <c r="K2174" s="81" t="s">
        <v>187</v>
      </c>
      <c r="L2174" s="81" t="s">
        <v>187</v>
      </c>
    </row>
    <row r="2175" ht="15.75" customHeight="1">
      <c r="A2175" s="262"/>
      <c r="B2175" s="262"/>
      <c r="C2175" s="263"/>
      <c r="D2175" s="262"/>
      <c r="E2175" s="81" t="s">
        <v>187</v>
      </c>
      <c r="F2175" s="81" t="s">
        <v>187</v>
      </c>
      <c r="G2175" s="81" t="s">
        <v>187</v>
      </c>
      <c r="H2175" s="81" t="s">
        <v>187</v>
      </c>
      <c r="I2175" s="81" t="s">
        <v>187</v>
      </c>
      <c r="J2175" s="81" t="s">
        <v>187</v>
      </c>
      <c r="K2175" s="81" t="s">
        <v>187</v>
      </c>
      <c r="L2175" s="81" t="s">
        <v>187</v>
      </c>
    </row>
    <row r="2176" ht="15.75" customHeight="1">
      <c r="A2176" s="262"/>
      <c r="B2176" s="262"/>
      <c r="C2176" s="263"/>
      <c r="D2176" s="262"/>
      <c r="E2176" s="81" t="s">
        <v>187</v>
      </c>
      <c r="F2176" s="81" t="s">
        <v>187</v>
      </c>
      <c r="G2176" s="81" t="s">
        <v>187</v>
      </c>
      <c r="H2176" s="81" t="s">
        <v>187</v>
      </c>
      <c r="I2176" s="81" t="s">
        <v>187</v>
      </c>
      <c r="J2176" s="81" t="s">
        <v>187</v>
      </c>
      <c r="K2176" s="81" t="s">
        <v>187</v>
      </c>
      <c r="L2176" s="81" t="s">
        <v>187</v>
      </c>
    </row>
    <row r="2177" ht="15.75" customHeight="1">
      <c r="A2177" s="262"/>
      <c r="B2177" s="262"/>
      <c r="C2177" s="263"/>
      <c r="D2177" s="262"/>
      <c r="E2177" s="81" t="s">
        <v>187</v>
      </c>
      <c r="F2177" s="81" t="s">
        <v>187</v>
      </c>
      <c r="G2177" s="81" t="s">
        <v>187</v>
      </c>
      <c r="H2177" s="81" t="s">
        <v>187</v>
      </c>
      <c r="I2177" s="81" t="s">
        <v>187</v>
      </c>
      <c r="J2177" s="81" t="s">
        <v>187</v>
      </c>
      <c r="K2177" s="81" t="s">
        <v>187</v>
      </c>
      <c r="L2177" s="81" t="s">
        <v>187</v>
      </c>
    </row>
    <row r="2178" ht="15.75" customHeight="1">
      <c r="A2178" s="262"/>
      <c r="B2178" s="262"/>
      <c r="C2178" s="263"/>
      <c r="D2178" s="262"/>
      <c r="E2178" s="81" t="s">
        <v>187</v>
      </c>
      <c r="F2178" s="81" t="s">
        <v>187</v>
      </c>
      <c r="G2178" s="81" t="s">
        <v>187</v>
      </c>
      <c r="H2178" s="81" t="s">
        <v>187</v>
      </c>
      <c r="I2178" s="81" t="s">
        <v>187</v>
      </c>
      <c r="J2178" s="81" t="s">
        <v>187</v>
      </c>
      <c r="K2178" s="81" t="s">
        <v>187</v>
      </c>
      <c r="L2178" s="81" t="s">
        <v>187</v>
      </c>
    </row>
    <row r="2179" ht="15.75" customHeight="1">
      <c r="A2179" s="262"/>
      <c r="B2179" s="262"/>
      <c r="C2179" s="263"/>
      <c r="D2179" s="262"/>
      <c r="E2179" s="81" t="s">
        <v>187</v>
      </c>
      <c r="F2179" s="81" t="s">
        <v>187</v>
      </c>
      <c r="G2179" s="81" t="s">
        <v>187</v>
      </c>
      <c r="H2179" s="81" t="s">
        <v>187</v>
      </c>
      <c r="I2179" s="81" t="s">
        <v>187</v>
      </c>
      <c r="J2179" s="81" t="s">
        <v>187</v>
      </c>
      <c r="K2179" s="81" t="s">
        <v>187</v>
      </c>
      <c r="L2179" s="81" t="s">
        <v>187</v>
      </c>
    </row>
    <row r="2180" ht="15.75" customHeight="1">
      <c r="A2180" s="262"/>
      <c r="B2180" s="262"/>
      <c r="C2180" s="263"/>
      <c r="D2180" s="262"/>
      <c r="E2180" s="81" t="s">
        <v>187</v>
      </c>
      <c r="F2180" s="81" t="s">
        <v>187</v>
      </c>
      <c r="G2180" s="81" t="s">
        <v>187</v>
      </c>
      <c r="H2180" s="81" t="s">
        <v>187</v>
      </c>
      <c r="I2180" s="81" t="s">
        <v>187</v>
      </c>
      <c r="J2180" s="81" t="s">
        <v>187</v>
      </c>
      <c r="K2180" s="81" t="s">
        <v>187</v>
      </c>
      <c r="L2180" s="81" t="s">
        <v>187</v>
      </c>
    </row>
    <row r="2181" ht="15.75" customHeight="1">
      <c r="A2181" s="262"/>
      <c r="B2181" s="262"/>
      <c r="C2181" s="263"/>
      <c r="D2181" s="262"/>
      <c r="E2181" s="81" t="s">
        <v>187</v>
      </c>
      <c r="F2181" s="81" t="s">
        <v>187</v>
      </c>
      <c r="G2181" s="81" t="s">
        <v>187</v>
      </c>
      <c r="H2181" s="81" t="s">
        <v>187</v>
      </c>
      <c r="I2181" s="81" t="s">
        <v>187</v>
      </c>
      <c r="J2181" s="81" t="s">
        <v>187</v>
      </c>
      <c r="K2181" s="81" t="s">
        <v>187</v>
      </c>
      <c r="L2181" s="81" t="s">
        <v>187</v>
      </c>
    </row>
    <row r="2182" ht="15.75" customHeight="1">
      <c r="A2182" s="262"/>
      <c r="B2182" s="262"/>
      <c r="C2182" s="263"/>
      <c r="D2182" s="262"/>
      <c r="E2182" s="81" t="s">
        <v>187</v>
      </c>
      <c r="F2182" s="81" t="s">
        <v>187</v>
      </c>
      <c r="G2182" s="81" t="s">
        <v>187</v>
      </c>
      <c r="H2182" s="81" t="s">
        <v>187</v>
      </c>
      <c r="I2182" s="81" t="s">
        <v>187</v>
      </c>
      <c r="J2182" s="81" t="s">
        <v>187</v>
      </c>
      <c r="K2182" s="81" t="s">
        <v>187</v>
      </c>
      <c r="L2182" s="81" t="s">
        <v>187</v>
      </c>
    </row>
    <row r="2183" ht="15.75" customHeight="1">
      <c r="A2183" s="262"/>
      <c r="B2183" s="262"/>
      <c r="C2183" s="263"/>
      <c r="D2183" s="262"/>
      <c r="E2183" s="81" t="s">
        <v>187</v>
      </c>
      <c r="F2183" s="81" t="s">
        <v>187</v>
      </c>
      <c r="G2183" s="81" t="s">
        <v>187</v>
      </c>
      <c r="H2183" s="81" t="s">
        <v>187</v>
      </c>
      <c r="I2183" s="81" t="s">
        <v>187</v>
      </c>
      <c r="J2183" s="81" t="s">
        <v>187</v>
      </c>
      <c r="K2183" s="81" t="s">
        <v>187</v>
      </c>
      <c r="L2183" s="81" t="s">
        <v>187</v>
      </c>
    </row>
    <row r="2184" ht="15.75" customHeight="1">
      <c r="A2184" s="262"/>
      <c r="B2184" s="262"/>
      <c r="C2184" s="263"/>
      <c r="D2184" s="262"/>
      <c r="E2184" s="81" t="s">
        <v>187</v>
      </c>
      <c r="F2184" s="81" t="s">
        <v>187</v>
      </c>
      <c r="G2184" s="81" t="s">
        <v>187</v>
      </c>
      <c r="H2184" s="81" t="s">
        <v>187</v>
      </c>
      <c r="I2184" s="81" t="s">
        <v>187</v>
      </c>
      <c r="J2184" s="81" t="s">
        <v>187</v>
      </c>
      <c r="K2184" s="81" t="s">
        <v>187</v>
      </c>
      <c r="L2184" s="81" t="s">
        <v>187</v>
      </c>
    </row>
    <row r="2185" ht="15.75" customHeight="1">
      <c r="A2185" s="262"/>
      <c r="B2185" s="262"/>
      <c r="C2185" s="263"/>
      <c r="D2185" s="262"/>
      <c r="E2185" s="81" t="s">
        <v>187</v>
      </c>
      <c r="F2185" s="81" t="s">
        <v>187</v>
      </c>
      <c r="G2185" s="81" t="s">
        <v>187</v>
      </c>
      <c r="H2185" s="81" t="s">
        <v>187</v>
      </c>
      <c r="I2185" s="81" t="s">
        <v>187</v>
      </c>
      <c r="J2185" s="81" t="s">
        <v>187</v>
      </c>
      <c r="K2185" s="81" t="s">
        <v>187</v>
      </c>
      <c r="L2185" s="81" t="s">
        <v>187</v>
      </c>
    </row>
    <row r="2186" ht="15.75" customHeight="1">
      <c r="A2186" s="262"/>
      <c r="B2186" s="262"/>
      <c r="C2186" s="263"/>
      <c r="D2186" s="262"/>
      <c r="E2186" s="81" t="s">
        <v>187</v>
      </c>
      <c r="F2186" s="81" t="s">
        <v>187</v>
      </c>
      <c r="G2186" s="81" t="s">
        <v>187</v>
      </c>
      <c r="H2186" s="81" t="s">
        <v>187</v>
      </c>
      <c r="I2186" s="81" t="s">
        <v>187</v>
      </c>
      <c r="J2186" s="81" t="s">
        <v>187</v>
      </c>
      <c r="K2186" s="81" t="s">
        <v>187</v>
      </c>
      <c r="L2186" s="81" t="s">
        <v>187</v>
      </c>
    </row>
    <row r="2187" ht="15.75" customHeight="1">
      <c r="A2187" s="262"/>
      <c r="B2187" s="262"/>
      <c r="C2187" s="263"/>
      <c r="D2187" s="262"/>
      <c r="E2187" s="81" t="s">
        <v>187</v>
      </c>
      <c r="F2187" s="81" t="s">
        <v>187</v>
      </c>
      <c r="G2187" s="81" t="s">
        <v>187</v>
      </c>
      <c r="H2187" s="81" t="s">
        <v>187</v>
      </c>
      <c r="I2187" s="81" t="s">
        <v>187</v>
      </c>
      <c r="J2187" s="81" t="s">
        <v>187</v>
      </c>
      <c r="K2187" s="81" t="s">
        <v>187</v>
      </c>
      <c r="L2187" s="81" t="s">
        <v>187</v>
      </c>
    </row>
    <row r="2188" ht="15.75" customHeight="1">
      <c r="A2188" s="262"/>
      <c r="B2188" s="262"/>
      <c r="C2188" s="263"/>
      <c r="D2188" s="262"/>
      <c r="E2188" s="81" t="s">
        <v>187</v>
      </c>
      <c r="F2188" s="81" t="s">
        <v>187</v>
      </c>
      <c r="G2188" s="81" t="s">
        <v>187</v>
      </c>
      <c r="H2188" s="81" t="s">
        <v>187</v>
      </c>
      <c r="I2188" s="81" t="s">
        <v>187</v>
      </c>
      <c r="J2188" s="81" t="s">
        <v>187</v>
      </c>
      <c r="K2188" s="81" t="s">
        <v>187</v>
      </c>
      <c r="L2188" s="81" t="s">
        <v>187</v>
      </c>
    </row>
    <row r="2189" ht="15.75" customHeight="1">
      <c r="A2189" s="262"/>
      <c r="B2189" s="262"/>
      <c r="C2189" s="263"/>
      <c r="D2189" s="262"/>
      <c r="E2189" s="81" t="s">
        <v>187</v>
      </c>
      <c r="F2189" s="81" t="s">
        <v>187</v>
      </c>
      <c r="G2189" s="81" t="s">
        <v>187</v>
      </c>
      <c r="H2189" s="81" t="s">
        <v>187</v>
      </c>
      <c r="I2189" s="81" t="s">
        <v>187</v>
      </c>
      <c r="J2189" s="81" t="s">
        <v>187</v>
      </c>
      <c r="K2189" s="81" t="s">
        <v>187</v>
      </c>
      <c r="L2189" s="81" t="s">
        <v>187</v>
      </c>
    </row>
    <row r="2190" ht="15.75" customHeight="1">
      <c r="A2190" s="262"/>
      <c r="B2190" s="262"/>
      <c r="C2190" s="263"/>
      <c r="D2190" s="262"/>
      <c r="E2190" s="81" t="s">
        <v>187</v>
      </c>
      <c r="F2190" s="81" t="s">
        <v>187</v>
      </c>
      <c r="G2190" s="81" t="s">
        <v>187</v>
      </c>
      <c r="H2190" s="81" t="s">
        <v>187</v>
      </c>
      <c r="I2190" s="81" t="s">
        <v>187</v>
      </c>
      <c r="J2190" s="81" t="s">
        <v>187</v>
      </c>
      <c r="K2190" s="81" t="s">
        <v>187</v>
      </c>
      <c r="L2190" s="81" t="s">
        <v>187</v>
      </c>
    </row>
    <row r="2191" ht="15.75" customHeight="1">
      <c r="A2191" s="262"/>
      <c r="B2191" s="262"/>
      <c r="C2191" s="263"/>
      <c r="D2191" s="262"/>
      <c r="E2191" s="81" t="s">
        <v>187</v>
      </c>
      <c r="F2191" s="81" t="s">
        <v>187</v>
      </c>
      <c r="G2191" s="81" t="s">
        <v>187</v>
      </c>
      <c r="H2191" s="81" t="s">
        <v>187</v>
      </c>
      <c r="I2191" s="81" t="s">
        <v>187</v>
      </c>
      <c r="J2191" s="81" t="s">
        <v>187</v>
      </c>
      <c r="K2191" s="81" t="s">
        <v>187</v>
      </c>
      <c r="L2191" s="81" t="s">
        <v>187</v>
      </c>
    </row>
    <row r="2192" ht="15.75" customHeight="1">
      <c r="A2192" s="262"/>
      <c r="B2192" s="262"/>
      <c r="C2192" s="263"/>
      <c r="D2192" s="262"/>
      <c r="E2192" s="81" t="s">
        <v>187</v>
      </c>
      <c r="F2192" s="81" t="s">
        <v>187</v>
      </c>
      <c r="G2192" s="81" t="s">
        <v>187</v>
      </c>
      <c r="H2192" s="81" t="s">
        <v>187</v>
      </c>
      <c r="I2192" s="81" t="s">
        <v>187</v>
      </c>
      <c r="J2192" s="81" t="s">
        <v>187</v>
      </c>
      <c r="K2192" s="81" t="s">
        <v>187</v>
      </c>
      <c r="L2192" s="81" t="s">
        <v>187</v>
      </c>
    </row>
    <row r="2193" ht="15.75" customHeight="1">
      <c r="A2193" s="262"/>
      <c r="B2193" s="262"/>
      <c r="C2193" s="263"/>
      <c r="D2193" s="262"/>
      <c r="E2193" s="81" t="s">
        <v>187</v>
      </c>
      <c r="F2193" s="81" t="s">
        <v>187</v>
      </c>
      <c r="G2193" s="81" t="s">
        <v>187</v>
      </c>
      <c r="H2193" s="81" t="s">
        <v>187</v>
      </c>
      <c r="I2193" s="81" t="s">
        <v>187</v>
      </c>
      <c r="J2193" s="81" t="s">
        <v>187</v>
      </c>
      <c r="K2193" s="81" t="s">
        <v>187</v>
      </c>
      <c r="L2193" s="81" t="s">
        <v>187</v>
      </c>
    </row>
    <row r="2194" ht="15.75" customHeight="1">
      <c r="A2194" s="262"/>
      <c r="B2194" s="262"/>
      <c r="C2194" s="263"/>
      <c r="D2194" s="262"/>
      <c r="E2194" s="81" t="s">
        <v>187</v>
      </c>
      <c r="F2194" s="81" t="s">
        <v>187</v>
      </c>
      <c r="G2194" s="81" t="s">
        <v>187</v>
      </c>
      <c r="H2194" s="81" t="s">
        <v>187</v>
      </c>
      <c r="I2194" s="81" t="s">
        <v>187</v>
      </c>
      <c r="J2194" s="81" t="s">
        <v>187</v>
      </c>
      <c r="K2194" s="81" t="s">
        <v>187</v>
      </c>
      <c r="L2194" s="81" t="s">
        <v>187</v>
      </c>
    </row>
    <row r="2195" ht="15.75" customHeight="1">
      <c r="A2195" s="262"/>
      <c r="B2195" s="262"/>
      <c r="C2195" s="263"/>
      <c r="D2195" s="262"/>
      <c r="E2195" s="81" t="s">
        <v>187</v>
      </c>
      <c r="F2195" s="81" t="s">
        <v>187</v>
      </c>
      <c r="G2195" s="81" t="s">
        <v>187</v>
      </c>
      <c r="H2195" s="81" t="s">
        <v>187</v>
      </c>
      <c r="I2195" s="81" t="s">
        <v>187</v>
      </c>
      <c r="J2195" s="81" t="s">
        <v>187</v>
      </c>
      <c r="K2195" s="81" t="s">
        <v>187</v>
      </c>
      <c r="L2195" s="81" t="s">
        <v>187</v>
      </c>
    </row>
    <row r="2196" ht="15.75" customHeight="1">
      <c r="A2196" s="262"/>
      <c r="B2196" s="262"/>
      <c r="C2196" s="263"/>
      <c r="D2196" s="262"/>
      <c r="E2196" s="81" t="s">
        <v>187</v>
      </c>
      <c r="F2196" s="81" t="s">
        <v>187</v>
      </c>
      <c r="G2196" s="81" t="s">
        <v>187</v>
      </c>
      <c r="H2196" s="81" t="s">
        <v>187</v>
      </c>
      <c r="I2196" s="81" t="s">
        <v>187</v>
      </c>
      <c r="J2196" s="81" t="s">
        <v>187</v>
      </c>
      <c r="K2196" s="81" t="s">
        <v>187</v>
      </c>
      <c r="L2196" s="81" t="s">
        <v>187</v>
      </c>
    </row>
    <row r="2197" ht="15.75" customHeight="1">
      <c r="A2197" s="262"/>
      <c r="B2197" s="262"/>
      <c r="C2197" s="263"/>
      <c r="D2197" s="262"/>
      <c r="E2197" s="81" t="s">
        <v>187</v>
      </c>
      <c r="F2197" s="81" t="s">
        <v>187</v>
      </c>
      <c r="G2197" s="81" t="s">
        <v>187</v>
      </c>
      <c r="H2197" s="81" t="s">
        <v>187</v>
      </c>
      <c r="I2197" s="81" t="s">
        <v>187</v>
      </c>
      <c r="J2197" s="81" t="s">
        <v>187</v>
      </c>
      <c r="K2197" s="81" t="s">
        <v>187</v>
      </c>
      <c r="L2197" s="81" t="s">
        <v>187</v>
      </c>
    </row>
    <row r="2198" ht="15.75" customHeight="1">
      <c r="A2198" s="262"/>
      <c r="B2198" s="262"/>
      <c r="C2198" s="263"/>
      <c r="D2198" s="262"/>
      <c r="E2198" s="81" t="s">
        <v>187</v>
      </c>
      <c r="F2198" s="81" t="s">
        <v>187</v>
      </c>
      <c r="G2198" s="81" t="s">
        <v>187</v>
      </c>
      <c r="H2198" s="81" t="s">
        <v>187</v>
      </c>
      <c r="I2198" s="81" t="s">
        <v>187</v>
      </c>
      <c r="J2198" s="81" t="s">
        <v>187</v>
      </c>
      <c r="K2198" s="81" t="s">
        <v>187</v>
      </c>
      <c r="L2198" s="81" t="s">
        <v>187</v>
      </c>
    </row>
    <row r="2199" ht="15.75" customHeight="1">
      <c r="A2199" s="262"/>
      <c r="B2199" s="262"/>
      <c r="C2199" s="263"/>
      <c r="D2199" s="262"/>
      <c r="E2199" s="81" t="s">
        <v>187</v>
      </c>
      <c r="F2199" s="81" t="s">
        <v>187</v>
      </c>
      <c r="G2199" s="81" t="s">
        <v>187</v>
      </c>
      <c r="H2199" s="81" t="s">
        <v>187</v>
      </c>
      <c r="I2199" s="81" t="s">
        <v>187</v>
      </c>
      <c r="J2199" s="81" t="s">
        <v>187</v>
      </c>
      <c r="K2199" s="81" t="s">
        <v>187</v>
      </c>
      <c r="L2199" s="81" t="s">
        <v>187</v>
      </c>
    </row>
    <row r="2200" ht="15.75" customHeight="1">
      <c r="A2200" s="262"/>
      <c r="B2200" s="262"/>
      <c r="C2200" s="263"/>
      <c r="D2200" s="262"/>
      <c r="E2200" s="81" t="s">
        <v>187</v>
      </c>
      <c r="F2200" s="81" t="s">
        <v>187</v>
      </c>
      <c r="G2200" s="81" t="s">
        <v>187</v>
      </c>
      <c r="H2200" s="81" t="s">
        <v>187</v>
      </c>
      <c r="I2200" s="81" t="s">
        <v>187</v>
      </c>
      <c r="J2200" s="81" t="s">
        <v>187</v>
      </c>
      <c r="K2200" s="81" t="s">
        <v>187</v>
      </c>
      <c r="L2200" s="81" t="s">
        <v>187</v>
      </c>
    </row>
    <row r="2201" ht="15.75" customHeight="1">
      <c r="A2201" s="262"/>
      <c r="B2201" s="262"/>
      <c r="C2201" s="263"/>
      <c r="D2201" s="262"/>
      <c r="E2201" s="81" t="s">
        <v>187</v>
      </c>
      <c r="F2201" s="81" t="s">
        <v>187</v>
      </c>
      <c r="G2201" s="81" t="s">
        <v>187</v>
      </c>
      <c r="H2201" s="81" t="s">
        <v>187</v>
      </c>
      <c r="I2201" s="81" t="s">
        <v>187</v>
      </c>
      <c r="J2201" s="81" t="s">
        <v>187</v>
      </c>
      <c r="K2201" s="81" t="s">
        <v>187</v>
      </c>
      <c r="L2201" s="81" t="s">
        <v>187</v>
      </c>
    </row>
    <row r="2202" ht="15.75" customHeight="1">
      <c r="A2202" s="262"/>
      <c r="B2202" s="262"/>
      <c r="C2202" s="263"/>
      <c r="D2202" s="262"/>
      <c r="E2202" s="81" t="s">
        <v>187</v>
      </c>
      <c r="F2202" s="81" t="s">
        <v>187</v>
      </c>
      <c r="G2202" s="81" t="s">
        <v>187</v>
      </c>
      <c r="H2202" s="81" t="s">
        <v>187</v>
      </c>
      <c r="I2202" s="81" t="s">
        <v>187</v>
      </c>
      <c r="J2202" s="81" t="s">
        <v>187</v>
      </c>
      <c r="K2202" s="81" t="s">
        <v>187</v>
      </c>
      <c r="L2202" s="81" t="s">
        <v>187</v>
      </c>
    </row>
    <row r="2203" ht="15.75" customHeight="1">
      <c r="A2203" s="262"/>
      <c r="B2203" s="262"/>
      <c r="C2203" s="263"/>
      <c r="D2203" s="262"/>
      <c r="E2203" s="81" t="s">
        <v>187</v>
      </c>
      <c r="F2203" s="81" t="s">
        <v>187</v>
      </c>
      <c r="G2203" s="81" t="s">
        <v>187</v>
      </c>
      <c r="H2203" s="81" t="s">
        <v>187</v>
      </c>
      <c r="I2203" s="81" t="s">
        <v>187</v>
      </c>
      <c r="J2203" s="81" t="s">
        <v>187</v>
      </c>
      <c r="K2203" s="81" t="s">
        <v>187</v>
      </c>
      <c r="L2203" s="81" t="s">
        <v>187</v>
      </c>
    </row>
    <row r="2204" ht="15.75" customHeight="1">
      <c r="A2204" s="262"/>
      <c r="B2204" s="262"/>
      <c r="C2204" s="263"/>
      <c r="D2204" s="262"/>
      <c r="E2204" s="81" t="s">
        <v>187</v>
      </c>
      <c r="F2204" s="81" t="s">
        <v>187</v>
      </c>
      <c r="G2204" s="81" t="s">
        <v>187</v>
      </c>
      <c r="H2204" s="81" t="s">
        <v>187</v>
      </c>
      <c r="I2204" s="81" t="s">
        <v>187</v>
      </c>
      <c r="J2204" s="81" t="s">
        <v>187</v>
      </c>
      <c r="K2204" s="81" t="s">
        <v>187</v>
      </c>
      <c r="L2204" s="81" t="s">
        <v>187</v>
      </c>
    </row>
    <row r="2205" ht="15.75" customHeight="1">
      <c r="A2205" s="262"/>
      <c r="B2205" s="262"/>
      <c r="C2205" s="263"/>
      <c r="D2205" s="262"/>
      <c r="E2205" s="81" t="s">
        <v>187</v>
      </c>
      <c r="F2205" s="81" t="s">
        <v>187</v>
      </c>
      <c r="G2205" s="81" t="s">
        <v>187</v>
      </c>
      <c r="H2205" s="81" t="s">
        <v>187</v>
      </c>
      <c r="I2205" s="81" t="s">
        <v>187</v>
      </c>
      <c r="J2205" s="81" t="s">
        <v>187</v>
      </c>
      <c r="K2205" s="81" t="s">
        <v>187</v>
      </c>
      <c r="L2205" s="81" t="s">
        <v>187</v>
      </c>
    </row>
    <row r="2206" ht="15.75" customHeight="1">
      <c r="A2206" s="262"/>
      <c r="B2206" s="262"/>
      <c r="C2206" s="263"/>
      <c r="D2206" s="262"/>
      <c r="E2206" s="81" t="s">
        <v>187</v>
      </c>
      <c r="F2206" s="81" t="s">
        <v>187</v>
      </c>
      <c r="G2206" s="81" t="s">
        <v>187</v>
      </c>
      <c r="H2206" s="81" t="s">
        <v>187</v>
      </c>
      <c r="I2206" s="81" t="s">
        <v>187</v>
      </c>
      <c r="J2206" s="81" t="s">
        <v>187</v>
      </c>
      <c r="K2206" s="81" t="s">
        <v>187</v>
      </c>
      <c r="L2206" s="81" t="s">
        <v>187</v>
      </c>
    </row>
    <row r="2207" ht="15.75" customHeight="1">
      <c r="A2207" s="262"/>
      <c r="B2207" s="262"/>
      <c r="C2207" s="263"/>
      <c r="D2207" s="262"/>
      <c r="E2207" s="81" t="s">
        <v>187</v>
      </c>
      <c r="F2207" s="81" t="s">
        <v>187</v>
      </c>
      <c r="G2207" s="81" t="s">
        <v>187</v>
      </c>
      <c r="H2207" s="81" t="s">
        <v>187</v>
      </c>
      <c r="I2207" s="81" t="s">
        <v>187</v>
      </c>
      <c r="J2207" s="81" t="s">
        <v>187</v>
      </c>
      <c r="K2207" s="81" t="s">
        <v>187</v>
      </c>
      <c r="L2207" s="81" t="s">
        <v>187</v>
      </c>
    </row>
    <row r="2208" ht="15.75" customHeight="1">
      <c r="A2208" s="262"/>
      <c r="B2208" s="262"/>
      <c r="C2208" s="263"/>
      <c r="D2208" s="262"/>
      <c r="E2208" s="81" t="s">
        <v>187</v>
      </c>
      <c r="F2208" s="81" t="s">
        <v>187</v>
      </c>
      <c r="G2208" s="81" t="s">
        <v>187</v>
      </c>
      <c r="H2208" s="81" t="s">
        <v>187</v>
      </c>
      <c r="I2208" s="81" t="s">
        <v>187</v>
      </c>
      <c r="J2208" s="81" t="s">
        <v>187</v>
      </c>
      <c r="K2208" s="81" t="s">
        <v>187</v>
      </c>
      <c r="L2208" s="81" t="s">
        <v>187</v>
      </c>
    </row>
    <row r="2209" ht="15.75" customHeight="1">
      <c r="A2209" s="262"/>
      <c r="B2209" s="262"/>
      <c r="C2209" s="263"/>
      <c r="D2209" s="262"/>
      <c r="E2209" s="81" t="s">
        <v>187</v>
      </c>
      <c r="F2209" s="81" t="s">
        <v>187</v>
      </c>
      <c r="G2209" s="81" t="s">
        <v>187</v>
      </c>
      <c r="H2209" s="81" t="s">
        <v>187</v>
      </c>
      <c r="I2209" s="81" t="s">
        <v>187</v>
      </c>
      <c r="J2209" s="81" t="s">
        <v>187</v>
      </c>
      <c r="K2209" s="81" t="s">
        <v>187</v>
      </c>
      <c r="L2209" s="81" t="s">
        <v>187</v>
      </c>
    </row>
    <row r="2210" ht="15.75" customHeight="1">
      <c r="A2210" s="262"/>
      <c r="B2210" s="262"/>
      <c r="C2210" s="263"/>
      <c r="D2210" s="262"/>
      <c r="E2210" s="81" t="s">
        <v>187</v>
      </c>
      <c r="F2210" s="81" t="s">
        <v>187</v>
      </c>
      <c r="G2210" s="81" t="s">
        <v>187</v>
      </c>
      <c r="H2210" s="81" t="s">
        <v>187</v>
      </c>
      <c r="I2210" s="81" t="s">
        <v>187</v>
      </c>
      <c r="J2210" s="81" t="s">
        <v>187</v>
      </c>
      <c r="K2210" s="81" t="s">
        <v>187</v>
      </c>
      <c r="L2210" s="81" t="s">
        <v>187</v>
      </c>
    </row>
    <row r="2211" ht="15.75" customHeight="1">
      <c r="A2211" s="262"/>
      <c r="B2211" s="262"/>
      <c r="C2211" s="263"/>
      <c r="D2211" s="262"/>
      <c r="E2211" s="81" t="s">
        <v>187</v>
      </c>
      <c r="F2211" s="81" t="s">
        <v>187</v>
      </c>
      <c r="G2211" s="81" t="s">
        <v>187</v>
      </c>
      <c r="H2211" s="81" t="s">
        <v>187</v>
      </c>
      <c r="I2211" s="81" t="s">
        <v>187</v>
      </c>
      <c r="J2211" s="81" t="s">
        <v>187</v>
      </c>
      <c r="K2211" s="81" t="s">
        <v>187</v>
      </c>
      <c r="L2211" s="81" t="s">
        <v>187</v>
      </c>
    </row>
    <row r="2212" ht="15.75" customHeight="1">
      <c r="A2212" s="262"/>
      <c r="B2212" s="262"/>
      <c r="C2212" s="263"/>
      <c r="D2212" s="262"/>
      <c r="E2212" s="81" t="s">
        <v>187</v>
      </c>
      <c r="F2212" s="81" t="s">
        <v>187</v>
      </c>
      <c r="G2212" s="81" t="s">
        <v>187</v>
      </c>
      <c r="H2212" s="81" t="s">
        <v>187</v>
      </c>
      <c r="I2212" s="81" t="s">
        <v>187</v>
      </c>
      <c r="J2212" s="81" t="s">
        <v>187</v>
      </c>
      <c r="K2212" s="81" t="s">
        <v>187</v>
      </c>
      <c r="L2212" s="81" t="s">
        <v>187</v>
      </c>
    </row>
    <row r="2213" ht="15.75" customHeight="1">
      <c r="A2213" s="262"/>
      <c r="B2213" s="262"/>
      <c r="C2213" s="263"/>
      <c r="D2213" s="262"/>
      <c r="E2213" s="81" t="s">
        <v>187</v>
      </c>
      <c r="F2213" s="81" t="s">
        <v>187</v>
      </c>
      <c r="G2213" s="81" t="s">
        <v>187</v>
      </c>
      <c r="H2213" s="81" t="s">
        <v>187</v>
      </c>
      <c r="I2213" s="81" t="s">
        <v>187</v>
      </c>
      <c r="J2213" s="81" t="s">
        <v>187</v>
      </c>
      <c r="K2213" s="81" t="s">
        <v>187</v>
      </c>
      <c r="L2213" s="81" t="s">
        <v>187</v>
      </c>
    </row>
    <row r="2214" ht="15.75" customHeight="1">
      <c r="A2214" s="262"/>
      <c r="B2214" s="262"/>
      <c r="C2214" s="263"/>
      <c r="D2214" s="262"/>
      <c r="E2214" s="81" t="s">
        <v>187</v>
      </c>
      <c r="F2214" s="81" t="s">
        <v>187</v>
      </c>
      <c r="G2214" s="81" t="s">
        <v>187</v>
      </c>
      <c r="H2214" s="81" t="s">
        <v>187</v>
      </c>
      <c r="I2214" s="81" t="s">
        <v>187</v>
      </c>
      <c r="J2214" s="81" t="s">
        <v>187</v>
      </c>
      <c r="K2214" s="81" t="s">
        <v>187</v>
      </c>
      <c r="L2214" s="81" t="s">
        <v>187</v>
      </c>
    </row>
    <row r="2215" ht="15.75" customHeight="1">
      <c r="A2215" s="262"/>
      <c r="B2215" s="262"/>
      <c r="C2215" s="263"/>
      <c r="D2215" s="262"/>
      <c r="E2215" s="81" t="s">
        <v>187</v>
      </c>
      <c r="F2215" s="81" t="s">
        <v>187</v>
      </c>
      <c r="G2215" s="81" t="s">
        <v>187</v>
      </c>
      <c r="H2215" s="81" t="s">
        <v>187</v>
      </c>
      <c r="I2215" s="81" t="s">
        <v>187</v>
      </c>
      <c r="J2215" s="81" t="s">
        <v>187</v>
      </c>
      <c r="K2215" s="81" t="s">
        <v>187</v>
      </c>
      <c r="L2215" s="81" t="s">
        <v>187</v>
      </c>
    </row>
    <row r="2216" ht="15.75" customHeight="1">
      <c r="A2216" s="262"/>
      <c r="B2216" s="262"/>
      <c r="C2216" s="263"/>
      <c r="D2216" s="262"/>
      <c r="E2216" s="81" t="s">
        <v>187</v>
      </c>
      <c r="F2216" s="81" t="s">
        <v>187</v>
      </c>
      <c r="G2216" s="81" t="s">
        <v>187</v>
      </c>
      <c r="H2216" s="81" t="s">
        <v>187</v>
      </c>
      <c r="I2216" s="81" t="s">
        <v>187</v>
      </c>
      <c r="J2216" s="81" t="s">
        <v>187</v>
      </c>
      <c r="K2216" s="81" t="s">
        <v>187</v>
      </c>
      <c r="L2216" s="81" t="s">
        <v>187</v>
      </c>
    </row>
    <row r="2217" ht="15.75" customHeight="1">
      <c r="A2217" s="262"/>
      <c r="B2217" s="262"/>
      <c r="C2217" s="263"/>
      <c r="D2217" s="262"/>
      <c r="E2217" s="81" t="s">
        <v>187</v>
      </c>
      <c r="F2217" s="81" t="s">
        <v>187</v>
      </c>
      <c r="G2217" s="81" t="s">
        <v>187</v>
      </c>
      <c r="H2217" s="81" t="s">
        <v>187</v>
      </c>
      <c r="I2217" s="81" t="s">
        <v>187</v>
      </c>
      <c r="J2217" s="81" t="s">
        <v>187</v>
      </c>
      <c r="K2217" s="81" t="s">
        <v>187</v>
      </c>
      <c r="L2217" s="81" t="s">
        <v>187</v>
      </c>
    </row>
    <row r="2218" ht="15.75" customHeight="1">
      <c r="A2218" s="262"/>
      <c r="B2218" s="262"/>
      <c r="C2218" s="263"/>
      <c r="D2218" s="262"/>
      <c r="E2218" s="81" t="s">
        <v>187</v>
      </c>
      <c r="F2218" s="81" t="s">
        <v>187</v>
      </c>
      <c r="G2218" s="81" t="s">
        <v>187</v>
      </c>
      <c r="H2218" s="81" t="s">
        <v>187</v>
      </c>
      <c r="I2218" s="81" t="s">
        <v>187</v>
      </c>
      <c r="J2218" s="81" t="s">
        <v>187</v>
      </c>
      <c r="K2218" s="81" t="s">
        <v>187</v>
      </c>
      <c r="L2218" s="81" t="s">
        <v>187</v>
      </c>
    </row>
    <row r="2219" ht="15.75" customHeight="1">
      <c r="A2219" s="262"/>
      <c r="B2219" s="262"/>
      <c r="C2219" s="263"/>
      <c r="D2219" s="262"/>
      <c r="E2219" s="81" t="s">
        <v>187</v>
      </c>
      <c r="F2219" s="81" t="s">
        <v>187</v>
      </c>
      <c r="G2219" s="81" t="s">
        <v>187</v>
      </c>
      <c r="H2219" s="81" t="s">
        <v>187</v>
      </c>
      <c r="I2219" s="81" t="s">
        <v>187</v>
      </c>
      <c r="J2219" s="81" t="s">
        <v>187</v>
      </c>
      <c r="K2219" s="81" t="s">
        <v>187</v>
      </c>
      <c r="L2219" s="81" t="s">
        <v>187</v>
      </c>
    </row>
    <row r="2220" ht="15.75" customHeight="1">
      <c r="A2220" s="262"/>
      <c r="B2220" s="262"/>
      <c r="C2220" s="263"/>
      <c r="D2220" s="262"/>
      <c r="E2220" s="81" t="s">
        <v>187</v>
      </c>
      <c r="F2220" s="81" t="s">
        <v>187</v>
      </c>
      <c r="G2220" s="81" t="s">
        <v>187</v>
      </c>
      <c r="H2220" s="81" t="s">
        <v>187</v>
      </c>
      <c r="I2220" s="81" t="s">
        <v>187</v>
      </c>
      <c r="J2220" s="81" t="s">
        <v>187</v>
      </c>
      <c r="K2220" s="81" t="s">
        <v>187</v>
      </c>
      <c r="L2220" s="81" t="s">
        <v>187</v>
      </c>
    </row>
    <row r="2221" ht="15.75" customHeight="1">
      <c r="A2221" s="262"/>
      <c r="B2221" s="262"/>
      <c r="C2221" s="263"/>
      <c r="D2221" s="262"/>
      <c r="E2221" s="81" t="s">
        <v>187</v>
      </c>
      <c r="F2221" s="81" t="s">
        <v>187</v>
      </c>
      <c r="G2221" s="81" t="s">
        <v>187</v>
      </c>
      <c r="H2221" s="81" t="s">
        <v>187</v>
      </c>
      <c r="I2221" s="81" t="s">
        <v>187</v>
      </c>
      <c r="J2221" s="81" t="s">
        <v>187</v>
      </c>
      <c r="K2221" s="81" t="s">
        <v>187</v>
      </c>
      <c r="L2221" s="81" t="s">
        <v>187</v>
      </c>
    </row>
    <row r="2222" ht="15.75" customHeight="1">
      <c r="A2222" s="262"/>
      <c r="B2222" s="262"/>
      <c r="C2222" s="263"/>
      <c r="D2222" s="262"/>
      <c r="E2222" s="81" t="s">
        <v>187</v>
      </c>
      <c r="F2222" s="81" t="s">
        <v>187</v>
      </c>
      <c r="G2222" s="81" t="s">
        <v>187</v>
      </c>
      <c r="H2222" s="81" t="s">
        <v>187</v>
      </c>
      <c r="I2222" s="81" t="s">
        <v>187</v>
      </c>
      <c r="J2222" s="81" t="s">
        <v>187</v>
      </c>
      <c r="K2222" s="81" t="s">
        <v>187</v>
      </c>
      <c r="L2222" s="81" t="s">
        <v>187</v>
      </c>
    </row>
    <row r="2223" ht="15.75" customHeight="1">
      <c r="A2223" s="262"/>
      <c r="B2223" s="262"/>
      <c r="C2223" s="263"/>
      <c r="D2223" s="262"/>
      <c r="E2223" s="81" t="s">
        <v>187</v>
      </c>
      <c r="F2223" s="81" t="s">
        <v>187</v>
      </c>
      <c r="G2223" s="81" t="s">
        <v>187</v>
      </c>
      <c r="H2223" s="81" t="s">
        <v>187</v>
      </c>
      <c r="I2223" s="81" t="s">
        <v>187</v>
      </c>
      <c r="J2223" s="81" t="s">
        <v>187</v>
      </c>
      <c r="K2223" s="81" t="s">
        <v>187</v>
      </c>
      <c r="L2223" s="81" t="s">
        <v>187</v>
      </c>
    </row>
    <row r="2224" ht="15.75" customHeight="1">
      <c r="A2224" s="262"/>
      <c r="B2224" s="262"/>
      <c r="C2224" s="263"/>
      <c r="D2224" s="262"/>
      <c r="E2224" s="81" t="s">
        <v>187</v>
      </c>
      <c r="F2224" s="81" t="s">
        <v>187</v>
      </c>
      <c r="G2224" s="81" t="s">
        <v>187</v>
      </c>
      <c r="H2224" s="81" t="s">
        <v>187</v>
      </c>
      <c r="I2224" s="81" t="s">
        <v>187</v>
      </c>
      <c r="J2224" s="81" t="s">
        <v>187</v>
      </c>
      <c r="K2224" s="81" t="s">
        <v>187</v>
      </c>
      <c r="L2224" s="81" t="s">
        <v>187</v>
      </c>
    </row>
    <row r="2225" ht="15.75" customHeight="1">
      <c r="A2225" s="262"/>
      <c r="B2225" s="262"/>
      <c r="C2225" s="263"/>
      <c r="D2225" s="262"/>
      <c r="E2225" s="81" t="s">
        <v>187</v>
      </c>
      <c r="F2225" s="81" t="s">
        <v>187</v>
      </c>
      <c r="G2225" s="81" t="s">
        <v>187</v>
      </c>
      <c r="H2225" s="81" t="s">
        <v>187</v>
      </c>
      <c r="I2225" s="81" t="s">
        <v>187</v>
      </c>
      <c r="J2225" s="81" t="s">
        <v>187</v>
      </c>
      <c r="K2225" s="81" t="s">
        <v>187</v>
      </c>
      <c r="L2225" s="81" t="s">
        <v>187</v>
      </c>
    </row>
    <row r="2226" ht="15.75" customHeight="1">
      <c r="A2226" s="262"/>
      <c r="B2226" s="262"/>
      <c r="C2226" s="263"/>
      <c r="D2226" s="262"/>
      <c r="E2226" s="81" t="s">
        <v>187</v>
      </c>
      <c r="F2226" s="81" t="s">
        <v>187</v>
      </c>
      <c r="G2226" s="81" t="s">
        <v>187</v>
      </c>
      <c r="H2226" s="81" t="s">
        <v>187</v>
      </c>
      <c r="I2226" s="81" t="s">
        <v>187</v>
      </c>
      <c r="J2226" s="81" t="s">
        <v>187</v>
      </c>
      <c r="K2226" s="81" t="s">
        <v>187</v>
      </c>
      <c r="L2226" s="81" t="s">
        <v>187</v>
      </c>
    </row>
    <row r="2227" ht="15.75" customHeight="1">
      <c r="A2227" s="262"/>
      <c r="B2227" s="262"/>
      <c r="C2227" s="263"/>
      <c r="D2227" s="262"/>
      <c r="E2227" s="81" t="s">
        <v>187</v>
      </c>
      <c r="F2227" s="81" t="s">
        <v>187</v>
      </c>
      <c r="G2227" s="81" t="s">
        <v>187</v>
      </c>
      <c r="H2227" s="81" t="s">
        <v>187</v>
      </c>
      <c r="I2227" s="81" t="s">
        <v>187</v>
      </c>
      <c r="J2227" s="81" t="s">
        <v>187</v>
      </c>
      <c r="K2227" s="81" t="s">
        <v>187</v>
      </c>
      <c r="L2227" s="81" t="s">
        <v>187</v>
      </c>
    </row>
    <row r="2228" ht="15.75" customHeight="1">
      <c r="A2228" s="262"/>
      <c r="B2228" s="262"/>
      <c r="C2228" s="263"/>
      <c r="D2228" s="262"/>
      <c r="E2228" s="81" t="s">
        <v>187</v>
      </c>
      <c r="F2228" s="81" t="s">
        <v>187</v>
      </c>
      <c r="G2228" s="81" t="s">
        <v>187</v>
      </c>
      <c r="H2228" s="81" t="s">
        <v>187</v>
      </c>
      <c r="I2228" s="81" t="s">
        <v>187</v>
      </c>
      <c r="J2228" s="81" t="s">
        <v>187</v>
      </c>
      <c r="K2228" s="81" t="s">
        <v>187</v>
      </c>
      <c r="L2228" s="81" t="s">
        <v>187</v>
      </c>
    </row>
    <row r="2229" ht="15.75" customHeight="1">
      <c r="A2229" s="262"/>
      <c r="B2229" s="262"/>
      <c r="C2229" s="263"/>
      <c r="D2229" s="262"/>
      <c r="E2229" s="81" t="s">
        <v>187</v>
      </c>
      <c r="F2229" s="81" t="s">
        <v>187</v>
      </c>
      <c r="G2229" s="81" t="s">
        <v>187</v>
      </c>
      <c r="H2229" s="81" t="s">
        <v>187</v>
      </c>
      <c r="I2229" s="81" t="s">
        <v>187</v>
      </c>
      <c r="J2229" s="81" t="s">
        <v>187</v>
      </c>
      <c r="K2229" s="81" t="s">
        <v>187</v>
      </c>
      <c r="L2229" s="81" t="s">
        <v>187</v>
      </c>
    </row>
    <row r="2230" ht="15.75" customHeight="1">
      <c r="A2230" s="262"/>
      <c r="B2230" s="262"/>
      <c r="C2230" s="263"/>
      <c r="D2230" s="262"/>
      <c r="E2230" s="81" t="s">
        <v>187</v>
      </c>
      <c r="F2230" s="81" t="s">
        <v>187</v>
      </c>
      <c r="G2230" s="81" t="s">
        <v>187</v>
      </c>
      <c r="H2230" s="81" t="s">
        <v>187</v>
      </c>
      <c r="I2230" s="81" t="s">
        <v>187</v>
      </c>
      <c r="J2230" s="81" t="s">
        <v>187</v>
      </c>
      <c r="K2230" s="81" t="s">
        <v>187</v>
      </c>
      <c r="L2230" s="81" t="s">
        <v>187</v>
      </c>
    </row>
    <row r="2231" ht="15.75" customHeight="1">
      <c r="A2231" s="262"/>
      <c r="B2231" s="262"/>
      <c r="C2231" s="263"/>
      <c r="D2231" s="262"/>
      <c r="E2231" s="81" t="s">
        <v>187</v>
      </c>
      <c r="F2231" s="81" t="s">
        <v>187</v>
      </c>
      <c r="G2231" s="81" t="s">
        <v>187</v>
      </c>
      <c r="H2231" s="81" t="s">
        <v>187</v>
      </c>
      <c r="I2231" s="81" t="s">
        <v>187</v>
      </c>
      <c r="J2231" s="81" t="s">
        <v>187</v>
      </c>
      <c r="K2231" s="81" t="s">
        <v>187</v>
      </c>
      <c r="L2231" s="81" t="s">
        <v>187</v>
      </c>
    </row>
    <row r="2232" ht="15.75" customHeight="1">
      <c r="A2232" s="262"/>
      <c r="B2232" s="262"/>
      <c r="C2232" s="263"/>
      <c r="D2232" s="262"/>
      <c r="E2232" s="81" t="s">
        <v>187</v>
      </c>
      <c r="F2232" s="81" t="s">
        <v>187</v>
      </c>
      <c r="G2232" s="81" t="s">
        <v>187</v>
      </c>
      <c r="H2232" s="81" t="s">
        <v>187</v>
      </c>
      <c r="I2232" s="81" t="s">
        <v>187</v>
      </c>
      <c r="J2232" s="81" t="s">
        <v>187</v>
      </c>
      <c r="K2232" s="81" t="s">
        <v>187</v>
      </c>
      <c r="L2232" s="81" t="s">
        <v>187</v>
      </c>
    </row>
    <row r="2233" ht="15.75" customHeight="1">
      <c r="A2233" s="262"/>
      <c r="B2233" s="262"/>
      <c r="C2233" s="263"/>
      <c r="D2233" s="262"/>
      <c r="E2233" s="81" t="s">
        <v>187</v>
      </c>
      <c r="F2233" s="81" t="s">
        <v>187</v>
      </c>
      <c r="G2233" s="81" t="s">
        <v>187</v>
      </c>
      <c r="H2233" s="81" t="s">
        <v>187</v>
      </c>
      <c r="I2233" s="81" t="s">
        <v>187</v>
      </c>
      <c r="J2233" s="81" t="s">
        <v>187</v>
      </c>
      <c r="K2233" s="81" t="s">
        <v>187</v>
      </c>
      <c r="L2233" s="81" t="s">
        <v>187</v>
      </c>
    </row>
    <row r="2234" ht="15.75" customHeight="1">
      <c r="A2234" s="262"/>
      <c r="B2234" s="262"/>
      <c r="C2234" s="263"/>
      <c r="D2234" s="262"/>
      <c r="E2234" s="81" t="s">
        <v>187</v>
      </c>
      <c r="F2234" s="81" t="s">
        <v>187</v>
      </c>
      <c r="G2234" s="81" t="s">
        <v>187</v>
      </c>
      <c r="H2234" s="81" t="s">
        <v>187</v>
      </c>
      <c r="I2234" s="81" t="s">
        <v>187</v>
      </c>
      <c r="J2234" s="81" t="s">
        <v>187</v>
      </c>
      <c r="K2234" s="81" t="s">
        <v>187</v>
      </c>
      <c r="L2234" s="81" t="s">
        <v>187</v>
      </c>
    </row>
    <row r="2235" ht="15.75" customHeight="1">
      <c r="A2235" s="262"/>
      <c r="B2235" s="262"/>
      <c r="C2235" s="263"/>
      <c r="D2235" s="262"/>
      <c r="E2235" s="81" t="s">
        <v>187</v>
      </c>
      <c r="F2235" s="81" t="s">
        <v>187</v>
      </c>
      <c r="G2235" s="81" t="s">
        <v>187</v>
      </c>
      <c r="H2235" s="81" t="s">
        <v>187</v>
      </c>
      <c r="I2235" s="81" t="s">
        <v>187</v>
      </c>
      <c r="J2235" s="81" t="s">
        <v>187</v>
      </c>
      <c r="K2235" s="81" t="s">
        <v>187</v>
      </c>
      <c r="L2235" s="81" t="s">
        <v>187</v>
      </c>
    </row>
    <row r="2236" ht="15.75" customHeight="1">
      <c r="A2236" s="262"/>
      <c r="B2236" s="262"/>
      <c r="C2236" s="263"/>
      <c r="D2236" s="262"/>
      <c r="E2236" s="81" t="s">
        <v>187</v>
      </c>
      <c r="F2236" s="81" t="s">
        <v>187</v>
      </c>
      <c r="G2236" s="81" t="s">
        <v>187</v>
      </c>
      <c r="H2236" s="81" t="s">
        <v>187</v>
      </c>
      <c r="I2236" s="81" t="s">
        <v>187</v>
      </c>
      <c r="J2236" s="81" t="s">
        <v>187</v>
      </c>
      <c r="K2236" s="81" t="s">
        <v>187</v>
      </c>
      <c r="L2236" s="81" t="s">
        <v>187</v>
      </c>
    </row>
    <row r="2237" ht="15.75" customHeight="1">
      <c r="A2237" s="262"/>
      <c r="B2237" s="262"/>
      <c r="C2237" s="263"/>
      <c r="D2237" s="262"/>
      <c r="E2237" s="81" t="s">
        <v>187</v>
      </c>
      <c r="F2237" s="81" t="s">
        <v>187</v>
      </c>
      <c r="G2237" s="81" t="s">
        <v>187</v>
      </c>
      <c r="H2237" s="81" t="s">
        <v>187</v>
      </c>
      <c r="I2237" s="81" t="s">
        <v>187</v>
      </c>
      <c r="J2237" s="81" t="s">
        <v>187</v>
      </c>
      <c r="K2237" s="81" t="s">
        <v>187</v>
      </c>
      <c r="L2237" s="81" t="s">
        <v>187</v>
      </c>
    </row>
    <row r="2238" ht="15.75" customHeight="1">
      <c r="A2238" s="262"/>
      <c r="B2238" s="262"/>
      <c r="C2238" s="263"/>
      <c r="D2238" s="262"/>
      <c r="E2238" s="81" t="s">
        <v>187</v>
      </c>
      <c r="F2238" s="81" t="s">
        <v>187</v>
      </c>
      <c r="G2238" s="81" t="s">
        <v>187</v>
      </c>
      <c r="H2238" s="81" t="s">
        <v>187</v>
      </c>
      <c r="I2238" s="81" t="s">
        <v>187</v>
      </c>
      <c r="J2238" s="81" t="s">
        <v>187</v>
      </c>
      <c r="K2238" s="81" t="s">
        <v>187</v>
      </c>
      <c r="L2238" s="81" t="s">
        <v>187</v>
      </c>
    </row>
    <row r="2239" ht="15.75" customHeight="1">
      <c r="A2239" s="262"/>
      <c r="B2239" s="262"/>
      <c r="C2239" s="263"/>
      <c r="D2239" s="262"/>
      <c r="E2239" s="81" t="s">
        <v>187</v>
      </c>
      <c r="F2239" s="81" t="s">
        <v>187</v>
      </c>
      <c r="G2239" s="81" t="s">
        <v>187</v>
      </c>
      <c r="H2239" s="81" t="s">
        <v>187</v>
      </c>
      <c r="I2239" s="81" t="s">
        <v>187</v>
      </c>
      <c r="J2239" s="81" t="s">
        <v>187</v>
      </c>
      <c r="K2239" s="81" t="s">
        <v>187</v>
      </c>
      <c r="L2239" s="81" t="s">
        <v>187</v>
      </c>
    </row>
    <row r="2240" ht="15.75" customHeight="1">
      <c r="A2240" s="262"/>
      <c r="B2240" s="262"/>
      <c r="C2240" s="263"/>
      <c r="D2240" s="262"/>
      <c r="E2240" s="81" t="s">
        <v>187</v>
      </c>
      <c r="F2240" s="81" t="s">
        <v>187</v>
      </c>
      <c r="G2240" s="81" t="s">
        <v>187</v>
      </c>
      <c r="H2240" s="81" t="s">
        <v>187</v>
      </c>
      <c r="I2240" s="81" t="s">
        <v>187</v>
      </c>
      <c r="J2240" s="81" t="s">
        <v>187</v>
      </c>
      <c r="K2240" s="81" t="s">
        <v>187</v>
      </c>
      <c r="L2240" s="81" t="s">
        <v>187</v>
      </c>
    </row>
    <row r="2241" ht="15.75" customHeight="1">
      <c r="A2241" s="262"/>
      <c r="B2241" s="262"/>
      <c r="C2241" s="263"/>
      <c r="D2241" s="262"/>
      <c r="E2241" s="81" t="s">
        <v>187</v>
      </c>
      <c r="F2241" s="81" t="s">
        <v>187</v>
      </c>
      <c r="G2241" s="81" t="s">
        <v>187</v>
      </c>
      <c r="H2241" s="81" t="s">
        <v>187</v>
      </c>
      <c r="I2241" s="81" t="s">
        <v>187</v>
      </c>
      <c r="J2241" s="81" t="s">
        <v>187</v>
      </c>
      <c r="K2241" s="81" t="s">
        <v>187</v>
      </c>
      <c r="L2241" s="81" t="s">
        <v>187</v>
      </c>
    </row>
    <row r="2242" ht="15.75" customHeight="1">
      <c r="A2242" s="262"/>
      <c r="B2242" s="262"/>
      <c r="C2242" s="263"/>
      <c r="D2242" s="262"/>
      <c r="E2242" s="81" t="s">
        <v>187</v>
      </c>
      <c r="F2242" s="81" t="s">
        <v>187</v>
      </c>
      <c r="G2242" s="81" t="s">
        <v>187</v>
      </c>
      <c r="H2242" s="81" t="s">
        <v>187</v>
      </c>
      <c r="I2242" s="81" t="s">
        <v>187</v>
      </c>
      <c r="J2242" s="81" t="s">
        <v>187</v>
      </c>
      <c r="K2242" s="81" t="s">
        <v>187</v>
      </c>
      <c r="L2242" s="81" t="s">
        <v>187</v>
      </c>
    </row>
    <row r="2243" ht="15.75" customHeight="1">
      <c r="A2243" s="262"/>
      <c r="B2243" s="262"/>
      <c r="C2243" s="263"/>
      <c r="D2243" s="262"/>
      <c r="E2243" s="81" t="s">
        <v>187</v>
      </c>
      <c r="F2243" s="81" t="s">
        <v>187</v>
      </c>
      <c r="G2243" s="81" t="s">
        <v>187</v>
      </c>
      <c r="H2243" s="81" t="s">
        <v>187</v>
      </c>
      <c r="I2243" s="81" t="s">
        <v>187</v>
      </c>
      <c r="J2243" s="81" t="s">
        <v>187</v>
      </c>
      <c r="K2243" s="81" t="s">
        <v>187</v>
      </c>
      <c r="L2243" s="81" t="s">
        <v>187</v>
      </c>
    </row>
    <row r="2244" ht="15.75" customHeight="1">
      <c r="A2244" s="262"/>
      <c r="B2244" s="262"/>
      <c r="C2244" s="263"/>
      <c r="D2244" s="262"/>
      <c r="E2244" s="81" t="s">
        <v>187</v>
      </c>
      <c r="F2244" s="81" t="s">
        <v>187</v>
      </c>
      <c r="G2244" s="81" t="s">
        <v>187</v>
      </c>
      <c r="H2244" s="81" t="s">
        <v>187</v>
      </c>
      <c r="I2244" s="81" t="s">
        <v>187</v>
      </c>
      <c r="J2244" s="81" t="s">
        <v>187</v>
      </c>
      <c r="K2244" s="81" t="s">
        <v>187</v>
      </c>
      <c r="L2244" s="81" t="s">
        <v>187</v>
      </c>
    </row>
    <row r="2245" ht="15.75" customHeight="1">
      <c r="A2245" s="262"/>
      <c r="B2245" s="262"/>
      <c r="C2245" s="263"/>
      <c r="D2245" s="262"/>
      <c r="E2245" s="81" t="s">
        <v>187</v>
      </c>
      <c r="F2245" s="81" t="s">
        <v>187</v>
      </c>
      <c r="G2245" s="81" t="s">
        <v>187</v>
      </c>
      <c r="H2245" s="81" t="s">
        <v>187</v>
      </c>
      <c r="I2245" s="81" t="s">
        <v>187</v>
      </c>
      <c r="J2245" s="81" t="s">
        <v>187</v>
      </c>
      <c r="K2245" s="81" t="s">
        <v>187</v>
      </c>
      <c r="L2245" s="81" t="s">
        <v>187</v>
      </c>
    </row>
    <row r="2246" ht="15.75" customHeight="1">
      <c r="A2246" s="262"/>
      <c r="B2246" s="262"/>
      <c r="C2246" s="263"/>
      <c r="D2246" s="262"/>
      <c r="E2246" s="81" t="s">
        <v>187</v>
      </c>
      <c r="F2246" s="81" t="s">
        <v>187</v>
      </c>
      <c r="G2246" s="81" t="s">
        <v>187</v>
      </c>
      <c r="H2246" s="81" t="s">
        <v>187</v>
      </c>
      <c r="I2246" s="81" t="s">
        <v>187</v>
      </c>
      <c r="J2246" s="81" t="s">
        <v>187</v>
      </c>
      <c r="K2246" s="81" t="s">
        <v>187</v>
      </c>
      <c r="L2246" s="81" t="s">
        <v>187</v>
      </c>
    </row>
    <row r="2247" ht="15.75" customHeight="1">
      <c r="A2247" s="262"/>
      <c r="B2247" s="262"/>
      <c r="C2247" s="263"/>
      <c r="D2247" s="262"/>
      <c r="E2247" s="81" t="s">
        <v>187</v>
      </c>
      <c r="F2247" s="81" t="s">
        <v>187</v>
      </c>
      <c r="G2247" s="81" t="s">
        <v>187</v>
      </c>
      <c r="H2247" s="81" t="s">
        <v>187</v>
      </c>
      <c r="I2247" s="81" t="s">
        <v>187</v>
      </c>
      <c r="J2247" s="81" t="s">
        <v>187</v>
      </c>
      <c r="K2247" s="81" t="s">
        <v>187</v>
      </c>
      <c r="L2247" s="81" t="s">
        <v>187</v>
      </c>
    </row>
    <row r="2248" ht="15.75" customHeight="1">
      <c r="A2248" s="262"/>
      <c r="B2248" s="262"/>
      <c r="C2248" s="263"/>
      <c r="D2248" s="262"/>
      <c r="E2248" s="81" t="s">
        <v>187</v>
      </c>
      <c r="F2248" s="81" t="s">
        <v>187</v>
      </c>
      <c r="G2248" s="81" t="s">
        <v>187</v>
      </c>
      <c r="H2248" s="81" t="s">
        <v>187</v>
      </c>
      <c r="I2248" s="81" t="s">
        <v>187</v>
      </c>
      <c r="J2248" s="81" t="s">
        <v>187</v>
      </c>
      <c r="K2248" s="81" t="s">
        <v>187</v>
      </c>
      <c r="L2248" s="81" t="s">
        <v>187</v>
      </c>
    </row>
    <row r="2249" ht="15.75" customHeight="1">
      <c r="A2249" s="262"/>
      <c r="B2249" s="262"/>
      <c r="C2249" s="263"/>
      <c r="D2249" s="262"/>
      <c r="E2249" s="81" t="s">
        <v>187</v>
      </c>
      <c r="F2249" s="81" t="s">
        <v>187</v>
      </c>
      <c r="G2249" s="81" t="s">
        <v>187</v>
      </c>
      <c r="H2249" s="81" t="s">
        <v>187</v>
      </c>
      <c r="I2249" s="81" t="s">
        <v>187</v>
      </c>
      <c r="J2249" s="81" t="s">
        <v>187</v>
      </c>
      <c r="K2249" s="81" t="s">
        <v>187</v>
      </c>
      <c r="L2249" s="81" t="s">
        <v>187</v>
      </c>
    </row>
    <row r="2250" ht="15.75" customHeight="1">
      <c r="A2250" s="262"/>
      <c r="B2250" s="262"/>
      <c r="C2250" s="263"/>
      <c r="D2250" s="262"/>
      <c r="E2250" s="81" t="s">
        <v>187</v>
      </c>
      <c r="F2250" s="81" t="s">
        <v>187</v>
      </c>
      <c r="G2250" s="81" t="s">
        <v>187</v>
      </c>
      <c r="H2250" s="81" t="s">
        <v>187</v>
      </c>
      <c r="I2250" s="81" t="s">
        <v>187</v>
      </c>
      <c r="J2250" s="81" t="s">
        <v>187</v>
      </c>
      <c r="K2250" s="81" t="s">
        <v>187</v>
      </c>
      <c r="L2250" s="81" t="s">
        <v>187</v>
      </c>
    </row>
    <row r="2251" ht="15.75" customHeight="1">
      <c r="A2251" s="262"/>
      <c r="B2251" s="262"/>
      <c r="C2251" s="263"/>
      <c r="D2251" s="262"/>
      <c r="E2251" s="81" t="s">
        <v>187</v>
      </c>
      <c r="F2251" s="81" t="s">
        <v>187</v>
      </c>
      <c r="G2251" s="81" t="s">
        <v>187</v>
      </c>
      <c r="H2251" s="81" t="s">
        <v>187</v>
      </c>
      <c r="I2251" s="81" t="s">
        <v>187</v>
      </c>
      <c r="J2251" s="81" t="s">
        <v>187</v>
      </c>
      <c r="K2251" s="81" t="s">
        <v>187</v>
      </c>
      <c r="L2251" s="81" t="s">
        <v>187</v>
      </c>
    </row>
    <row r="2252" ht="15.75" customHeight="1">
      <c r="A2252" s="262"/>
      <c r="B2252" s="262"/>
      <c r="C2252" s="263"/>
      <c r="D2252" s="262"/>
      <c r="E2252" s="81" t="s">
        <v>187</v>
      </c>
      <c r="F2252" s="81" t="s">
        <v>187</v>
      </c>
      <c r="G2252" s="81" t="s">
        <v>187</v>
      </c>
      <c r="H2252" s="81" t="s">
        <v>187</v>
      </c>
      <c r="I2252" s="81" t="s">
        <v>187</v>
      </c>
      <c r="J2252" s="81" t="s">
        <v>187</v>
      </c>
      <c r="K2252" s="81" t="s">
        <v>187</v>
      </c>
      <c r="L2252" s="81" t="s">
        <v>187</v>
      </c>
    </row>
    <row r="2253" ht="15.75" customHeight="1">
      <c r="A2253" s="262"/>
      <c r="B2253" s="262"/>
      <c r="C2253" s="263"/>
      <c r="D2253" s="262"/>
      <c r="E2253" s="81" t="s">
        <v>187</v>
      </c>
      <c r="F2253" s="81" t="s">
        <v>187</v>
      </c>
      <c r="G2253" s="81" t="s">
        <v>187</v>
      </c>
      <c r="H2253" s="81" t="s">
        <v>187</v>
      </c>
      <c r="I2253" s="81" t="s">
        <v>187</v>
      </c>
      <c r="J2253" s="81" t="s">
        <v>187</v>
      </c>
      <c r="K2253" s="81" t="s">
        <v>187</v>
      </c>
      <c r="L2253" s="81" t="s">
        <v>187</v>
      </c>
    </row>
    <row r="2254" ht="15.75" customHeight="1">
      <c r="A2254" s="262"/>
      <c r="B2254" s="262"/>
      <c r="C2254" s="263"/>
      <c r="D2254" s="262"/>
      <c r="E2254" s="81" t="s">
        <v>187</v>
      </c>
      <c r="F2254" s="81" t="s">
        <v>187</v>
      </c>
      <c r="G2254" s="81" t="s">
        <v>187</v>
      </c>
      <c r="H2254" s="81" t="s">
        <v>187</v>
      </c>
      <c r="I2254" s="81" t="s">
        <v>187</v>
      </c>
      <c r="J2254" s="81" t="s">
        <v>187</v>
      </c>
      <c r="K2254" s="81" t="s">
        <v>187</v>
      </c>
      <c r="L2254" s="81" t="s">
        <v>187</v>
      </c>
    </row>
    <row r="2255" ht="15.75" customHeight="1">
      <c r="A2255" s="262"/>
      <c r="B2255" s="262"/>
      <c r="C2255" s="263"/>
      <c r="D2255" s="262"/>
      <c r="E2255" s="81" t="s">
        <v>187</v>
      </c>
      <c r="F2255" s="81" t="s">
        <v>187</v>
      </c>
      <c r="G2255" s="81" t="s">
        <v>187</v>
      </c>
      <c r="H2255" s="81" t="s">
        <v>187</v>
      </c>
      <c r="I2255" s="81" t="s">
        <v>187</v>
      </c>
      <c r="J2255" s="81" t="s">
        <v>187</v>
      </c>
      <c r="K2255" s="81" t="s">
        <v>187</v>
      </c>
      <c r="L2255" s="81" t="s">
        <v>187</v>
      </c>
    </row>
    <row r="2256" ht="15.75" customHeight="1">
      <c r="A2256" s="262"/>
      <c r="B2256" s="262"/>
      <c r="C2256" s="263"/>
      <c r="D2256" s="262"/>
      <c r="E2256" s="81" t="s">
        <v>187</v>
      </c>
      <c r="F2256" s="81" t="s">
        <v>187</v>
      </c>
      <c r="G2256" s="81" t="s">
        <v>187</v>
      </c>
      <c r="H2256" s="81" t="s">
        <v>187</v>
      </c>
      <c r="I2256" s="81" t="s">
        <v>187</v>
      </c>
      <c r="J2256" s="81" t="s">
        <v>187</v>
      </c>
      <c r="K2256" s="81" t="s">
        <v>187</v>
      </c>
      <c r="L2256" s="81" t="s">
        <v>187</v>
      </c>
    </row>
    <row r="2257" ht="15.75" customHeight="1">
      <c r="A2257" s="262"/>
      <c r="B2257" s="262"/>
      <c r="C2257" s="263"/>
      <c r="D2257" s="262"/>
      <c r="E2257" s="81" t="s">
        <v>187</v>
      </c>
      <c r="F2257" s="81" t="s">
        <v>187</v>
      </c>
      <c r="G2257" s="81" t="s">
        <v>187</v>
      </c>
      <c r="H2257" s="81" t="s">
        <v>187</v>
      </c>
      <c r="I2257" s="81" t="s">
        <v>187</v>
      </c>
      <c r="J2257" s="81" t="s">
        <v>187</v>
      </c>
      <c r="K2257" s="81" t="s">
        <v>187</v>
      </c>
      <c r="L2257" s="81" t="s">
        <v>187</v>
      </c>
    </row>
    <row r="2258" ht="15.75" customHeight="1">
      <c r="A2258" s="262"/>
      <c r="B2258" s="262"/>
      <c r="C2258" s="263"/>
      <c r="D2258" s="262"/>
      <c r="E2258" s="81" t="s">
        <v>187</v>
      </c>
      <c r="F2258" s="81" t="s">
        <v>187</v>
      </c>
      <c r="G2258" s="81" t="s">
        <v>187</v>
      </c>
      <c r="H2258" s="81" t="s">
        <v>187</v>
      </c>
      <c r="I2258" s="81" t="s">
        <v>187</v>
      </c>
      <c r="J2258" s="81" t="s">
        <v>187</v>
      </c>
      <c r="K2258" s="81" t="s">
        <v>187</v>
      </c>
      <c r="L2258" s="81" t="s">
        <v>187</v>
      </c>
    </row>
    <row r="2259" ht="15.75" customHeight="1">
      <c r="A2259" s="262"/>
      <c r="B2259" s="262"/>
      <c r="C2259" s="263"/>
      <c r="D2259" s="262"/>
      <c r="E2259" s="81" t="s">
        <v>187</v>
      </c>
      <c r="F2259" s="81" t="s">
        <v>187</v>
      </c>
      <c r="G2259" s="81" t="s">
        <v>187</v>
      </c>
      <c r="H2259" s="81" t="s">
        <v>187</v>
      </c>
      <c r="I2259" s="81" t="s">
        <v>187</v>
      </c>
      <c r="J2259" s="81" t="s">
        <v>187</v>
      </c>
      <c r="K2259" s="81" t="s">
        <v>187</v>
      </c>
      <c r="L2259" s="81" t="s">
        <v>187</v>
      </c>
    </row>
    <row r="2260" ht="15.75" customHeight="1">
      <c r="A2260" s="262"/>
      <c r="B2260" s="262"/>
      <c r="C2260" s="263"/>
      <c r="D2260" s="262"/>
      <c r="E2260" s="81" t="s">
        <v>187</v>
      </c>
      <c r="F2260" s="81" t="s">
        <v>187</v>
      </c>
      <c r="G2260" s="81" t="s">
        <v>187</v>
      </c>
      <c r="H2260" s="81" t="s">
        <v>187</v>
      </c>
      <c r="I2260" s="81" t="s">
        <v>187</v>
      </c>
      <c r="J2260" s="81" t="s">
        <v>187</v>
      </c>
      <c r="K2260" s="81" t="s">
        <v>187</v>
      </c>
      <c r="L2260" s="81" t="s">
        <v>187</v>
      </c>
    </row>
    <row r="2261" ht="15.75" customHeight="1">
      <c r="A2261" s="262"/>
      <c r="B2261" s="262"/>
      <c r="C2261" s="263"/>
      <c r="D2261" s="262"/>
      <c r="E2261" s="81" t="s">
        <v>187</v>
      </c>
      <c r="F2261" s="81" t="s">
        <v>187</v>
      </c>
      <c r="G2261" s="81" t="s">
        <v>187</v>
      </c>
      <c r="H2261" s="81" t="s">
        <v>187</v>
      </c>
      <c r="I2261" s="81" t="s">
        <v>187</v>
      </c>
      <c r="J2261" s="81" t="s">
        <v>187</v>
      </c>
      <c r="K2261" s="81" t="s">
        <v>187</v>
      </c>
      <c r="L2261" s="81" t="s">
        <v>187</v>
      </c>
    </row>
    <row r="2262" ht="15.75" customHeight="1">
      <c r="A2262" s="262"/>
      <c r="B2262" s="262"/>
      <c r="C2262" s="263"/>
      <c r="D2262" s="262"/>
      <c r="E2262" s="81" t="s">
        <v>187</v>
      </c>
      <c r="F2262" s="81" t="s">
        <v>187</v>
      </c>
      <c r="G2262" s="81" t="s">
        <v>187</v>
      </c>
      <c r="H2262" s="81" t="s">
        <v>187</v>
      </c>
      <c r="I2262" s="81" t="s">
        <v>187</v>
      </c>
      <c r="J2262" s="81" t="s">
        <v>187</v>
      </c>
      <c r="K2262" s="81" t="s">
        <v>187</v>
      </c>
      <c r="L2262" s="81" t="s">
        <v>187</v>
      </c>
    </row>
    <row r="2263" ht="15.75" customHeight="1">
      <c r="A2263" s="262"/>
      <c r="B2263" s="262"/>
      <c r="C2263" s="263"/>
      <c r="D2263" s="262"/>
      <c r="E2263" s="81" t="s">
        <v>187</v>
      </c>
      <c r="F2263" s="81" t="s">
        <v>187</v>
      </c>
      <c r="G2263" s="81" t="s">
        <v>187</v>
      </c>
      <c r="H2263" s="81" t="s">
        <v>187</v>
      </c>
      <c r="I2263" s="81" t="s">
        <v>187</v>
      </c>
      <c r="J2263" s="81" t="s">
        <v>187</v>
      </c>
      <c r="K2263" s="81" t="s">
        <v>187</v>
      </c>
      <c r="L2263" s="81" t="s">
        <v>187</v>
      </c>
    </row>
    <row r="2264" ht="15.75" customHeight="1">
      <c r="A2264" s="262"/>
      <c r="B2264" s="262"/>
      <c r="C2264" s="263"/>
      <c r="D2264" s="262"/>
      <c r="E2264" s="81" t="s">
        <v>187</v>
      </c>
      <c r="F2264" s="81" t="s">
        <v>187</v>
      </c>
      <c r="G2264" s="81" t="s">
        <v>187</v>
      </c>
      <c r="H2264" s="81" t="s">
        <v>187</v>
      </c>
      <c r="I2264" s="81" t="s">
        <v>187</v>
      </c>
      <c r="J2264" s="81" t="s">
        <v>187</v>
      </c>
      <c r="K2264" s="81" t="s">
        <v>187</v>
      </c>
      <c r="L2264" s="81" t="s">
        <v>187</v>
      </c>
    </row>
    <row r="2265" ht="15.75" customHeight="1">
      <c r="A2265" s="262"/>
      <c r="B2265" s="262"/>
      <c r="C2265" s="263"/>
      <c r="D2265" s="262"/>
      <c r="E2265" s="81" t="s">
        <v>187</v>
      </c>
      <c r="F2265" s="81" t="s">
        <v>187</v>
      </c>
      <c r="G2265" s="81" t="s">
        <v>187</v>
      </c>
      <c r="H2265" s="81" t="s">
        <v>187</v>
      </c>
      <c r="I2265" s="81" t="s">
        <v>187</v>
      </c>
      <c r="J2265" s="81" t="s">
        <v>187</v>
      </c>
      <c r="K2265" s="81" t="s">
        <v>187</v>
      </c>
      <c r="L2265" s="81" t="s">
        <v>187</v>
      </c>
    </row>
    <row r="2266" ht="15.75" customHeight="1">
      <c r="A2266" s="262"/>
      <c r="B2266" s="262"/>
      <c r="C2266" s="263"/>
      <c r="D2266" s="262"/>
      <c r="E2266" s="81" t="s">
        <v>187</v>
      </c>
      <c r="F2266" s="81" t="s">
        <v>187</v>
      </c>
      <c r="G2266" s="81" t="s">
        <v>187</v>
      </c>
      <c r="H2266" s="81" t="s">
        <v>187</v>
      </c>
      <c r="I2266" s="81" t="s">
        <v>187</v>
      </c>
      <c r="J2266" s="81" t="s">
        <v>187</v>
      </c>
      <c r="K2266" s="81" t="s">
        <v>187</v>
      </c>
      <c r="L2266" s="81" t="s">
        <v>187</v>
      </c>
    </row>
    <row r="2267" ht="15.75" customHeight="1">
      <c r="A2267" s="262"/>
      <c r="B2267" s="262"/>
      <c r="C2267" s="263"/>
      <c r="D2267" s="262"/>
      <c r="E2267" s="81" t="s">
        <v>187</v>
      </c>
      <c r="F2267" s="81" t="s">
        <v>187</v>
      </c>
      <c r="G2267" s="81" t="s">
        <v>187</v>
      </c>
      <c r="H2267" s="81" t="s">
        <v>187</v>
      </c>
      <c r="I2267" s="81" t="s">
        <v>187</v>
      </c>
      <c r="J2267" s="81" t="s">
        <v>187</v>
      </c>
      <c r="K2267" s="81" t="s">
        <v>187</v>
      </c>
      <c r="L2267" s="81" t="s">
        <v>187</v>
      </c>
    </row>
    <row r="2268" ht="15.75" customHeight="1">
      <c r="A2268" s="262"/>
      <c r="B2268" s="262"/>
      <c r="C2268" s="263"/>
      <c r="D2268" s="262"/>
      <c r="E2268" s="81" t="s">
        <v>187</v>
      </c>
      <c r="F2268" s="81" t="s">
        <v>187</v>
      </c>
      <c r="G2268" s="81" t="s">
        <v>187</v>
      </c>
      <c r="H2268" s="81" t="s">
        <v>187</v>
      </c>
      <c r="I2268" s="81" t="s">
        <v>187</v>
      </c>
      <c r="J2268" s="81" t="s">
        <v>187</v>
      </c>
      <c r="K2268" s="81" t="s">
        <v>187</v>
      </c>
      <c r="L2268" s="81" t="s">
        <v>187</v>
      </c>
    </row>
    <row r="2269" ht="15.75" customHeight="1">
      <c r="A2269" s="262"/>
      <c r="B2269" s="262"/>
      <c r="C2269" s="263"/>
      <c r="D2269" s="262"/>
      <c r="E2269" s="81" t="s">
        <v>187</v>
      </c>
      <c r="F2269" s="81" t="s">
        <v>187</v>
      </c>
      <c r="G2269" s="81" t="s">
        <v>187</v>
      </c>
      <c r="H2269" s="81" t="s">
        <v>187</v>
      </c>
      <c r="I2269" s="81" t="s">
        <v>187</v>
      </c>
      <c r="J2269" s="81" t="s">
        <v>187</v>
      </c>
      <c r="K2269" s="81" t="s">
        <v>187</v>
      </c>
      <c r="L2269" s="81" t="s">
        <v>187</v>
      </c>
    </row>
    <row r="2270" ht="15.75" customHeight="1">
      <c r="A2270" s="262"/>
      <c r="B2270" s="262"/>
      <c r="C2270" s="263"/>
      <c r="D2270" s="262"/>
      <c r="E2270" s="81" t="s">
        <v>187</v>
      </c>
      <c r="F2270" s="81" t="s">
        <v>187</v>
      </c>
      <c r="G2270" s="81" t="s">
        <v>187</v>
      </c>
      <c r="H2270" s="81" t="s">
        <v>187</v>
      </c>
      <c r="I2270" s="81" t="s">
        <v>187</v>
      </c>
      <c r="J2270" s="81" t="s">
        <v>187</v>
      </c>
      <c r="K2270" s="81" t="s">
        <v>187</v>
      </c>
      <c r="L2270" s="81" t="s">
        <v>187</v>
      </c>
    </row>
    <row r="2271" ht="15.75" customHeight="1">
      <c r="A2271" s="262"/>
      <c r="B2271" s="262"/>
      <c r="C2271" s="263"/>
      <c r="D2271" s="262"/>
      <c r="E2271" s="81" t="s">
        <v>187</v>
      </c>
      <c r="F2271" s="81" t="s">
        <v>187</v>
      </c>
      <c r="G2271" s="81" t="s">
        <v>187</v>
      </c>
      <c r="H2271" s="81" t="s">
        <v>187</v>
      </c>
      <c r="I2271" s="81" t="s">
        <v>187</v>
      </c>
      <c r="J2271" s="81" t="s">
        <v>187</v>
      </c>
      <c r="K2271" s="81" t="s">
        <v>187</v>
      </c>
      <c r="L2271" s="81" t="s">
        <v>187</v>
      </c>
    </row>
    <row r="2272" ht="15.75" customHeight="1">
      <c r="A2272" s="262"/>
      <c r="B2272" s="262"/>
      <c r="C2272" s="263"/>
      <c r="D2272" s="262"/>
      <c r="E2272" s="81" t="s">
        <v>187</v>
      </c>
      <c r="F2272" s="81" t="s">
        <v>187</v>
      </c>
      <c r="G2272" s="81" t="s">
        <v>187</v>
      </c>
      <c r="H2272" s="81" t="s">
        <v>187</v>
      </c>
      <c r="I2272" s="81" t="s">
        <v>187</v>
      </c>
      <c r="J2272" s="81" t="s">
        <v>187</v>
      </c>
      <c r="K2272" s="81" t="s">
        <v>187</v>
      </c>
      <c r="L2272" s="81" t="s">
        <v>187</v>
      </c>
    </row>
    <row r="2273" ht="15.75" customHeight="1">
      <c r="A2273" s="262"/>
      <c r="B2273" s="262"/>
      <c r="C2273" s="263"/>
      <c r="D2273" s="262"/>
      <c r="E2273" s="81" t="s">
        <v>187</v>
      </c>
      <c r="F2273" s="81" t="s">
        <v>187</v>
      </c>
      <c r="G2273" s="81" t="s">
        <v>187</v>
      </c>
      <c r="H2273" s="81" t="s">
        <v>187</v>
      </c>
      <c r="I2273" s="81" t="s">
        <v>187</v>
      </c>
      <c r="J2273" s="81" t="s">
        <v>187</v>
      </c>
      <c r="K2273" s="81" t="s">
        <v>187</v>
      </c>
      <c r="L2273" s="81" t="s">
        <v>187</v>
      </c>
    </row>
    <row r="2274" ht="15.75" customHeight="1">
      <c r="A2274" s="262"/>
      <c r="B2274" s="262"/>
      <c r="C2274" s="263"/>
      <c r="D2274" s="262"/>
      <c r="E2274" s="81" t="s">
        <v>187</v>
      </c>
      <c r="F2274" s="81" t="s">
        <v>187</v>
      </c>
      <c r="G2274" s="81" t="s">
        <v>187</v>
      </c>
      <c r="H2274" s="81" t="s">
        <v>187</v>
      </c>
      <c r="I2274" s="81" t="s">
        <v>187</v>
      </c>
      <c r="J2274" s="81" t="s">
        <v>187</v>
      </c>
      <c r="K2274" s="81" t="s">
        <v>187</v>
      </c>
      <c r="L2274" s="81" t="s">
        <v>187</v>
      </c>
    </row>
    <row r="2275" ht="15.75" customHeight="1">
      <c r="A2275" s="262"/>
      <c r="B2275" s="262"/>
      <c r="C2275" s="263"/>
      <c r="D2275" s="262"/>
      <c r="E2275" s="81" t="s">
        <v>187</v>
      </c>
      <c r="F2275" s="81" t="s">
        <v>187</v>
      </c>
      <c r="G2275" s="81" t="s">
        <v>187</v>
      </c>
      <c r="H2275" s="81" t="s">
        <v>187</v>
      </c>
      <c r="I2275" s="81" t="s">
        <v>187</v>
      </c>
      <c r="J2275" s="81" t="s">
        <v>187</v>
      </c>
      <c r="K2275" s="81" t="s">
        <v>187</v>
      </c>
      <c r="L2275" s="81" t="s">
        <v>187</v>
      </c>
    </row>
    <row r="2276" ht="15.75" customHeight="1">
      <c r="A2276" s="262"/>
      <c r="B2276" s="262"/>
      <c r="C2276" s="263"/>
      <c r="D2276" s="262"/>
      <c r="E2276" s="81" t="s">
        <v>187</v>
      </c>
      <c r="F2276" s="81" t="s">
        <v>187</v>
      </c>
      <c r="G2276" s="81" t="s">
        <v>187</v>
      </c>
      <c r="H2276" s="81" t="s">
        <v>187</v>
      </c>
      <c r="I2276" s="81" t="s">
        <v>187</v>
      </c>
      <c r="J2276" s="81" t="s">
        <v>187</v>
      </c>
      <c r="K2276" s="81" t="s">
        <v>187</v>
      </c>
      <c r="L2276" s="81" t="s">
        <v>187</v>
      </c>
    </row>
    <row r="2277" ht="15.75" customHeight="1">
      <c r="A2277" s="262"/>
      <c r="B2277" s="262"/>
      <c r="C2277" s="263"/>
      <c r="D2277" s="262"/>
      <c r="E2277" s="81" t="s">
        <v>187</v>
      </c>
      <c r="F2277" s="81" t="s">
        <v>187</v>
      </c>
      <c r="G2277" s="81" t="s">
        <v>187</v>
      </c>
      <c r="H2277" s="81" t="s">
        <v>187</v>
      </c>
      <c r="I2277" s="81" t="s">
        <v>187</v>
      </c>
      <c r="J2277" s="81" t="s">
        <v>187</v>
      </c>
      <c r="K2277" s="81" t="s">
        <v>187</v>
      </c>
      <c r="L2277" s="81" t="s">
        <v>187</v>
      </c>
    </row>
    <row r="2278" ht="15.75" customHeight="1">
      <c r="A2278" s="262"/>
      <c r="B2278" s="262"/>
      <c r="C2278" s="263"/>
      <c r="D2278" s="262"/>
      <c r="E2278" s="81" t="s">
        <v>187</v>
      </c>
      <c r="F2278" s="81" t="s">
        <v>187</v>
      </c>
      <c r="G2278" s="81" t="s">
        <v>187</v>
      </c>
      <c r="H2278" s="81" t="s">
        <v>187</v>
      </c>
      <c r="I2278" s="81" t="s">
        <v>187</v>
      </c>
      <c r="J2278" s="81" t="s">
        <v>187</v>
      </c>
      <c r="K2278" s="81" t="s">
        <v>187</v>
      </c>
      <c r="L2278" s="81" t="s">
        <v>187</v>
      </c>
    </row>
    <row r="2279" ht="15.75" customHeight="1">
      <c r="A2279" s="262"/>
      <c r="B2279" s="262"/>
      <c r="C2279" s="263"/>
      <c r="D2279" s="262"/>
      <c r="E2279" s="81" t="s">
        <v>187</v>
      </c>
      <c r="F2279" s="81" t="s">
        <v>187</v>
      </c>
      <c r="G2279" s="81" t="s">
        <v>187</v>
      </c>
      <c r="H2279" s="81" t="s">
        <v>187</v>
      </c>
      <c r="I2279" s="81" t="s">
        <v>187</v>
      </c>
      <c r="J2279" s="81" t="s">
        <v>187</v>
      </c>
      <c r="K2279" s="81" t="s">
        <v>187</v>
      </c>
      <c r="L2279" s="81" t="s">
        <v>187</v>
      </c>
    </row>
    <row r="2280" ht="15.75" customHeight="1">
      <c r="A2280" s="262"/>
      <c r="B2280" s="262"/>
      <c r="C2280" s="263"/>
      <c r="D2280" s="262"/>
      <c r="E2280" s="81" t="s">
        <v>187</v>
      </c>
      <c r="F2280" s="81" t="s">
        <v>187</v>
      </c>
      <c r="G2280" s="81" t="s">
        <v>187</v>
      </c>
      <c r="H2280" s="81" t="s">
        <v>187</v>
      </c>
      <c r="I2280" s="81" t="s">
        <v>187</v>
      </c>
      <c r="J2280" s="81" t="s">
        <v>187</v>
      </c>
      <c r="K2280" s="81" t="s">
        <v>187</v>
      </c>
      <c r="L2280" s="81" t="s">
        <v>187</v>
      </c>
    </row>
    <row r="2281" ht="15.75" customHeight="1">
      <c r="A2281" s="262"/>
      <c r="B2281" s="262"/>
      <c r="C2281" s="263"/>
      <c r="D2281" s="262"/>
      <c r="E2281" s="81" t="s">
        <v>187</v>
      </c>
      <c r="F2281" s="81" t="s">
        <v>187</v>
      </c>
      <c r="G2281" s="81" t="s">
        <v>187</v>
      </c>
      <c r="H2281" s="81" t="s">
        <v>187</v>
      </c>
      <c r="I2281" s="81" t="s">
        <v>187</v>
      </c>
      <c r="J2281" s="81" t="s">
        <v>187</v>
      </c>
      <c r="K2281" s="81" t="s">
        <v>187</v>
      </c>
      <c r="L2281" s="81" t="s">
        <v>187</v>
      </c>
    </row>
    <row r="2282" ht="15.75" customHeight="1">
      <c r="A2282" s="262"/>
      <c r="B2282" s="262"/>
      <c r="C2282" s="263"/>
      <c r="D2282" s="262"/>
      <c r="E2282" s="81" t="s">
        <v>187</v>
      </c>
      <c r="F2282" s="81" t="s">
        <v>187</v>
      </c>
      <c r="G2282" s="81" t="s">
        <v>187</v>
      </c>
      <c r="H2282" s="81" t="s">
        <v>187</v>
      </c>
      <c r="I2282" s="81" t="s">
        <v>187</v>
      </c>
      <c r="J2282" s="81" t="s">
        <v>187</v>
      </c>
      <c r="K2282" s="81" t="s">
        <v>187</v>
      </c>
      <c r="L2282" s="81" t="s">
        <v>187</v>
      </c>
    </row>
    <row r="2283" ht="15.75" customHeight="1">
      <c r="A2283" s="262"/>
      <c r="B2283" s="262"/>
      <c r="C2283" s="263"/>
      <c r="D2283" s="262"/>
      <c r="E2283" s="81" t="s">
        <v>187</v>
      </c>
      <c r="F2283" s="81" t="s">
        <v>187</v>
      </c>
      <c r="G2283" s="81" t="s">
        <v>187</v>
      </c>
      <c r="H2283" s="81" t="s">
        <v>187</v>
      </c>
      <c r="I2283" s="81" t="s">
        <v>187</v>
      </c>
      <c r="J2283" s="81" t="s">
        <v>187</v>
      </c>
      <c r="K2283" s="81" t="s">
        <v>187</v>
      </c>
      <c r="L2283" s="81" t="s">
        <v>187</v>
      </c>
    </row>
    <row r="2284" ht="15.75" customHeight="1">
      <c r="A2284" s="262"/>
      <c r="B2284" s="262"/>
      <c r="C2284" s="263"/>
      <c r="D2284" s="262"/>
      <c r="E2284" s="81" t="s">
        <v>187</v>
      </c>
      <c r="F2284" s="81" t="s">
        <v>187</v>
      </c>
      <c r="G2284" s="81" t="s">
        <v>187</v>
      </c>
      <c r="H2284" s="81" t="s">
        <v>187</v>
      </c>
      <c r="I2284" s="81" t="s">
        <v>187</v>
      </c>
      <c r="J2284" s="81" t="s">
        <v>187</v>
      </c>
      <c r="K2284" s="81" t="s">
        <v>187</v>
      </c>
      <c r="L2284" s="81" t="s">
        <v>187</v>
      </c>
    </row>
    <row r="2285" ht="15.75" customHeight="1">
      <c r="A2285" s="262"/>
      <c r="B2285" s="262"/>
      <c r="C2285" s="263"/>
      <c r="D2285" s="262"/>
      <c r="E2285" s="81" t="s">
        <v>187</v>
      </c>
      <c r="F2285" s="81" t="s">
        <v>187</v>
      </c>
      <c r="G2285" s="81" t="s">
        <v>187</v>
      </c>
      <c r="H2285" s="81" t="s">
        <v>187</v>
      </c>
      <c r="I2285" s="81" t="s">
        <v>187</v>
      </c>
      <c r="J2285" s="81" t="s">
        <v>187</v>
      </c>
      <c r="K2285" s="81" t="s">
        <v>187</v>
      </c>
      <c r="L2285" s="81" t="s">
        <v>187</v>
      </c>
    </row>
    <row r="2286" ht="15.75" customHeight="1">
      <c r="A2286" s="262"/>
      <c r="B2286" s="262"/>
      <c r="C2286" s="263"/>
      <c r="D2286" s="262"/>
      <c r="E2286" s="81" t="s">
        <v>187</v>
      </c>
      <c r="F2286" s="81" t="s">
        <v>187</v>
      </c>
      <c r="G2286" s="81" t="s">
        <v>187</v>
      </c>
      <c r="H2286" s="81" t="s">
        <v>187</v>
      </c>
      <c r="I2286" s="81" t="s">
        <v>187</v>
      </c>
      <c r="J2286" s="81" t="s">
        <v>187</v>
      </c>
      <c r="K2286" s="81" t="s">
        <v>187</v>
      </c>
      <c r="L2286" s="81" t="s">
        <v>187</v>
      </c>
    </row>
    <row r="2287" ht="15.75" customHeight="1">
      <c r="A2287" s="262"/>
      <c r="B2287" s="262"/>
      <c r="C2287" s="263"/>
      <c r="D2287" s="262"/>
      <c r="E2287" s="81" t="s">
        <v>187</v>
      </c>
      <c r="F2287" s="81" t="s">
        <v>187</v>
      </c>
      <c r="G2287" s="81" t="s">
        <v>187</v>
      </c>
      <c r="H2287" s="81" t="s">
        <v>187</v>
      </c>
      <c r="I2287" s="81" t="s">
        <v>187</v>
      </c>
      <c r="J2287" s="81" t="s">
        <v>187</v>
      </c>
      <c r="K2287" s="81" t="s">
        <v>187</v>
      </c>
      <c r="L2287" s="81" t="s">
        <v>187</v>
      </c>
    </row>
    <row r="2288" ht="15.75" customHeight="1">
      <c r="A2288" s="262"/>
      <c r="B2288" s="262"/>
      <c r="C2288" s="263"/>
      <c r="D2288" s="262"/>
      <c r="E2288" s="81" t="s">
        <v>187</v>
      </c>
      <c r="F2288" s="81" t="s">
        <v>187</v>
      </c>
      <c r="G2288" s="81" t="s">
        <v>187</v>
      </c>
      <c r="H2288" s="81" t="s">
        <v>187</v>
      </c>
      <c r="I2288" s="81" t="s">
        <v>187</v>
      </c>
      <c r="J2288" s="81" t="s">
        <v>187</v>
      </c>
      <c r="K2288" s="81" t="s">
        <v>187</v>
      </c>
      <c r="L2288" s="81" t="s">
        <v>187</v>
      </c>
    </row>
    <row r="2289" ht="15.75" customHeight="1">
      <c r="A2289" s="262"/>
      <c r="B2289" s="262"/>
      <c r="C2289" s="263"/>
      <c r="D2289" s="262"/>
      <c r="E2289" s="81" t="s">
        <v>187</v>
      </c>
      <c r="F2289" s="81" t="s">
        <v>187</v>
      </c>
      <c r="G2289" s="81" t="s">
        <v>187</v>
      </c>
      <c r="H2289" s="81" t="s">
        <v>187</v>
      </c>
      <c r="I2289" s="81" t="s">
        <v>187</v>
      </c>
      <c r="J2289" s="81" t="s">
        <v>187</v>
      </c>
      <c r="K2289" s="81" t="s">
        <v>187</v>
      </c>
      <c r="L2289" s="81" t="s">
        <v>187</v>
      </c>
    </row>
    <row r="2290" ht="15.75" customHeight="1">
      <c r="A2290" s="262"/>
      <c r="B2290" s="262"/>
      <c r="C2290" s="263"/>
      <c r="D2290" s="262"/>
      <c r="E2290" s="81" t="s">
        <v>187</v>
      </c>
      <c r="F2290" s="81" t="s">
        <v>187</v>
      </c>
      <c r="G2290" s="81" t="s">
        <v>187</v>
      </c>
      <c r="H2290" s="81" t="s">
        <v>187</v>
      </c>
      <c r="I2290" s="81" t="s">
        <v>187</v>
      </c>
      <c r="J2290" s="81" t="s">
        <v>187</v>
      </c>
      <c r="K2290" s="81" t="s">
        <v>187</v>
      </c>
      <c r="L2290" s="81" t="s">
        <v>187</v>
      </c>
    </row>
    <row r="2291" ht="15.75" customHeight="1">
      <c r="A2291" s="262"/>
      <c r="B2291" s="262"/>
      <c r="C2291" s="263"/>
      <c r="D2291" s="262"/>
      <c r="E2291" s="81" t="s">
        <v>187</v>
      </c>
      <c r="F2291" s="81" t="s">
        <v>187</v>
      </c>
      <c r="G2291" s="81" t="s">
        <v>187</v>
      </c>
      <c r="H2291" s="81" t="s">
        <v>187</v>
      </c>
      <c r="I2291" s="81" t="s">
        <v>187</v>
      </c>
      <c r="J2291" s="81" t="s">
        <v>187</v>
      </c>
      <c r="K2291" s="81" t="s">
        <v>187</v>
      </c>
      <c r="L2291" s="81" t="s">
        <v>187</v>
      </c>
    </row>
    <row r="2292" ht="15.75" customHeight="1">
      <c r="A2292" s="262"/>
      <c r="B2292" s="262"/>
      <c r="C2292" s="263"/>
      <c r="D2292" s="262"/>
      <c r="E2292" s="81" t="s">
        <v>187</v>
      </c>
      <c r="F2292" s="81" t="s">
        <v>187</v>
      </c>
      <c r="G2292" s="81" t="s">
        <v>187</v>
      </c>
      <c r="H2292" s="81" t="s">
        <v>187</v>
      </c>
      <c r="I2292" s="81" t="s">
        <v>187</v>
      </c>
      <c r="J2292" s="81" t="s">
        <v>187</v>
      </c>
      <c r="K2292" s="81" t="s">
        <v>187</v>
      </c>
      <c r="L2292" s="81" t="s">
        <v>187</v>
      </c>
    </row>
    <row r="2293" ht="15.75" customHeight="1">
      <c r="A2293" s="262"/>
      <c r="B2293" s="262"/>
      <c r="C2293" s="263"/>
      <c r="D2293" s="262"/>
      <c r="E2293" s="81" t="s">
        <v>187</v>
      </c>
      <c r="F2293" s="81" t="s">
        <v>187</v>
      </c>
      <c r="G2293" s="81" t="s">
        <v>187</v>
      </c>
      <c r="H2293" s="81" t="s">
        <v>187</v>
      </c>
      <c r="I2293" s="81" t="s">
        <v>187</v>
      </c>
      <c r="J2293" s="81" t="s">
        <v>187</v>
      </c>
      <c r="K2293" s="81" t="s">
        <v>187</v>
      </c>
      <c r="L2293" s="81" t="s">
        <v>187</v>
      </c>
    </row>
    <row r="2294" ht="15.75" customHeight="1">
      <c r="A2294" s="262"/>
      <c r="B2294" s="262"/>
      <c r="C2294" s="263"/>
      <c r="D2294" s="262"/>
      <c r="E2294" s="81" t="s">
        <v>187</v>
      </c>
      <c r="F2294" s="81" t="s">
        <v>187</v>
      </c>
      <c r="G2294" s="81" t="s">
        <v>187</v>
      </c>
      <c r="H2294" s="81" t="s">
        <v>187</v>
      </c>
      <c r="I2294" s="81" t="s">
        <v>187</v>
      </c>
      <c r="J2294" s="81" t="s">
        <v>187</v>
      </c>
      <c r="K2294" s="81" t="s">
        <v>187</v>
      </c>
      <c r="L2294" s="81" t="s">
        <v>187</v>
      </c>
    </row>
    <row r="2295" ht="15.75" customHeight="1">
      <c r="A2295" s="262"/>
      <c r="B2295" s="262"/>
      <c r="C2295" s="263"/>
      <c r="D2295" s="262"/>
      <c r="E2295" s="81" t="s">
        <v>187</v>
      </c>
      <c r="F2295" s="81" t="s">
        <v>187</v>
      </c>
      <c r="G2295" s="81" t="s">
        <v>187</v>
      </c>
      <c r="H2295" s="81" t="s">
        <v>187</v>
      </c>
      <c r="I2295" s="81" t="s">
        <v>187</v>
      </c>
      <c r="J2295" s="81" t="s">
        <v>187</v>
      </c>
      <c r="K2295" s="81" t="s">
        <v>187</v>
      </c>
      <c r="L2295" s="81" t="s">
        <v>187</v>
      </c>
    </row>
    <row r="2296" ht="15.75" customHeight="1">
      <c r="A2296" s="262"/>
      <c r="B2296" s="262"/>
      <c r="C2296" s="263"/>
      <c r="D2296" s="262"/>
      <c r="E2296" s="81" t="s">
        <v>187</v>
      </c>
      <c r="F2296" s="81" t="s">
        <v>187</v>
      </c>
      <c r="G2296" s="81" t="s">
        <v>187</v>
      </c>
      <c r="H2296" s="81" t="s">
        <v>187</v>
      </c>
      <c r="I2296" s="81" t="s">
        <v>187</v>
      </c>
      <c r="J2296" s="81" t="s">
        <v>187</v>
      </c>
      <c r="K2296" s="81" t="s">
        <v>187</v>
      </c>
      <c r="L2296" s="81" t="s">
        <v>187</v>
      </c>
    </row>
    <row r="2297" ht="15.75" customHeight="1">
      <c r="A2297" s="262"/>
      <c r="B2297" s="262"/>
      <c r="C2297" s="263"/>
      <c r="D2297" s="262"/>
      <c r="E2297" s="81" t="s">
        <v>187</v>
      </c>
      <c r="F2297" s="81" t="s">
        <v>187</v>
      </c>
      <c r="G2297" s="81" t="s">
        <v>187</v>
      </c>
      <c r="H2297" s="81" t="s">
        <v>187</v>
      </c>
      <c r="I2297" s="81" t="s">
        <v>187</v>
      </c>
      <c r="J2297" s="81" t="s">
        <v>187</v>
      </c>
      <c r="K2297" s="81" t="s">
        <v>187</v>
      </c>
      <c r="L2297" s="81" t="s">
        <v>187</v>
      </c>
    </row>
    <row r="2298" ht="15.75" customHeight="1">
      <c r="A2298" s="262"/>
      <c r="B2298" s="262"/>
      <c r="C2298" s="263"/>
      <c r="D2298" s="262"/>
      <c r="E2298" s="81" t="s">
        <v>187</v>
      </c>
      <c r="F2298" s="81" t="s">
        <v>187</v>
      </c>
      <c r="G2298" s="81" t="s">
        <v>187</v>
      </c>
      <c r="H2298" s="81" t="s">
        <v>187</v>
      </c>
      <c r="I2298" s="81" t="s">
        <v>187</v>
      </c>
      <c r="J2298" s="81" t="s">
        <v>187</v>
      </c>
      <c r="K2298" s="81" t="s">
        <v>187</v>
      </c>
      <c r="L2298" s="81" t="s">
        <v>187</v>
      </c>
    </row>
    <row r="2299" ht="15.75" customHeight="1">
      <c r="A2299" s="262"/>
      <c r="B2299" s="262"/>
      <c r="C2299" s="263"/>
      <c r="D2299" s="262"/>
      <c r="E2299" s="81" t="s">
        <v>187</v>
      </c>
      <c r="F2299" s="81" t="s">
        <v>187</v>
      </c>
      <c r="G2299" s="81" t="s">
        <v>187</v>
      </c>
      <c r="H2299" s="81" t="s">
        <v>187</v>
      </c>
      <c r="I2299" s="81" t="s">
        <v>187</v>
      </c>
      <c r="J2299" s="81" t="s">
        <v>187</v>
      </c>
      <c r="K2299" s="81" t="s">
        <v>187</v>
      </c>
      <c r="L2299" s="81" t="s">
        <v>187</v>
      </c>
    </row>
    <row r="2300" ht="15.75" customHeight="1">
      <c r="A2300" s="262"/>
      <c r="B2300" s="262"/>
      <c r="C2300" s="263"/>
      <c r="D2300" s="262"/>
      <c r="E2300" s="81" t="s">
        <v>187</v>
      </c>
      <c r="F2300" s="81" t="s">
        <v>187</v>
      </c>
      <c r="G2300" s="81" t="s">
        <v>187</v>
      </c>
      <c r="H2300" s="81" t="s">
        <v>187</v>
      </c>
      <c r="I2300" s="81" t="s">
        <v>187</v>
      </c>
      <c r="J2300" s="81" t="s">
        <v>187</v>
      </c>
      <c r="K2300" s="81" t="s">
        <v>187</v>
      </c>
      <c r="L2300" s="81" t="s">
        <v>187</v>
      </c>
    </row>
    <row r="2301" ht="15.75" customHeight="1">
      <c r="A2301" s="262"/>
      <c r="B2301" s="262"/>
      <c r="C2301" s="263"/>
      <c r="D2301" s="262"/>
      <c r="E2301" s="81" t="s">
        <v>187</v>
      </c>
      <c r="F2301" s="81" t="s">
        <v>187</v>
      </c>
      <c r="G2301" s="81" t="s">
        <v>187</v>
      </c>
      <c r="H2301" s="81" t="s">
        <v>187</v>
      </c>
      <c r="I2301" s="81" t="s">
        <v>187</v>
      </c>
      <c r="J2301" s="81" t="s">
        <v>187</v>
      </c>
      <c r="K2301" s="81" t="s">
        <v>187</v>
      </c>
      <c r="L2301" s="81" t="s">
        <v>187</v>
      </c>
    </row>
    <row r="2302" ht="15.75" customHeight="1">
      <c r="A2302" s="262"/>
      <c r="B2302" s="262"/>
      <c r="C2302" s="263"/>
      <c r="D2302" s="262"/>
      <c r="E2302" s="81" t="s">
        <v>187</v>
      </c>
      <c r="F2302" s="81" t="s">
        <v>187</v>
      </c>
      <c r="G2302" s="81" t="s">
        <v>187</v>
      </c>
      <c r="H2302" s="81" t="s">
        <v>187</v>
      </c>
      <c r="I2302" s="81" t="s">
        <v>187</v>
      </c>
      <c r="J2302" s="81" t="s">
        <v>187</v>
      </c>
      <c r="K2302" s="81" t="s">
        <v>187</v>
      </c>
      <c r="L2302" s="81" t="s">
        <v>187</v>
      </c>
    </row>
    <row r="2303" ht="15.75" customHeight="1">
      <c r="A2303" s="262"/>
      <c r="B2303" s="262"/>
      <c r="C2303" s="263"/>
      <c r="D2303" s="262"/>
      <c r="E2303" s="81" t="s">
        <v>187</v>
      </c>
      <c r="F2303" s="81" t="s">
        <v>187</v>
      </c>
      <c r="G2303" s="81" t="s">
        <v>187</v>
      </c>
      <c r="H2303" s="81" t="s">
        <v>187</v>
      </c>
      <c r="I2303" s="81" t="s">
        <v>187</v>
      </c>
      <c r="J2303" s="81" t="s">
        <v>187</v>
      </c>
      <c r="K2303" s="81" t="s">
        <v>187</v>
      </c>
      <c r="L2303" s="81" t="s">
        <v>187</v>
      </c>
    </row>
    <row r="2304" ht="15.75" customHeight="1">
      <c r="A2304" s="262"/>
      <c r="B2304" s="262"/>
      <c r="C2304" s="263"/>
      <c r="D2304" s="262"/>
      <c r="E2304" s="81" t="s">
        <v>187</v>
      </c>
      <c r="F2304" s="81" t="s">
        <v>187</v>
      </c>
      <c r="G2304" s="81" t="s">
        <v>187</v>
      </c>
      <c r="H2304" s="81" t="s">
        <v>187</v>
      </c>
      <c r="I2304" s="81" t="s">
        <v>187</v>
      </c>
      <c r="J2304" s="81" t="s">
        <v>187</v>
      </c>
      <c r="K2304" s="81" t="s">
        <v>187</v>
      </c>
      <c r="L2304" s="81" t="s">
        <v>187</v>
      </c>
    </row>
    <row r="2305" ht="15.75" customHeight="1">
      <c r="A2305" s="262"/>
      <c r="B2305" s="262"/>
      <c r="C2305" s="263"/>
      <c r="D2305" s="262"/>
      <c r="E2305" s="81" t="s">
        <v>187</v>
      </c>
      <c r="F2305" s="81" t="s">
        <v>187</v>
      </c>
      <c r="G2305" s="81" t="s">
        <v>187</v>
      </c>
      <c r="H2305" s="81" t="s">
        <v>187</v>
      </c>
      <c r="I2305" s="81" t="s">
        <v>187</v>
      </c>
      <c r="J2305" s="81" t="s">
        <v>187</v>
      </c>
      <c r="K2305" s="81" t="s">
        <v>187</v>
      </c>
      <c r="L2305" s="81" t="s">
        <v>187</v>
      </c>
    </row>
    <row r="2306" ht="15.75" customHeight="1">
      <c r="A2306" s="262"/>
      <c r="B2306" s="262"/>
      <c r="C2306" s="263"/>
      <c r="D2306" s="262"/>
      <c r="E2306" s="81" t="s">
        <v>187</v>
      </c>
      <c r="F2306" s="81" t="s">
        <v>187</v>
      </c>
      <c r="G2306" s="81" t="s">
        <v>187</v>
      </c>
      <c r="H2306" s="81" t="s">
        <v>187</v>
      </c>
      <c r="I2306" s="81" t="s">
        <v>187</v>
      </c>
      <c r="J2306" s="81" t="s">
        <v>187</v>
      </c>
      <c r="K2306" s="81" t="s">
        <v>187</v>
      </c>
      <c r="L2306" s="81" t="s">
        <v>187</v>
      </c>
    </row>
    <row r="2307" ht="15.75" customHeight="1">
      <c r="A2307" s="262"/>
      <c r="B2307" s="262"/>
      <c r="C2307" s="263"/>
      <c r="D2307" s="262"/>
      <c r="E2307" s="81" t="s">
        <v>187</v>
      </c>
      <c r="F2307" s="81" t="s">
        <v>187</v>
      </c>
      <c r="G2307" s="81" t="s">
        <v>187</v>
      </c>
      <c r="H2307" s="81" t="s">
        <v>187</v>
      </c>
      <c r="I2307" s="81" t="s">
        <v>187</v>
      </c>
      <c r="J2307" s="81" t="s">
        <v>187</v>
      </c>
      <c r="K2307" s="81" t="s">
        <v>187</v>
      </c>
      <c r="L2307" s="81" t="s">
        <v>187</v>
      </c>
    </row>
    <row r="2308" ht="15.75" customHeight="1">
      <c r="A2308" s="262"/>
      <c r="B2308" s="262"/>
      <c r="C2308" s="263"/>
      <c r="D2308" s="262"/>
      <c r="E2308" s="81" t="s">
        <v>187</v>
      </c>
      <c r="F2308" s="81" t="s">
        <v>187</v>
      </c>
      <c r="G2308" s="81" t="s">
        <v>187</v>
      </c>
      <c r="H2308" s="81" t="s">
        <v>187</v>
      </c>
      <c r="I2308" s="81" t="s">
        <v>187</v>
      </c>
      <c r="J2308" s="81" t="s">
        <v>187</v>
      </c>
      <c r="K2308" s="81" t="s">
        <v>187</v>
      </c>
      <c r="L2308" s="81" t="s">
        <v>187</v>
      </c>
    </row>
    <row r="2309" ht="15.75" customHeight="1">
      <c r="A2309" s="262"/>
      <c r="B2309" s="262"/>
      <c r="C2309" s="263"/>
      <c r="D2309" s="262"/>
      <c r="E2309" s="81" t="s">
        <v>187</v>
      </c>
      <c r="F2309" s="81" t="s">
        <v>187</v>
      </c>
      <c r="G2309" s="81" t="s">
        <v>187</v>
      </c>
      <c r="H2309" s="81" t="s">
        <v>187</v>
      </c>
      <c r="I2309" s="81" t="s">
        <v>187</v>
      </c>
      <c r="J2309" s="81" t="s">
        <v>187</v>
      </c>
      <c r="K2309" s="81" t="s">
        <v>187</v>
      </c>
      <c r="L2309" s="81" t="s">
        <v>187</v>
      </c>
    </row>
    <row r="2310" ht="15.75" customHeight="1">
      <c r="A2310" s="262"/>
      <c r="B2310" s="262"/>
      <c r="C2310" s="263"/>
      <c r="D2310" s="262"/>
      <c r="E2310" s="81" t="s">
        <v>187</v>
      </c>
      <c r="F2310" s="81" t="s">
        <v>187</v>
      </c>
      <c r="G2310" s="81" t="s">
        <v>187</v>
      </c>
      <c r="H2310" s="81" t="s">
        <v>187</v>
      </c>
      <c r="I2310" s="81" t="s">
        <v>187</v>
      </c>
      <c r="J2310" s="81" t="s">
        <v>187</v>
      </c>
      <c r="K2310" s="81" t="s">
        <v>187</v>
      </c>
      <c r="L2310" s="81" t="s">
        <v>187</v>
      </c>
    </row>
    <row r="2311" ht="15.75" customHeight="1">
      <c r="A2311" s="262"/>
      <c r="B2311" s="262"/>
      <c r="C2311" s="263"/>
      <c r="D2311" s="262"/>
      <c r="E2311" s="81" t="s">
        <v>187</v>
      </c>
      <c r="F2311" s="81" t="s">
        <v>187</v>
      </c>
      <c r="G2311" s="81" t="s">
        <v>187</v>
      </c>
      <c r="H2311" s="81" t="s">
        <v>187</v>
      </c>
      <c r="I2311" s="81" t="s">
        <v>187</v>
      </c>
      <c r="J2311" s="81" t="s">
        <v>187</v>
      </c>
      <c r="K2311" s="81" t="s">
        <v>187</v>
      </c>
      <c r="L2311" s="81" t="s">
        <v>187</v>
      </c>
    </row>
    <row r="2312" ht="15.75" customHeight="1">
      <c r="A2312" s="262"/>
      <c r="B2312" s="262"/>
      <c r="C2312" s="263"/>
      <c r="D2312" s="262"/>
      <c r="E2312" s="81" t="s">
        <v>187</v>
      </c>
      <c r="F2312" s="81" t="s">
        <v>187</v>
      </c>
      <c r="G2312" s="81" t="s">
        <v>187</v>
      </c>
      <c r="H2312" s="81" t="s">
        <v>187</v>
      </c>
      <c r="I2312" s="81" t="s">
        <v>187</v>
      </c>
      <c r="J2312" s="81" t="s">
        <v>187</v>
      </c>
      <c r="K2312" s="81" t="s">
        <v>187</v>
      </c>
      <c r="L2312" s="81" t="s">
        <v>187</v>
      </c>
    </row>
    <row r="2313" ht="15.75" customHeight="1">
      <c r="A2313" s="262"/>
      <c r="B2313" s="262"/>
      <c r="C2313" s="263"/>
      <c r="D2313" s="262"/>
      <c r="E2313" s="81" t="s">
        <v>187</v>
      </c>
      <c r="F2313" s="81" t="s">
        <v>187</v>
      </c>
      <c r="G2313" s="81" t="s">
        <v>187</v>
      </c>
      <c r="H2313" s="81" t="s">
        <v>187</v>
      </c>
      <c r="I2313" s="81" t="s">
        <v>187</v>
      </c>
      <c r="J2313" s="81" t="s">
        <v>187</v>
      </c>
      <c r="K2313" s="81" t="s">
        <v>187</v>
      </c>
      <c r="L2313" s="81" t="s">
        <v>187</v>
      </c>
    </row>
    <row r="2314" ht="15.75" customHeight="1">
      <c r="A2314" s="262"/>
      <c r="B2314" s="262"/>
      <c r="C2314" s="263"/>
      <c r="D2314" s="262"/>
      <c r="E2314" s="81" t="s">
        <v>187</v>
      </c>
      <c r="F2314" s="81" t="s">
        <v>187</v>
      </c>
      <c r="G2314" s="81" t="s">
        <v>187</v>
      </c>
      <c r="H2314" s="81" t="s">
        <v>187</v>
      </c>
      <c r="I2314" s="81" t="s">
        <v>187</v>
      </c>
      <c r="J2314" s="81" t="s">
        <v>187</v>
      </c>
      <c r="K2314" s="81" t="s">
        <v>187</v>
      </c>
      <c r="L2314" s="81" t="s">
        <v>187</v>
      </c>
    </row>
    <row r="2315" ht="15.75" customHeight="1">
      <c r="A2315" s="262"/>
      <c r="B2315" s="262"/>
      <c r="C2315" s="263"/>
      <c r="D2315" s="262"/>
      <c r="E2315" s="81" t="s">
        <v>187</v>
      </c>
      <c r="F2315" s="81" t="s">
        <v>187</v>
      </c>
      <c r="G2315" s="81" t="s">
        <v>187</v>
      </c>
      <c r="H2315" s="81" t="s">
        <v>187</v>
      </c>
      <c r="I2315" s="81" t="s">
        <v>187</v>
      </c>
      <c r="J2315" s="81" t="s">
        <v>187</v>
      </c>
      <c r="K2315" s="81" t="s">
        <v>187</v>
      </c>
      <c r="L2315" s="81" t="s">
        <v>187</v>
      </c>
    </row>
    <row r="2316" ht="15.75" customHeight="1">
      <c r="A2316" s="262"/>
      <c r="B2316" s="262"/>
      <c r="C2316" s="263"/>
      <c r="D2316" s="262"/>
      <c r="E2316" s="81" t="s">
        <v>187</v>
      </c>
      <c r="F2316" s="81" t="s">
        <v>187</v>
      </c>
      <c r="G2316" s="81" t="s">
        <v>187</v>
      </c>
      <c r="H2316" s="81" t="s">
        <v>187</v>
      </c>
      <c r="I2316" s="81" t="s">
        <v>187</v>
      </c>
      <c r="J2316" s="81" t="s">
        <v>187</v>
      </c>
      <c r="K2316" s="81" t="s">
        <v>187</v>
      </c>
      <c r="L2316" s="81" t="s">
        <v>187</v>
      </c>
    </row>
    <row r="2317" ht="15.75" customHeight="1">
      <c r="A2317" s="262"/>
      <c r="B2317" s="262"/>
      <c r="C2317" s="263"/>
      <c r="D2317" s="262"/>
      <c r="E2317" s="81" t="s">
        <v>187</v>
      </c>
      <c r="F2317" s="81" t="s">
        <v>187</v>
      </c>
      <c r="G2317" s="81" t="s">
        <v>187</v>
      </c>
      <c r="H2317" s="81" t="s">
        <v>187</v>
      </c>
      <c r="I2317" s="81" t="s">
        <v>187</v>
      </c>
      <c r="J2317" s="81" t="s">
        <v>187</v>
      </c>
      <c r="K2317" s="81" t="s">
        <v>187</v>
      </c>
      <c r="L2317" s="81" t="s">
        <v>187</v>
      </c>
    </row>
    <row r="2318" ht="15.75" customHeight="1">
      <c r="A2318" s="262"/>
      <c r="B2318" s="262"/>
      <c r="C2318" s="263"/>
      <c r="D2318" s="262"/>
      <c r="E2318" s="81" t="s">
        <v>187</v>
      </c>
      <c r="F2318" s="81" t="s">
        <v>187</v>
      </c>
      <c r="G2318" s="81" t="s">
        <v>187</v>
      </c>
      <c r="H2318" s="81" t="s">
        <v>187</v>
      </c>
      <c r="I2318" s="81" t="s">
        <v>187</v>
      </c>
      <c r="J2318" s="81" t="s">
        <v>187</v>
      </c>
      <c r="K2318" s="81" t="s">
        <v>187</v>
      </c>
      <c r="L2318" s="81" t="s">
        <v>187</v>
      </c>
    </row>
    <row r="2319" ht="15.75" customHeight="1">
      <c r="A2319" s="262"/>
      <c r="B2319" s="262"/>
      <c r="C2319" s="263"/>
      <c r="D2319" s="262"/>
      <c r="E2319" s="81" t="s">
        <v>187</v>
      </c>
      <c r="F2319" s="81" t="s">
        <v>187</v>
      </c>
      <c r="G2319" s="81" t="s">
        <v>187</v>
      </c>
      <c r="H2319" s="81" t="s">
        <v>187</v>
      </c>
      <c r="I2319" s="81" t="s">
        <v>187</v>
      </c>
      <c r="J2319" s="81" t="s">
        <v>187</v>
      </c>
      <c r="K2319" s="81" t="s">
        <v>187</v>
      </c>
      <c r="L2319" s="81" t="s">
        <v>187</v>
      </c>
    </row>
    <row r="2320" ht="15.75" customHeight="1">
      <c r="A2320" s="262"/>
      <c r="B2320" s="262"/>
      <c r="C2320" s="263"/>
      <c r="D2320" s="262"/>
      <c r="E2320" s="81" t="s">
        <v>187</v>
      </c>
      <c r="F2320" s="81" t="s">
        <v>187</v>
      </c>
      <c r="G2320" s="81" t="s">
        <v>187</v>
      </c>
      <c r="H2320" s="81" t="s">
        <v>187</v>
      </c>
      <c r="I2320" s="81" t="s">
        <v>187</v>
      </c>
      <c r="J2320" s="81" t="s">
        <v>187</v>
      </c>
      <c r="K2320" s="81" t="s">
        <v>187</v>
      </c>
      <c r="L2320" s="81" t="s">
        <v>187</v>
      </c>
    </row>
    <row r="2321" ht="15.75" customHeight="1">
      <c r="A2321" s="262"/>
      <c r="B2321" s="262"/>
      <c r="C2321" s="263"/>
      <c r="D2321" s="262"/>
      <c r="E2321" s="81" t="s">
        <v>187</v>
      </c>
      <c r="F2321" s="81" t="s">
        <v>187</v>
      </c>
      <c r="G2321" s="81" t="s">
        <v>187</v>
      </c>
      <c r="H2321" s="81" t="s">
        <v>187</v>
      </c>
      <c r="I2321" s="81" t="s">
        <v>187</v>
      </c>
      <c r="J2321" s="81" t="s">
        <v>187</v>
      </c>
      <c r="K2321" s="81" t="s">
        <v>187</v>
      </c>
      <c r="L2321" s="81" t="s">
        <v>187</v>
      </c>
    </row>
    <row r="2322" ht="15.75" customHeight="1">
      <c r="A2322" s="262"/>
      <c r="B2322" s="262"/>
      <c r="C2322" s="263"/>
      <c r="D2322" s="262"/>
      <c r="E2322" s="81" t="s">
        <v>187</v>
      </c>
      <c r="F2322" s="81" t="s">
        <v>187</v>
      </c>
      <c r="G2322" s="81" t="s">
        <v>187</v>
      </c>
      <c r="H2322" s="81" t="s">
        <v>187</v>
      </c>
      <c r="I2322" s="81" t="s">
        <v>187</v>
      </c>
      <c r="J2322" s="81" t="s">
        <v>187</v>
      </c>
      <c r="K2322" s="81" t="s">
        <v>187</v>
      </c>
      <c r="L2322" s="81" t="s">
        <v>187</v>
      </c>
    </row>
    <row r="2323" ht="15.75" customHeight="1">
      <c r="A2323" s="262"/>
      <c r="B2323" s="262"/>
      <c r="C2323" s="263"/>
      <c r="D2323" s="262"/>
      <c r="E2323" s="81" t="s">
        <v>187</v>
      </c>
      <c r="F2323" s="81" t="s">
        <v>187</v>
      </c>
      <c r="G2323" s="81" t="s">
        <v>187</v>
      </c>
      <c r="H2323" s="81" t="s">
        <v>187</v>
      </c>
      <c r="I2323" s="81" t="s">
        <v>187</v>
      </c>
      <c r="J2323" s="81" t="s">
        <v>187</v>
      </c>
      <c r="K2323" s="81" t="s">
        <v>187</v>
      </c>
      <c r="L2323" s="81" t="s">
        <v>187</v>
      </c>
    </row>
    <row r="2324" ht="15.75" customHeight="1">
      <c r="A2324" s="262"/>
      <c r="B2324" s="262"/>
      <c r="C2324" s="263"/>
      <c r="D2324" s="262"/>
      <c r="E2324" s="81" t="s">
        <v>187</v>
      </c>
      <c r="F2324" s="81" t="s">
        <v>187</v>
      </c>
      <c r="G2324" s="81" t="s">
        <v>187</v>
      </c>
      <c r="H2324" s="81" t="s">
        <v>187</v>
      </c>
      <c r="I2324" s="81" t="s">
        <v>187</v>
      </c>
      <c r="J2324" s="81" t="s">
        <v>187</v>
      </c>
      <c r="K2324" s="81" t="s">
        <v>187</v>
      </c>
      <c r="L2324" s="81" t="s">
        <v>187</v>
      </c>
    </row>
    <row r="2325" ht="15.75" customHeight="1">
      <c r="A2325" s="262"/>
      <c r="B2325" s="262"/>
      <c r="C2325" s="263"/>
      <c r="D2325" s="262"/>
      <c r="E2325" s="81" t="s">
        <v>187</v>
      </c>
      <c r="F2325" s="81" t="s">
        <v>187</v>
      </c>
      <c r="G2325" s="81" t="s">
        <v>187</v>
      </c>
      <c r="H2325" s="81" t="s">
        <v>187</v>
      </c>
      <c r="I2325" s="81" t="s">
        <v>187</v>
      </c>
      <c r="J2325" s="81" t="s">
        <v>187</v>
      </c>
      <c r="K2325" s="81" t="s">
        <v>187</v>
      </c>
      <c r="L2325" s="81" t="s">
        <v>187</v>
      </c>
    </row>
    <row r="2326" ht="15.75" customHeight="1">
      <c r="A2326" s="262"/>
      <c r="B2326" s="262"/>
      <c r="C2326" s="263"/>
      <c r="D2326" s="262"/>
      <c r="E2326" s="81" t="s">
        <v>187</v>
      </c>
      <c r="F2326" s="81" t="s">
        <v>187</v>
      </c>
      <c r="G2326" s="81" t="s">
        <v>187</v>
      </c>
      <c r="H2326" s="81" t="s">
        <v>187</v>
      </c>
      <c r="I2326" s="81" t="s">
        <v>187</v>
      </c>
      <c r="J2326" s="81" t="s">
        <v>187</v>
      </c>
      <c r="K2326" s="81" t="s">
        <v>187</v>
      </c>
      <c r="L2326" s="81" t="s">
        <v>187</v>
      </c>
    </row>
    <row r="2327" ht="15.75" customHeight="1">
      <c r="A2327" s="262"/>
      <c r="B2327" s="262"/>
      <c r="C2327" s="263"/>
      <c r="D2327" s="262"/>
      <c r="E2327" s="81" t="s">
        <v>187</v>
      </c>
      <c r="F2327" s="81" t="s">
        <v>187</v>
      </c>
      <c r="G2327" s="81" t="s">
        <v>187</v>
      </c>
      <c r="H2327" s="81" t="s">
        <v>187</v>
      </c>
      <c r="I2327" s="81" t="s">
        <v>187</v>
      </c>
      <c r="J2327" s="81" t="s">
        <v>187</v>
      </c>
      <c r="K2327" s="81" t="s">
        <v>187</v>
      </c>
      <c r="L2327" s="81" t="s">
        <v>187</v>
      </c>
    </row>
    <row r="2328" ht="15.75" customHeight="1">
      <c r="A2328" s="262"/>
      <c r="B2328" s="262"/>
      <c r="C2328" s="263"/>
      <c r="D2328" s="262"/>
      <c r="E2328" s="81" t="s">
        <v>187</v>
      </c>
      <c r="F2328" s="81" t="s">
        <v>187</v>
      </c>
      <c r="G2328" s="81" t="s">
        <v>187</v>
      </c>
      <c r="H2328" s="81" t="s">
        <v>187</v>
      </c>
      <c r="I2328" s="81" t="s">
        <v>187</v>
      </c>
      <c r="J2328" s="81" t="s">
        <v>187</v>
      </c>
      <c r="K2328" s="81" t="s">
        <v>187</v>
      </c>
      <c r="L2328" s="81" t="s">
        <v>187</v>
      </c>
    </row>
    <row r="2329" ht="15.75" customHeight="1">
      <c r="A2329" s="262"/>
      <c r="B2329" s="262"/>
      <c r="C2329" s="263"/>
      <c r="D2329" s="262"/>
      <c r="E2329" s="81" t="s">
        <v>187</v>
      </c>
      <c r="F2329" s="81" t="s">
        <v>187</v>
      </c>
      <c r="G2329" s="81" t="s">
        <v>187</v>
      </c>
      <c r="H2329" s="81" t="s">
        <v>187</v>
      </c>
      <c r="I2329" s="81" t="s">
        <v>187</v>
      </c>
      <c r="J2329" s="81" t="s">
        <v>187</v>
      </c>
      <c r="K2329" s="81" t="s">
        <v>187</v>
      </c>
      <c r="L2329" s="81" t="s">
        <v>187</v>
      </c>
    </row>
    <row r="2330" ht="15.75" customHeight="1">
      <c r="A2330" s="262"/>
      <c r="B2330" s="262"/>
      <c r="C2330" s="263"/>
      <c r="D2330" s="262"/>
      <c r="E2330" s="81" t="s">
        <v>187</v>
      </c>
      <c r="F2330" s="81" t="s">
        <v>187</v>
      </c>
      <c r="G2330" s="81" t="s">
        <v>187</v>
      </c>
      <c r="H2330" s="81" t="s">
        <v>187</v>
      </c>
      <c r="I2330" s="81" t="s">
        <v>187</v>
      </c>
      <c r="J2330" s="81" t="s">
        <v>187</v>
      </c>
      <c r="K2330" s="81" t="s">
        <v>187</v>
      </c>
      <c r="L2330" s="81" t="s">
        <v>187</v>
      </c>
    </row>
    <row r="2331" ht="15.75" customHeight="1">
      <c r="A2331" s="262"/>
      <c r="B2331" s="262"/>
      <c r="C2331" s="263"/>
      <c r="D2331" s="262"/>
      <c r="E2331" s="81" t="s">
        <v>187</v>
      </c>
      <c r="F2331" s="81" t="s">
        <v>187</v>
      </c>
      <c r="G2331" s="81" t="s">
        <v>187</v>
      </c>
      <c r="H2331" s="81" t="s">
        <v>187</v>
      </c>
      <c r="I2331" s="81" t="s">
        <v>187</v>
      </c>
      <c r="J2331" s="81" t="s">
        <v>187</v>
      </c>
      <c r="K2331" s="81" t="s">
        <v>187</v>
      </c>
      <c r="L2331" s="81" t="s">
        <v>187</v>
      </c>
    </row>
    <row r="2332" ht="15.75" customHeight="1">
      <c r="A2332" s="262"/>
      <c r="B2332" s="262"/>
      <c r="C2332" s="263"/>
      <c r="D2332" s="262"/>
      <c r="E2332" s="81" t="s">
        <v>187</v>
      </c>
      <c r="F2332" s="81" t="s">
        <v>187</v>
      </c>
      <c r="G2332" s="81" t="s">
        <v>187</v>
      </c>
      <c r="H2332" s="81" t="s">
        <v>187</v>
      </c>
      <c r="I2332" s="81" t="s">
        <v>187</v>
      </c>
      <c r="J2332" s="81" t="s">
        <v>187</v>
      </c>
      <c r="K2332" s="81" t="s">
        <v>187</v>
      </c>
      <c r="L2332" s="81" t="s">
        <v>187</v>
      </c>
    </row>
    <row r="2333" ht="15.75" customHeight="1">
      <c r="A2333" s="262"/>
      <c r="B2333" s="262"/>
      <c r="C2333" s="263"/>
      <c r="D2333" s="262"/>
      <c r="E2333" s="81" t="s">
        <v>187</v>
      </c>
      <c r="F2333" s="81" t="s">
        <v>187</v>
      </c>
      <c r="G2333" s="81" t="s">
        <v>187</v>
      </c>
      <c r="H2333" s="81" t="s">
        <v>187</v>
      </c>
      <c r="I2333" s="81" t="s">
        <v>187</v>
      </c>
      <c r="J2333" s="81" t="s">
        <v>187</v>
      </c>
      <c r="K2333" s="81" t="s">
        <v>187</v>
      </c>
      <c r="L2333" s="81" t="s">
        <v>187</v>
      </c>
    </row>
    <row r="2334" ht="15.75" customHeight="1">
      <c r="A2334" s="262"/>
      <c r="B2334" s="262"/>
      <c r="C2334" s="263"/>
      <c r="D2334" s="262"/>
      <c r="E2334" s="81" t="s">
        <v>187</v>
      </c>
      <c r="F2334" s="81" t="s">
        <v>187</v>
      </c>
      <c r="G2334" s="81" t="s">
        <v>187</v>
      </c>
      <c r="H2334" s="81" t="s">
        <v>187</v>
      </c>
      <c r="I2334" s="81" t="s">
        <v>187</v>
      </c>
      <c r="J2334" s="81" t="s">
        <v>187</v>
      </c>
      <c r="K2334" s="81" t="s">
        <v>187</v>
      </c>
      <c r="L2334" s="81" t="s">
        <v>187</v>
      </c>
    </row>
    <row r="2335" ht="15.75" customHeight="1">
      <c r="A2335" s="262"/>
      <c r="B2335" s="262"/>
      <c r="C2335" s="263"/>
      <c r="D2335" s="262"/>
      <c r="E2335" s="81" t="s">
        <v>187</v>
      </c>
      <c r="F2335" s="81" t="s">
        <v>187</v>
      </c>
      <c r="G2335" s="81" t="s">
        <v>187</v>
      </c>
      <c r="H2335" s="81" t="s">
        <v>187</v>
      </c>
      <c r="I2335" s="81" t="s">
        <v>187</v>
      </c>
      <c r="J2335" s="81" t="s">
        <v>187</v>
      </c>
      <c r="K2335" s="81" t="s">
        <v>187</v>
      </c>
      <c r="L2335" s="81" t="s">
        <v>187</v>
      </c>
    </row>
    <row r="2336" ht="15.75" customHeight="1">
      <c r="A2336" s="262"/>
      <c r="B2336" s="262"/>
      <c r="C2336" s="263"/>
      <c r="D2336" s="262"/>
      <c r="E2336" s="81" t="s">
        <v>187</v>
      </c>
      <c r="F2336" s="81" t="s">
        <v>187</v>
      </c>
      <c r="G2336" s="81" t="s">
        <v>187</v>
      </c>
      <c r="H2336" s="81" t="s">
        <v>187</v>
      </c>
      <c r="I2336" s="81" t="s">
        <v>187</v>
      </c>
      <c r="J2336" s="81" t="s">
        <v>187</v>
      </c>
      <c r="K2336" s="81" t="s">
        <v>187</v>
      </c>
      <c r="L2336" s="81" t="s">
        <v>187</v>
      </c>
    </row>
    <row r="2337" ht="15.75" customHeight="1">
      <c r="A2337" s="262"/>
      <c r="B2337" s="262"/>
      <c r="C2337" s="263"/>
      <c r="D2337" s="262"/>
      <c r="E2337" s="81" t="s">
        <v>187</v>
      </c>
      <c r="F2337" s="81" t="s">
        <v>187</v>
      </c>
      <c r="G2337" s="81" t="s">
        <v>187</v>
      </c>
      <c r="H2337" s="81" t="s">
        <v>187</v>
      </c>
      <c r="I2337" s="81" t="s">
        <v>187</v>
      </c>
      <c r="J2337" s="81" t="s">
        <v>187</v>
      </c>
      <c r="K2337" s="81" t="s">
        <v>187</v>
      </c>
      <c r="L2337" s="81" t="s">
        <v>187</v>
      </c>
    </row>
    <row r="2338" ht="15.75" customHeight="1">
      <c r="A2338" s="262"/>
      <c r="B2338" s="262"/>
      <c r="C2338" s="263"/>
      <c r="D2338" s="262"/>
      <c r="E2338" s="81" t="s">
        <v>187</v>
      </c>
      <c r="F2338" s="81" t="s">
        <v>187</v>
      </c>
      <c r="G2338" s="81" t="s">
        <v>187</v>
      </c>
      <c r="H2338" s="81" t="s">
        <v>187</v>
      </c>
      <c r="I2338" s="81" t="s">
        <v>187</v>
      </c>
      <c r="J2338" s="81" t="s">
        <v>187</v>
      </c>
      <c r="K2338" s="81" t="s">
        <v>187</v>
      </c>
      <c r="L2338" s="81" t="s">
        <v>187</v>
      </c>
    </row>
    <row r="2339" ht="15.75" customHeight="1">
      <c r="A2339" s="262"/>
      <c r="B2339" s="262"/>
      <c r="C2339" s="263"/>
      <c r="D2339" s="262"/>
      <c r="E2339" s="81" t="s">
        <v>187</v>
      </c>
      <c r="F2339" s="81" t="s">
        <v>187</v>
      </c>
      <c r="G2339" s="81" t="s">
        <v>187</v>
      </c>
      <c r="H2339" s="81" t="s">
        <v>187</v>
      </c>
      <c r="I2339" s="81" t="s">
        <v>187</v>
      </c>
      <c r="J2339" s="81" t="s">
        <v>187</v>
      </c>
      <c r="K2339" s="81" t="s">
        <v>187</v>
      </c>
      <c r="L2339" s="81" t="s">
        <v>187</v>
      </c>
    </row>
    <row r="2340" ht="15.75" customHeight="1">
      <c r="A2340" s="262"/>
      <c r="B2340" s="262"/>
      <c r="C2340" s="263"/>
      <c r="D2340" s="262"/>
      <c r="E2340" s="81" t="s">
        <v>187</v>
      </c>
      <c r="F2340" s="81" t="s">
        <v>187</v>
      </c>
      <c r="G2340" s="81" t="s">
        <v>187</v>
      </c>
      <c r="H2340" s="81" t="s">
        <v>187</v>
      </c>
      <c r="I2340" s="81" t="s">
        <v>187</v>
      </c>
      <c r="J2340" s="81" t="s">
        <v>187</v>
      </c>
      <c r="K2340" s="81" t="s">
        <v>187</v>
      </c>
      <c r="L2340" s="81" t="s">
        <v>187</v>
      </c>
    </row>
    <row r="2341" ht="15.75" customHeight="1">
      <c r="A2341" s="262"/>
      <c r="B2341" s="262"/>
      <c r="C2341" s="263"/>
      <c r="D2341" s="262"/>
      <c r="E2341" s="81" t="s">
        <v>187</v>
      </c>
      <c r="F2341" s="81" t="s">
        <v>187</v>
      </c>
      <c r="G2341" s="81" t="s">
        <v>187</v>
      </c>
      <c r="H2341" s="81" t="s">
        <v>187</v>
      </c>
      <c r="I2341" s="81" t="s">
        <v>187</v>
      </c>
      <c r="J2341" s="81" t="s">
        <v>187</v>
      </c>
      <c r="K2341" s="81" t="s">
        <v>187</v>
      </c>
      <c r="L2341" s="81" t="s">
        <v>187</v>
      </c>
    </row>
    <row r="2342" ht="15.75" customHeight="1">
      <c r="A2342" s="262"/>
      <c r="B2342" s="262"/>
      <c r="C2342" s="263"/>
      <c r="D2342" s="262"/>
      <c r="E2342" s="81" t="s">
        <v>187</v>
      </c>
      <c r="F2342" s="81" t="s">
        <v>187</v>
      </c>
      <c r="G2342" s="81" t="s">
        <v>187</v>
      </c>
      <c r="H2342" s="81" t="s">
        <v>187</v>
      </c>
      <c r="I2342" s="81" t="s">
        <v>187</v>
      </c>
      <c r="J2342" s="81" t="s">
        <v>187</v>
      </c>
      <c r="K2342" s="81" t="s">
        <v>187</v>
      </c>
      <c r="L2342" s="81" t="s">
        <v>187</v>
      </c>
    </row>
    <row r="2343" ht="15.75" customHeight="1">
      <c r="A2343" s="262"/>
      <c r="B2343" s="262"/>
      <c r="C2343" s="263"/>
      <c r="D2343" s="262"/>
      <c r="E2343" s="81" t="s">
        <v>187</v>
      </c>
      <c r="F2343" s="81" t="s">
        <v>187</v>
      </c>
      <c r="G2343" s="81" t="s">
        <v>187</v>
      </c>
      <c r="H2343" s="81" t="s">
        <v>187</v>
      </c>
      <c r="I2343" s="81" t="s">
        <v>187</v>
      </c>
      <c r="J2343" s="81" t="s">
        <v>187</v>
      </c>
      <c r="K2343" s="81" t="s">
        <v>187</v>
      </c>
      <c r="L2343" s="81" t="s">
        <v>187</v>
      </c>
    </row>
    <row r="2344" ht="15.75" customHeight="1">
      <c r="A2344" s="262"/>
      <c r="B2344" s="262"/>
      <c r="C2344" s="263"/>
      <c r="D2344" s="262"/>
      <c r="E2344" s="81" t="s">
        <v>187</v>
      </c>
      <c r="F2344" s="81" t="s">
        <v>187</v>
      </c>
      <c r="G2344" s="81" t="s">
        <v>187</v>
      </c>
      <c r="H2344" s="81" t="s">
        <v>187</v>
      </c>
      <c r="I2344" s="81" t="s">
        <v>187</v>
      </c>
      <c r="J2344" s="81" t="s">
        <v>187</v>
      </c>
      <c r="K2344" s="81" t="s">
        <v>187</v>
      </c>
      <c r="L2344" s="81" t="s">
        <v>187</v>
      </c>
    </row>
    <row r="2345" ht="15.75" customHeight="1">
      <c r="A2345" s="262"/>
      <c r="B2345" s="262"/>
      <c r="C2345" s="263"/>
      <c r="D2345" s="262"/>
      <c r="E2345" s="81" t="s">
        <v>187</v>
      </c>
      <c r="F2345" s="81" t="s">
        <v>187</v>
      </c>
      <c r="G2345" s="81" t="s">
        <v>187</v>
      </c>
      <c r="H2345" s="81" t="s">
        <v>187</v>
      </c>
      <c r="I2345" s="81" t="s">
        <v>187</v>
      </c>
      <c r="J2345" s="81" t="s">
        <v>187</v>
      </c>
      <c r="K2345" s="81" t="s">
        <v>187</v>
      </c>
      <c r="L2345" s="81" t="s">
        <v>187</v>
      </c>
    </row>
    <row r="2346" ht="15.75" customHeight="1">
      <c r="A2346" s="262"/>
      <c r="B2346" s="262"/>
      <c r="C2346" s="263"/>
      <c r="D2346" s="262"/>
      <c r="E2346" s="81" t="s">
        <v>187</v>
      </c>
      <c r="F2346" s="81" t="s">
        <v>187</v>
      </c>
      <c r="G2346" s="81" t="s">
        <v>187</v>
      </c>
      <c r="H2346" s="81" t="s">
        <v>187</v>
      </c>
      <c r="I2346" s="81" t="s">
        <v>187</v>
      </c>
      <c r="J2346" s="81" t="s">
        <v>187</v>
      </c>
      <c r="K2346" s="81" t="s">
        <v>187</v>
      </c>
      <c r="L2346" s="81" t="s">
        <v>187</v>
      </c>
    </row>
    <row r="2347" ht="15.75" customHeight="1">
      <c r="A2347" s="262"/>
      <c r="B2347" s="262"/>
      <c r="C2347" s="263"/>
      <c r="D2347" s="262"/>
      <c r="E2347" s="81" t="s">
        <v>187</v>
      </c>
      <c r="F2347" s="81" t="s">
        <v>187</v>
      </c>
      <c r="G2347" s="81" t="s">
        <v>187</v>
      </c>
      <c r="H2347" s="81" t="s">
        <v>187</v>
      </c>
      <c r="I2347" s="81" t="s">
        <v>187</v>
      </c>
      <c r="J2347" s="81" t="s">
        <v>187</v>
      </c>
      <c r="K2347" s="81" t="s">
        <v>187</v>
      </c>
      <c r="L2347" s="81" t="s">
        <v>187</v>
      </c>
    </row>
    <row r="2348" ht="15.75" customHeight="1">
      <c r="A2348" s="262"/>
      <c r="B2348" s="262"/>
      <c r="C2348" s="263"/>
      <c r="D2348" s="262"/>
      <c r="E2348" s="81" t="s">
        <v>187</v>
      </c>
      <c r="F2348" s="81" t="s">
        <v>187</v>
      </c>
      <c r="G2348" s="81" t="s">
        <v>187</v>
      </c>
      <c r="H2348" s="81" t="s">
        <v>187</v>
      </c>
      <c r="I2348" s="81" t="s">
        <v>187</v>
      </c>
      <c r="J2348" s="81" t="s">
        <v>187</v>
      </c>
      <c r="K2348" s="81" t="s">
        <v>187</v>
      </c>
      <c r="L2348" s="81" t="s">
        <v>187</v>
      </c>
    </row>
    <row r="2349" ht="15.75" customHeight="1">
      <c r="A2349" s="262"/>
      <c r="B2349" s="262"/>
      <c r="C2349" s="263"/>
      <c r="D2349" s="262"/>
      <c r="E2349" s="81" t="s">
        <v>187</v>
      </c>
      <c r="F2349" s="81" t="s">
        <v>187</v>
      </c>
      <c r="G2349" s="81" t="s">
        <v>187</v>
      </c>
      <c r="H2349" s="81" t="s">
        <v>187</v>
      </c>
      <c r="I2349" s="81" t="s">
        <v>187</v>
      </c>
      <c r="J2349" s="81" t="s">
        <v>187</v>
      </c>
      <c r="K2349" s="81" t="s">
        <v>187</v>
      </c>
      <c r="L2349" s="81" t="s">
        <v>187</v>
      </c>
    </row>
    <row r="2350" ht="15.75" customHeight="1">
      <c r="A2350" s="262"/>
      <c r="B2350" s="262"/>
      <c r="C2350" s="263"/>
      <c r="D2350" s="262"/>
      <c r="E2350" s="81" t="s">
        <v>187</v>
      </c>
      <c r="F2350" s="81" t="s">
        <v>187</v>
      </c>
      <c r="G2350" s="81" t="s">
        <v>187</v>
      </c>
      <c r="H2350" s="81" t="s">
        <v>187</v>
      </c>
      <c r="I2350" s="81" t="s">
        <v>187</v>
      </c>
      <c r="J2350" s="81" t="s">
        <v>187</v>
      </c>
      <c r="K2350" s="81" t="s">
        <v>187</v>
      </c>
      <c r="L2350" s="81" t="s">
        <v>187</v>
      </c>
    </row>
    <row r="2351" ht="15.75" customHeight="1">
      <c r="A2351" s="262"/>
      <c r="B2351" s="262"/>
      <c r="C2351" s="263"/>
      <c r="D2351" s="262"/>
      <c r="E2351" s="81" t="s">
        <v>187</v>
      </c>
      <c r="F2351" s="81" t="s">
        <v>187</v>
      </c>
      <c r="G2351" s="81" t="s">
        <v>187</v>
      </c>
      <c r="H2351" s="81" t="s">
        <v>187</v>
      </c>
      <c r="I2351" s="81" t="s">
        <v>187</v>
      </c>
      <c r="J2351" s="81" t="s">
        <v>187</v>
      </c>
      <c r="K2351" s="81" t="s">
        <v>187</v>
      </c>
      <c r="L2351" s="81" t="s">
        <v>187</v>
      </c>
    </row>
    <row r="2352" ht="15.75" customHeight="1">
      <c r="A2352" s="262"/>
      <c r="B2352" s="262"/>
      <c r="C2352" s="263"/>
      <c r="D2352" s="262"/>
      <c r="E2352" s="81" t="s">
        <v>187</v>
      </c>
      <c r="F2352" s="81" t="s">
        <v>187</v>
      </c>
      <c r="G2352" s="81" t="s">
        <v>187</v>
      </c>
      <c r="H2352" s="81" t="s">
        <v>187</v>
      </c>
      <c r="I2352" s="81" t="s">
        <v>187</v>
      </c>
      <c r="J2352" s="81" t="s">
        <v>187</v>
      </c>
      <c r="K2352" s="81" t="s">
        <v>187</v>
      </c>
      <c r="L2352" s="81" t="s">
        <v>187</v>
      </c>
    </row>
    <row r="2353" ht="15.75" customHeight="1">
      <c r="A2353" s="262"/>
      <c r="B2353" s="262"/>
      <c r="C2353" s="263"/>
      <c r="D2353" s="262"/>
      <c r="E2353" s="81" t="s">
        <v>187</v>
      </c>
      <c r="F2353" s="81" t="s">
        <v>187</v>
      </c>
      <c r="G2353" s="81" t="s">
        <v>187</v>
      </c>
      <c r="H2353" s="81" t="s">
        <v>187</v>
      </c>
      <c r="I2353" s="81" t="s">
        <v>187</v>
      </c>
      <c r="J2353" s="81" t="s">
        <v>187</v>
      </c>
      <c r="K2353" s="81" t="s">
        <v>187</v>
      </c>
      <c r="L2353" s="81" t="s">
        <v>187</v>
      </c>
    </row>
    <row r="2354" ht="15.75" customHeight="1">
      <c r="A2354" s="262"/>
      <c r="B2354" s="262"/>
      <c r="C2354" s="263"/>
      <c r="D2354" s="262"/>
      <c r="E2354" s="81" t="s">
        <v>187</v>
      </c>
      <c r="F2354" s="81" t="s">
        <v>187</v>
      </c>
      <c r="G2354" s="81" t="s">
        <v>187</v>
      </c>
      <c r="H2354" s="81" t="s">
        <v>187</v>
      </c>
      <c r="I2354" s="81" t="s">
        <v>187</v>
      </c>
      <c r="J2354" s="81" t="s">
        <v>187</v>
      </c>
      <c r="K2354" s="81" t="s">
        <v>187</v>
      </c>
      <c r="L2354" s="81" t="s">
        <v>187</v>
      </c>
    </row>
    <row r="2355" ht="15.75" customHeight="1">
      <c r="A2355" s="262"/>
      <c r="B2355" s="262"/>
      <c r="C2355" s="263"/>
      <c r="D2355" s="262"/>
      <c r="E2355" s="81" t="s">
        <v>187</v>
      </c>
      <c r="F2355" s="81" t="s">
        <v>187</v>
      </c>
      <c r="G2355" s="81" t="s">
        <v>187</v>
      </c>
      <c r="H2355" s="81" t="s">
        <v>187</v>
      </c>
      <c r="I2355" s="81" t="s">
        <v>187</v>
      </c>
      <c r="J2355" s="81" t="s">
        <v>187</v>
      </c>
      <c r="K2355" s="81" t="s">
        <v>187</v>
      </c>
      <c r="L2355" s="81" t="s">
        <v>187</v>
      </c>
    </row>
    <row r="2356" ht="15.75" customHeight="1">
      <c r="A2356" s="262"/>
      <c r="B2356" s="262"/>
      <c r="C2356" s="263"/>
      <c r="D2356" s="262"/>
      <c r="E2356" s="81" t="s">
        <v>187</v>
      </c>
      <c r="F2356" s="81" t="s">
        <v>187</v>
      </c>
      <c r="G2356" s="81" t="s">
        <v>187</v>
      </c>
      <c r="H2356" s="81" t="s">
        <v>187</v>
      </c>
      <c r="I2356" s="81" t="s">
        <v>187</v>
      </c>
      <c r="J2356" s="81" t="s">
        <v>187</v>
      </c>
      <c r="K2356" s="81" t="s">
        <v>187</v>
      </c>
      <c r="L2356" s="81" t="s">
        <v>187</v>
      </c>
    </row>
    <row r="2357" ht="15.75" customHeight="1">
      <c r="A2357" s="262"/>
      <c r="B2357" s="262"/>
      <c r="C2357" s="263"/>
      <c r="D2357" s="262"/>
      <c r="E2357" s="81" t="s">
        <v>187</v>
      </c>
      <c r="F2357" s="81" t="s">
        <v>187</v>
      </c>
      <c r="G2357" s="81" t="s">
        <v>187</v>
      </c>
      <c r="H2357" s="81" t="s">
        <v>187</v>
      </c>
      <c r="I2357" s="81" t="s">
        <v>187</v>
      </c>
      <c r="J2357" s="81" t="s">
        <v>187</v>
      </c>
      <c r="K2357" s="81" t="s">
        <v>187</v>
      </c>
      <c r="L2357" s="81" t="s">
        <v>187</v>
      </c>
    </row>
    <row r="2358" ht="15.75" customHeight="1">
      <c r="A2358" s="262"/>
      <c r="B2358" s="262"/>
      <c r="C2358" s="263"/>
      <c r="D2358" s="262"/>
      <c r="E2358" s="81" t="s">
        <v>187</v>
      </c>
      <c r="F2358" s="81" t="s">
        <v>187</v>
      </c>
      <c r="G2358" s="81" t="s">
        <v>187</v>
      </c>
      <c r="H2358" s="81" t="s">
        <v>187</v>
      </c>
      <c r="I2358" s="81" t="s">
        <v>187</v>
      </c>
      <c r="J2358" s="81" t="s">
        <v>187</v>
      </c>
      <c r="K2358" s="81" t="s">
        <v>187</v>
      </c>
      <c r="L2358" s="81" t="s">
        <v>187</v>
      </c>
    </row>
    <row r="2359" ht="15.75" customHeight="1">
      <c r="A2359" s="262"/>
      <c r="B2359" s="262"/>
      <c r="C2359" s="263"/>
      <c r="D2359" s="262"/>
      <c r="E2359" s="81" t="s">
        <v>187</v>
      </c>
      <c r="F2359" s="81" t="s">
        <v>187</v>
      </c>
      <c r="G2359" s="81" t="s">
        <v>187</v>
      </c>
      <c r="H2359" s="81" t="s">
        <v>187</v>
      </c>
      <c r="I2359" s="81" t="s">
        <v>187</v>
      </c>
      <c r="J2359" s="81" t="s">
        <v>187</v>
      </c>
      <c r="K2359" s="81" t="s">
        <v>187</v>
      </c>
      <c r="L2359" s="81" t="s">
        <v>187</v>
      </c>
    </row>
    <row r="2360" ht="15.75" customHeight="1">
      <c r="A2360" s="262"/>
      <c r="B2360" s="262"/>
      <c r="C2360" s="263"/>
      <c r="D2360" s="262"/>
      <c r="E2360" s="81" t="s">
        <v>187</v>
      </c>
      <c r="F2360" s="81" t="s">
        <v>187</v>
      </c>
      <c r="G2360" s="81" t="s">
        <v>187</v>
      </c>
      <c r="H2360" s="81" t="s">
        <v>187</v>
      </c>
      <c r="I2360" s="81" t="s">
        <v>187</v>
      </c>
      <c r="J2360" s="81" t="s">
        <v>187</v>
      </c>
      <c r="K2360" s="81" t="s">
        <v>187</v>
      </c>
      <c r="L2360" s="81" t="s">
        <v>187</v>
      </c>
    </row>
    <row r="2361" ht="15.75" customHeight="1">
      <c r="A2361" s="262"/>
      <c r="B2361" s="262"/>
      <c r="C2361" s="263"/>
      <c r="D2361" s="262"/>
      <c r="E2361" s="81" t="s">
        <v>187</v>
      </c>
      <c r="F2361" s="81" t="s">
        <v>187</v>
      </c>
      <c r="G2361" s="81" t="s">
        <v>187</v>
      </c>
      <c r="H2361" s="81" t="s">
        <v>187</v>
      </c>
      <c r="I2361" s="81" t="s">
        <v>187</v>
      </c>
      <c r="J2361" s="81" t="s">
        <v>187</v>
      </c>
      <c r="K2361" s="81" t="s">
        <v>187</v>
      </c>
      <c r="L2361" s="81" t="s">
        <v>187</v>
      </c>
    </row>
    <row r="2362" ht="15.75" customHeight="1">
      <c r="A2362" s="262"/>
      <c r="B2362" s="262"/>
      <c r="C2362" s="263"/>
      <c r="D2362" s="262"/>
      <c r="E2362" s="81" t="s">
        <v>187</v>
      </c>
      <c r="F2362" s="81" t="s">
        <v>187</v>
      </c>
      <c r="G2362" s="81" t="s">
        <v>187</v>
      </c>
      <c r="H2362" s="81" t="s">
        <v>187</v>
      </c>
      <c r="I2362" s="81" t="s">
        <v>187</v>
      </c>
      <c r="J2362" s="81" t="s">
        <v>187</v>
      </c>
      <c r="K2362" s="81" t="s">
        <v>187</v>
      </c>
      <c r="L2362" s="81" t="s">
        <v>187</v>
      </c>
    </row>
    <row r="2363" ht="15.75" customHeight="1">
      <c r="A2363" s="262"/>
      <c r="B2363" s="262"/>
      <c r="C2363" s="263"/>
      <c r="D2363" s="262"/>
      <c r="E2363" s="81" t="s">
        <v>187</v>
      </c>
      <c r="F2363" s="81" t="s">
        <v>187</v>
      </c>
      <c r="G2363" s="81" t="s">
        <v>187</v>
      </c>
      <c r="H2363" s="81" t="s">
        <v>187</v>
      </c>
      <c r="I2363" s="81" t="s">
        <v>187</v>
      </c>
      <c r="J2363" s="81" t="s">
        <v>187</v>
      </c>
      <c r="K2363" s="81" t="s">
        <v>187</v>
      </c>
      <c r="L2363" s="81" t="s">
        <v>187</v>
      </c>
    </row>
    <row r="2364" ht="15.75" customHeight="1">
      <c r="A2364" s="262"/>
      <c r="B2364" s="262"/>
      <c r="C2364" s="263"/>
      <c r="D2364" s="262"/>
      <c r="E2364" s="81" t="s">
        <v>187</v>
      </c>
      <c r="F2364" s="81" t="s">
        <v>187</v>
      </c>
      <c r="G2364" s="81" t="s">
        <v>187</v>
      </c>
      <c r="H2364" s="81" t="s">
        <v>187</v>
      </c>
      <c r="I2364" s="81" t="s">
        <v>187</v>
      </c>
      <c r="J2364" s="81" t="s">
        <v>187</v>
      </c>
      <c r="K2364" s="81" t="s">
        <v>187</v>
      </c>
      <c r="L2364" s="81" t="s">
        <v>187</v>
      </c>
    </row>
    <row r="2365" ht="15.75" customHeight="1">
      <c r="A2365" s="262"/>
      <c r="B2365" s="262"/>
      <c r="C2365" s="263"/>
      <c r="D2365" s="262"/>
      <c r="E2365" s="81" t="s">
        <v>187</v>
      </c>
      <c r="F2365" s="81" t="s">
        <v>187</v>
      </c>
      <c r="G2365" s="81" t="s">
        <v>187</v>
      </c>
      <c r="H2365" s="81" t="s">
        <v>187</v>
      </c>
      <c r="I2365" s="81" t="s">
        <v>187</v>
      </c>
      <c r="J2365" s="81" t="s">
        <v>187</v>
      </c>
      <c r="K2365" s="81" t="s">
        <v>187</v>
      </c>
      <c r="L2365" s="81" t="s">
        <v>187</v>
      </c>
    </row>
    <row r="2366" ht="15.75" customHeight="1">
      <c r="A2366" s="262"/>
      <c r="B2366" s="262"/>
      <c r="C2366" s="263"/>
      <c r="D2366" s="262"/>
      <c r="E2366" s="81" t="s">
        <v>187</v>
      </c>
      <c r="F2366" s="81" t="s">
        <v>187</v>
      </c>
      <c r="G2366" s="81" t="s">
        <v>187</v>
      </c>
      <c r="H2366" s="81" t="s">
        <v>187</v>
      </c>
      <c r="I2366" s="81" t="s">
        <v>187</v>
      </c>
      <c r="J2366" s="81" t="s">
        <v>187</v>
      </c>
      <c r="K2366" s="81" t="s">
        <v>187</v>
      </c>
      <c r="L2366" s="81" t="s">
        <v>187</v>
      </c>
    </row>
    <row r="2367" ht="15.75" customHeight="1">
      <c r="A2367" s="262"/>
      <c r="B2367" s="262"/>
      <c r="C2367" s="263"/>
      <c r="D2367" s="262"/>
      <c r="E2367" s="81" t="s">
        <v>187</v>
      </c>
      <c r="F2367" s="81" t="s">
        <v>187</v>
      </c>
      <c r="G2367" s="81" t="s">
        <v>187</v>
      </c>
      <c r="H2367" s="81" t="s">
        <v>187</v>
      </c>
      <c r="I2367" s="81" t="s">
        <v>187</v>
      </c>
      <c r="J2367" s="81" t="s">
        <v>187</v>
      </c>
      <c r="K2367" s="81" t="s">
        <v>187</v>
      </c>
      <c r="L2367" s="81" t="s">
        <v>187</v>
      </c>
    </row>
    <row r="2368" ht="15.75" customHeight="1">
      <c r="A2368" s="262"/>
      <c r="B2368" s="262"/>
      <c r="C2368" s="263"/>
      <c r="D2368" s="262"/>
      <c r="E2368" s="81" t="s">
        <v>187</v>
      </c>
      <c r="F2368" s="81" t="s">
        <v>187</v>
      </c>
      <c r="G2368" s="81" t="s">
        <v>187</v>
      </c>
      <c r="H2368" s="81" t="s">
        <v>187</v>
      </c>
      <c r="I2368" s="81" t="s">
        <v>187</v>
      </c>
      <c r="J2368" s="81" t="s">
        <v>187</v>
      </c>
      <c r="K2368" s="81" t="s">
        <v>187</v>
      </c>
      <c r="L2368" s="81" t="s">
        <v>187</v>
      </c>
    </row>
    <row r="2369" ht="15.75" customHeight="1">
      <c r="A2369" s="262"/>
      <c r="B2369" s="262"/>
      <c r="C2369" s="263"/>
      <c r="D2369" s="262"/>
      <c r="E2369" s="81" t="s">
        <v>187</v>
      </c>
      <c r="F2369" s="81" t="s">
        <v>187</v>
      </c>
      <c r="G2369" s="81" t="s">
        <v>187</v>
      </c>
      <c r="H2369" s="81" t="s">
        <v>187</v>
      </c>
      <c r="I2369" s="81" t="s">
        <v>187</v>
      </c>
      <c r="J2369" s="81" t="s">
        <v>187</v>
      </c>
      <c r="K2369" s="81" t="s">
        <v>187</v>
      </c>
      <c r="L2369" s="81" t="s">
        <v>187</v>
      </c>
    </row>
    <row r="2370" ht="15.75" customHeight="1">
      <c r="A2370" s="262"/>
      <c r="B2370" s="262"/>
      <c r="C2370" s="263"/>
      <c r="D2370" s="262"/>
      <c r="E2370" s="81" t="s">
        <v>187</v>
      </c>
      <c r="F2370" s="81" t="s">
        <v>187</v>
      </c>
      <c r="G2370" s="81" t="s">
        <v>187</v>
      </c>
      <c r="H2370" s="81" t="s">
        <v>187</v>
      </c>
      <c r="I2370" s="81" t="s">
        <v>187</v>
      </c>
      <c r="J2370" s="81" t="s">
        <v>187</v>
      </c>
      <c r="K2370" s="81" t="s">
        <v>187</v>
      </c>
      <c r="L2370" s="81" t="s">
        <v>187</v>
      </c>
    </row>
    <row r="2371" ht="15.75" customHeight="1">
      <c r="A2371" s="262"/>
      <c r="B2371" s="262"/>
      <c r="C2371" s="263"/>
      <c r="D2371" s="262"/>
      <c r="E2371" s="81" t="s">
        <v>187</v>
      </c>
      <c r="F2371" s="81" t="s">
        <v>187</v>
      </c>
      <c r="G2371" s="81" t="s">
        <v>187</v>
      </c>
      <c r="H2371" s="81" t="s">
        <v>187</v>
      </c>
      <c r="I2371" s="81" t="s">
        <v>187</v>
      </c>
      <c r="J2371" s="81" t="s">
        <v>187</v>
      </c>
      <c r="K2371" s="81" t="s">
        <v>187</v>
      </c>
      <c r="L2371" s="81" t="s">
        <v>187</v>
      </c>
    </row>
    <row r="2372" ht="15.75" customHeight="1">
      <c r="A2372" s="262"/>
      <c r="B2372" s="262"/>
      <c r="C2372" s="263"/>
      <c r="D2372" s="262"/>
      <c r="E2372" s="81" t="s">
        <v>187</v>
      </c>
      <c r="F2372" s="81" t="s">
        <v>187</v>
      </c>
      <c r="G2372" s="81" t="s">
        <v>187</v>
      </c>
      <c r="H2372" s="81" t="s">
        <v>187</v>
      </c>
      <c r="I2372" s="81" t="s">
        <v>187</v>
      </c>
      <c r="J2372" s="81" t="s">
        <v>187</v>
      </c>
      <c r="K2372" s="81" t="s">
        <v>187</v>
      </c>
      <c r="L2372" s="81" t="s">
        <v>187</v>
      </c>
    </row>
    <row r="2373" ht="15.75" customHeight="1">
      <c r="A2373" s="262"/>
      <c r="B2373" s="262"/>
      <c r="C2373" s="263"/>
      <c r="D2373" s="262"/>
      <c r="E2373" s="81" t="s">
        <v>187</v>
      </c>
      <c r="F2373" s="81" t="s">
        <v>187</v>
      </c>
      <c r="G2373" s="81" t="s">
        <v>187</v>
      </c>
      <c r="H2373" s="81" t="s">
        <v>187</v>
      </c>
      <c r="I2373" s="81" t="s">
        <v>187</v>
      </c>
      <c r="J2373" s="81" t="s">
        <v>187</v>
      </c>
      <c r="K2373" s="81" t="s">
        <v>187</v>
      </c>
      <c r="L2373" s="81" t="s">
        <v>187</v>
      </c>
    </row>
    <row r="2374" ht="15.75" customHeight="1">
      <c r="A2374" s="262"/>
      <c r="B2374" s="262"/>
      <c r="C2374" s="263"/>
      <c r="D2374" s="262"/>
      <c r="E2374" s="81" t="s">
        <v>187</v>
      </c>
      <c r="F2374" s="81" t="s">
        <v>187</v>
      </c>
      <c r="G2374" s="81" t="s">
        <v>187</v>
      </c>
      <c r="H2374" s="81" t="s">
        <v>187</v>
      </c>
      <c r="I2374" s="81" t="s">
        <v>187</v>
      </c>
      <c r="J2374" s="81" t="s">
        <v>187</v>
      </c>
      <c r="K2374" s="81" t="s">
        <v>187</v>
      </c>
      <c r="L2374" s="81" t="s">
        <v>187</v>
      </c>
    </row>
    <row r="2375" ht="15.75" customHeight="1">
      <c r="A2375" s="262"/>
      <c r="B2375" s="262"/>
      <c r="C2375" s="263"/>
      <c r="D2375" s="262"/>
      <c r="E2375" s="81" t="s">
        <v>187</v>
      </c>
      <c r="F2375" s="81" t="s">
        <v>187</v>
      </c>
      <c r="G2375" s="81" t="s">
        <v>187</v>
      </c>
      <c r="H2375" s="81" t="s">
        <v>187</v>
      </c>
      <c r="I2375" s="81" t="s">
        <v>187</v>
      </c>
      <c r="J2375" s="81" t="s">
        <v>187</v>
      </c>
      <c r="K2375" s="81" t="s">
        <v>187</v>
      </c>
      <c r="L2375" s="81" t="s">
        <v>187</v>
      </c>
    </row>
    <row r="2376" ht="15.75" customHeight="1">
      <c r="A2376" s="262"/>
      <c r="B2376" s="262"/>
      <c r="C2376" s="263"/>
      <c r="D2376" s="262"/>
      <c r="E2376" s="81" t="s">
        <v>187</v>
      </c>
      <c r="F2376" s="81" t="s">
        <v>187</v>
      </c>
      <c r="G2376" s="81" t="s">
        <v>187</v>
      </c>
      <c r="H2376" s="81" t="s">
        <v>187</v>
      </c>
      <c r="I2376" s="81" t="s">
        <v>187</v>
      </c>
      <c r="J2376" s="81" t="s">
        <v>187</v>
      </c>
      <c r="K2376" s="81" t="s">
        <v>187</v>
      </c>
      <c r="L2376" s="81" t="s">
        <v>187</v>
      </c>
    </row>
    <row r="2377" ht="15.75" customHeight="1">
      <c r="A2377" s="262"/>
      <c r="B2377" s="262"/>
      <c r="C2377" s="263"/>
      <c r="D2377" s="262"/>
      <c r="E2377" s="81" t="s">
        <v>187</v>
      </c>
      <c r="F2377" s="81" t="s">
        <v>187</v>
      </c>
      <c r="G2377" s="81" t="s">
        <v>187</v>
      </c>
      <c r="H2377" s="81" t="s">
        <v>187</v>
      </c>
      <c r="I2377" s="81" t="s">
        <v>187</v>
      </c>
      <c r="J2377" s="81" t="s">
        <v>187</v>
      </c>
      <c r="K2377" s="81" t="s">
        <v>187</v>
      </c>
      <c r="L2377" s="81" t="s">
        <v>187</v>
      </c>
    </row>
    <row r="2378" ht="15.75" customHeight="1">
      <c r="A2378" s="262"/>
      <c r="B2378" s="262"/>
      <c r="C2378" s="263"/>
      <c r="D2378" s="262"/>
      <c r="E2378" s="81" t="s">
        <v>187</v>
      </c>
      <c r="F2378" s="81" t="s">
        <v>187</v>
      </c>
      <c r="G2378" s="81" t="s">
        <v>187</v>
      </c>
      <c r="H2378" s="81" t="s">
        <v>187</v>
      </c>
      <c r="I2378" s="81" t="s">
        <v>187</v>
      </c>
      <c r="J2378" s="81" t="s">
        <v>187</v>
      </c>
      <c r="K2378" s="81" t="s">
        <v>187</v>
      </c>
      <c r="L2378" s="81" t="s">
        <v>187</v>
      </c>
    </row>
    <row r="2379" ht="15.75" customHeight="1">
      <c r="A2379" s="262"/>
      <c r="B2379" s="262"/>
      <c r="C2379" s="263"/>
      <c r="D2379" s="262"/>
      <c r="E2379" s="81" t="s">
        <v>187</v>
      </c>
      <c r="F2379" s="81" t="s">
        <v>187</v>
      </c>
      <c r="G2379" s="81" t="s">
        <v>187</v>
      </c>
      <c r="H2379" s="81" t="s">
        <v>187</v>
      </c>
      <c r="I2379" s="81" t="s">
        <v>187</v>
      </c>
      <c r="J2379" s="81" t="s">
        <v>187</v>
      </c>
      <c r="K2379" s="81" t="s">
        <v>187</v>
      </c>
      <c r="L2379" s="81" t="s">
        <v>187</v>
      </c>
    </row>
    <row r="2380" ht="15.75" customHeight="1">
      <c r="A2380" s="262"/>
      <c r="B2380" s="262"/>
      <c r="C2380" s="263"/>
      <c r="D2380" s="262"/>
      <c r="E2380" s="81" t="s">
        <v>187</v>
      </c>
      <c r="F2380" s="81" t="s">
        <v>187</v>
      </c>
      <c r="G2380" s="81" t="s">
        <v>187</v>
      </c>
      <c r="H2380" s="81" t="s">
        <v>187</v>
      </c>
      <c r="I2380" s="81" t="s">
        <v>187</v>
      </c>
      <c r="J2380" s="81" t="s">
        <v>187</v>
      </c>
      <c r="K2380" s="81" t="s">
        <v>187</v>
      </c>
      <c r="L2380" s="81" t="s">
        <v>187</v>
      </c>
    </row>
    <row r="2381" ht="15.75" customHeight="1">
      <c r="A2381" s="262"/>
      <c r="B2381" s="262"/>
      <c r="C2381" s="263"/>
      <c r="D2381" s="262"/>
      <c r="E2381" s="81" t="s">
        <v>187</v>
      </c>
      <c r="F2381" s="81" t="s">
        <v>187</v>
      </c>
      <c r="G2381" s="81" t="s">
        <v>187</v>
      </c>
      <c r="H2381" s="81" t="s">
        <v>187</v>
      </c>
      <c r="I2381" s="81" t="s">
        <v>187</v>
      </c>
      <c r="J2381" s="81" t="s">
        <v>187</v>
      </c>
      <c r="K2381" s="81" t="s">
        <v>187</v>
      </c>
      <c r="L2381" s="81" t="s">
        <v>187</v>
      </c>
    </row>
    <row r="2382" ht="15.75" customHeight="1">
      <c r="A2382" s="262"/>
      <c r="B2382" s="262"/>
      <c r="C2382" s="263"/>
      <c r="D2382" s="262"/>
      <c r="E2382" s="81" t="s">
        <v>187</v>
      </c>
      <c r="F2382" s="81" t="s">
        <v>187</v>
      </c>
      <c r="G2382" s="81" t="s">
        <v>187</v>
      </c>
      <c r="H2382" s="81" t="s">
        <v>187</v>
      </c>
      <c r="I2382" s="81" t="s">
        <v>187</v>
      </c>
      <c r="J2382" s="81" t="s">
        <v>187</v>
      </c>
      <c r="K2382" s="81" t="s">
        <v>187</v>
      </c>
      <c r="L2382" s="81" t="s">
        <v>187</v>
      </c>
    </row>
    <row r="2383" ht="15.75" customHeight="1">
      <c r="A2383" s="262"/>
      <c r="B2383" s="262"/>
      <c r="C2383" s="263"/>
      <c r="D2383" s="262"/>
      <c r="E2383" s="81" t="s">
        <v>187</v>
      </c>
      <c r="F2383" s="81" t="s">
        <v>187</v>
      </c>
      <c r="G2383" s="81" t="s">
        <v>187</v>
      </c>
      <c r="H2383" s="81" t="s">
        <v>187</v>
      </c>
      <c r="I2383" s="81" t="s">
        <v>187</v>
      </c>
      <c r="J2383" s="81" t="s">
        <v>187</v>
      </c>
      <c r="K2383" s="81" t="s">
        <v>187</v>
      </c>
      <c r="L2383" s="81" t="s">
        <v>187</v>
      </c>
    </row>
    <row r="2384" ht="15.75" customHeight="1">
      <c r="A2384" s="262"/>
      <c r="B2384" s="262"/>
      <c r="C2384" s="263"/>
      <c r="D2384" s="262"/>
      <c r="E2384" s="81" t="s">
        <v>187</v>
      </c>
      <c r="F2384" s="81" t="s">
        <v>187</v>
      </c>
      <c r="G2384" s="81" t="s">
        <v>187</v>
      </c>
      <c r="H2384" s="81" t="s">
        <v>187</v>
      </c>
      <c r="I2384" s="81" t="s">
        <v>187</v>
      </c>
      <c r="J2384" s="81" t="s">
        <v>187</v>
      </c>
      <c r="K2384" s="81" t="s">
        <v>187</v>
      </c>
      <c r="L2384" s="81" t="s">
        <v>187</v>
      </c>
    </row>
    <row r="2385" ht="15.75" customHeight="1">
      <c r="A2385" s="262"/>
      <c r="B2385" s="262"/>
      <c r="C2385" s="263"/>
      <c r="D2385" s="262"/>
      <c r="E2385" s="81" t="s">
        <v>187</v>
      </c>
      <c r="F2385" s="81" t="s">
        <v>187</v>
      </c>
      <c r="G2385" s="81" t="s">
        <v>187</v>
      </c>
      <c r="H2385" s="81" t="s">
        <v>187</v>
      </c>
      <c r="I2385" s="81" t="s">
        <v>187</v>
      </c>
      <c r="J2385" s="81" t="s">
        <v>187</v>
      </c>
      <c r="K2385" s="81" t="s">
        <v>187</v>
      </c>
      <c r="L2385" s="81" t="s">
        <v>187</v>
      </c>
    </row>
    <row r="2386" ht="15.75" customHeight="1">
      <c r="A2386" s="262"/>
      <c r="B2386" s="262"/>
      <c r="C2386" s="263"/>
      <c r="D2386" s="262"/>
      <c r="E2386" s="81" t="s">
        <v>187</v>
      </c>
      <c r="F2386" s="81" t="s">
        <v>187</v>
      </c>
      <c r="G2386" s="81" t="s">
        <v>187</v>
      </c>
      <c r="H2386" s="81" t="s">
        <v>187</v>
      </c>
      <c r="I2386" s="81" t="s">
        <v>187</v>
      </c>
      <c r="J2386" s="81" t="s">
        <v>187</v>
      </c>
      <c r="K2386" s="81" t="s">
        <v>187</v>
      </c>
      <c r="L2386" s="81" t="s">
        <v>187</v>
      </c>
    </row>
    <row r="2387" ht="15.75" customHeight="1">
      <c r="A2387" s="262"/>
      <c r="B2387" s="262"/>
      <c r="C2387" s="263"/>
      <c r="D2387" s="262"/>
      <c r="E2387" s="81" t="s">
        <v>187</v>
      </c>
      <c r="F2387" s="81" t="s">
        <v>187</v>
      </c>
      <c r="G2387" s="81" t="s">
        <v>187</v>
      </c>
      <c r="H2387" s="81" t="s">
        <v>187</v>
      </c>
      <c r="I2387" s="81" t="s">
        <v>187</v>
      </c>
      <c r="J2387" s="81" t="s">
        <v>187</v>
      </c>
      <c r="K2387" s="81" t="s">
        <v>187</v>
      </c>
      <c r="L2387" s="81" t="s">
        <v>187</v>
      </c>
    </row>
    <row r="2388" ht="15.75" customHeight="1">
      <c r="A2388" s="262"/>
      <c r="B2388" s="262"/>
      <c r="C2388" s="263"/>
      <c r="D2388" s="262"/>
      <c r="E2388" s="81" t="s">
        <v>187</v>
      </c>
      <c r="F2388" s="81" t="s">
        <v>187</v>
      </c>
      <c r="G2388" s="81" t="s">
        <v>187</v>
      </c>
      <c r="H2388" s="81" t="s">
        <v>187</v>
      </c>
      <c r="I2388" s="81" t="s">
        <v>187</v>
      </c>
      <c r="J2388" s="81" t="s">
        <v>187</v>
      </c>
      <c r="K2388" s="81" t="s">
        <v>187</v>
      </c>
      <c r="L2388" s="81" t="s">
        <v>187</v>
      </c>
    </row>
    <row r="2389" ht="15.75" customHeight="1">
      <c r="A2389" s="262"/>
      <c r="B2389" s="262"/>
      <c r="C2389" s="263"/>
      <c r="D2389" s="262"/>
      <c r="E2389" s="81" t="s">
        <v>187</v>
      </c>
      <c r="F2389" s="81" t="s">
        <v>187</v>
      </c>
      <c r="G2389" s="81" t="s">
        <v>187</v>
      </c>
      <c r="H2389" s="81" t="s">
        <v>187</v>
      </c>
      <c r="I2389" s="81" t="s">
        <v>187</v>
      </c>
      <c r="J2389" s="81" t="s">
        <v>187</v>
      </c>
      <c r="K2389" s="81" t="s">
        <v>187</v>
      </c>
      <c r="L2389" s="81" t="s">
        <v>187</v>
      </c>
    </row>
    <row r="2390" ht="15.75" customHeight="1">
      <c r="A2390" s="262"/>
      <c r="B2390" s="262"/>
      <c r="C2390" s="263"/>
      <c r="D2390" s="262"/>
      <c r="E2390" s="81" t="s">
        <v>187</v>
      </c>
      <c r="F2390" s="81" t="s">
        <v>187</v>
      </c>
      <c r="G2390" s="81" t="s">
        <v>187</v>
      </c>
      <c r="H2390" s="81" t="s">
        <v>187</v>
      </c>
      <c r="I2390" s="81" t="s">
        <v>187</v>
      </c>
      <c r="J2390" s="81" t="s">
        <v>187</v>
      </c>
      <c r="K2390" s="81" t="s">
        <v>187</v>
      </c>
      <c r="L2390" s="81" t="s">
        <v>187</v>
      </c>
    </row>
    <row r="2391" ht="15.75" customHeight="1">
      <c r="A2391" s="262"/>
      <c r="B2391" s="262"/>
      <c r="C2391" s="263"/>
      <c r="D2391" s="262"/>
      <c r="E2391" s="81" t="s">
        <v>187</v>
      </c>
      <c r="F2391" s="81" t="s">
        <v>187</v>
      </c>
      <c r="G2391" s="81" t="s">
        <v>187</v>
      </c>
      <c r="H2391" s="81" t="s">
        <v>187</v>
      </c>
      <c r="I2391" s="81" t="s">
        <v>187</v>
      </c>
      <c r="J2391" s="81" t="s">
        <v>187</v>
      </c>
      <c r="K2391" s="81" t="s">
        <v>187</v>
      </c>
      <c r="L2391" s="81" t="s">
        <v>187</v>
      </c>
    </row>
    <row r="2392" ht="15.75" customHeight="1">
      <c r="A2392" s="262"/>
      <c r="B2392" s="262"/>
      <c r="C2392" s="263"/>
      <c r="D2392" s="262"/>
      <c r="E2392" s="81" t="s">
        <v>187</v>
      </c>
      <c r="F2392" s="81" t="s">
        <v>187</v>
      </c>
      <c r="G2392" s="81" t="s">
        <v>187</v>
      </c>
      <c r="H2392" s="81" t="s">
        <v>187</v>
      </c>
      <c r="I2392" s="81" t="s">
        <v>187</v>
      </c>
      <c r="J2392" s="81" t="s">
        <v>187</v>
      </c>
      <c r="K2392" s="81" t="s">
        <v>187</v>
      </c>
      <c r="L2392" s="81" t="s">
        <v>187</v>
      </c>
    </row>
    <row r="2393" ht="15.75" customHeight="1">
      <c r="A2393" s="262"/>
      <c r="B2393" s="262"/>
      <c r="C2393" s="263"/>
      <c r="D2393" s="262"/>
      <c r="E2393" s="81" t="s">
        <v>187</v>
      </c>
      <c r="F2393" s="81" t="s">
        <v>187</v>
      </c>
      <c r="G2393" s="81" t="s">
        <v>187</v>
      </c>
      <c r="H2393" s="81" t="s">
        <v>187</v>
      </c>
      <c r="I2393" s="81" t="s">
        <v>187</v>
      </c>
      <c r="J2393" s="81" t="s">
        <v>187</v>
      </c>
      <c r="K2393" s="81" t="s">
        <v>187</v>
      </c>
      <c r="L2393" s="81" t="s">
        <v>187</v>
      </c>
    </row>
    <row r="2394" ht="15.75" customHeight="1">
      <c r="A2394" s="262"/>
      <c r="B2394" s="262"/>
      <c r="C2394" s="263"/>
      <c r="D2394" s="262"/>
      <c r="E2394" s="81" t="s">
        <v>187</v>
      </c>
      <c r="F2394" s="81" t="s">
        <v>187</v>
      </c>
      <c r="G2394" s="81" t="s">
        <v>187</v>
      </c>
      <c r="H2394" s="81" t="s">
        <v>187</v>
      </c>
      <c r="I2394" s="81" t="s">
        <v>187</v>
      </c>
      <c r="J2394" s="81" t="s">
        <v>187</v>
      </c>
      <c r="K2394" s="81" t="s">
        <v>187</v>
      </c>
      <c r="L2394" s="81" t="s">
        <v>187</v>
      </c>
    </row>
    <row r="2395" ht="15.75" customHeight="1">
      <c r="A2395" s="262"/>
      <c r="B2395" s="262"/>
      <c r="C2395" s="263"/>
      <c r="D2395" s="262"/>
      <c r="E2395" s="81" t="s">
        <v>187</v>
      </c>
      <c r="F2395" s="81" t="s">
        <v>187</v>
      </c>
      <c r="G2395" s="81" t="s">
        <v>187</v>
      </c>
      <c r="H2395" s="81" t="s">
        <v>187</v>
      </c>
      <c r="I2395" s="81" t="s">
        <v>187</v>
      </c>
      <c r="J2395" s="81" t="s">
        <v>187</v>
      </c>
      <c r="K2395" s="81" t="s">
        <v>187</v>
      </c>
      <c r="L2395" s="81" t="s">
        <v>187</v>
      </c>
    </row>
    <row r="2396" ht="15.75" customHeight="1">
      <c r="A2396" s="262"/>
      <c r="B2396" s="262"/>
      <c r="C2396" s="263"/>
      <c r="D2396" s="262"/>
      <c r="E2396" s="81" t="s">
        <v>187</v>
      </c>
      <c r="F2396" s="81" t="s">
        <v>187</v>
      </c>
      <c r="G2396" s="81" t="s">
        <v>187</v>
      </c>
      <c r="H2396" s="81" t="s">
        <v>187</v>
      </c>
      <c r="I2396" s="81" t="s">
        <v>187</v>
      </c>
      <c r="J2396" s="81" t="s">
        <v>187</v>
      </c>
      <c r="K2396" s="81" t="s">
        <v>187</v>
      </c>
      <c r="L2396" s="81" t="s">
        <v>187</v>
      </c>
    </row>
    <row r="2397" ht="15.75" customHeight="1">
      <c r="A2397" s="262"/>
      <c r="B2397" s="262"/>
      <c r="C2397" s="263"/>
      <c r="D2397" s="262"/>
      <c r="E2397" s="81" t="s">
        <v>187</v>
      </c>
      <c r="F2397" s="81" t="s">
        <v>187</v>
      </c>
      <c r="G2397" s="81" t="s">
        <v>187</v>
      </c>
      <c r="H2397" s="81" t="s">
        <v>187</v>
      </c>
      <c r="I2397" s="81" t="s">
        <v>187</v>
      </c>
      <c r="J2397" s="81" t="s">
        <v>187</v>
      </c>
      <c r="K2397" s="81" t="s">
        <v>187</v>
      </c>
      <c r="L2397" s="81" t="s">
        <v>187</v>
      </c>
    </row>
    <row r="2398" ht="15.75" customHeight="1">
      <c r="A2398" s="262"/>
      <c r="B2398" s="262"/>
      <c r="C2398" s="263"/>
      <c r="D2398" s="262"/>
      <c r="E2398" s="81" t="s">
        <v>187</v>
      </c>
      <c r="F2398" s="81" t="s">
        <v>187</v>
      </c>
      <c r="G2398" s="81" t="s">
        <v>187</v>
      </c>
      <c r="H2398" s="81" t="s">
        <v>187</v>
      </c>
      <c r="I2398" s="81" t="s">
        <v>187</v>
      </c>
      <c r="J2398" s="81" t="s">
        <v>187</v>
      </c>
      <c r="K2398" s="81" t="s">
        <v>187</v>
      </c>
      <c r="L2398" s="81" t="s">
        <v>187</v>
      </c>
    </row>
    <row r="2399" ht="15.75" customHeight="1">
      <c r="A2399" s="262"/>
      <c r="B2399" s="262"/>
      <c r="C2399" s="263"/>
      <c r="D2399" s="262"/>
      <c r="E2399" s="81" t="s">
        <v>187</v>
      </c>
      <c r="F2399" s="81" t="s">
        <v>187</v>
      </c>
      <c r="G2399" s="81" t="s">
        <v>187</v>
      </c>
      <c r="H2399" s="81" t="s">
        <v>187</v>
      </c>
      <c r="I2399" s="81" t="s">
        <v>187</v>
      </c>
      <c r="J2399" s="81" t="s">
        <v>187</v>
      </c>
      <c r="K2399" s="81" t="s">
        <v>187</v>
      </c>
      <c r="L2399" s="81" t="s">
        <v>187</v>
      </c>
    </row>
    <row r="2400" ht="15.75" customHeight="1">
      <c r="A2400" s="262"/>
      <c r="B2400" s="262"/>
      <c r="C2400" s="263"/>
      <c r="D2400" s="262"/>
      <c r="E2400" s="81" t="s">
        <v>187</v>
      </c>
      <c r="F2400" s="81" t="s">
        <v>187</v>
      </c>
      <c r="G2400" s="81" t="s">
        <v>187</v>
      </c>
      <c r="H2400" s="81" t="s">
        <v>187</v>
      </c>
      <c r="I2400" s="81" t="s">
        <v>187</v>
      </c>
      <c r="J2400" s="81" t="s">
        <v>187</v>
      </c>
      <c r="K2400" s="81" t="s">
        <v>187</v>
      </c>
      <c r="L2400" s="81" t="s">
        <v>187</v>
      </c>
    </row>
    <row r="2401" ht="15.75" customHeight="1">
      <c r="A2401" s="262"/>
      <c r="B2401" s="262"/>
      <c r="C2401" s="263"/>
      <c r="D2401" s="262"/>
      <c r="E2401" s="81" t="s">
        <v>187</v>
      </c>
      <c r="F2401" s="81" t="s">
        <v>187</v>
      </c>
      <c r="G2401" s="81" t="s">
        <v>187</v>
      </c>
      <c r="H2401" s="81" t="s">
        <v>187</v>
      </c>
      <c r="I2401" s="81" t="s">
        <v>187</v>
      </c>
      <c r="J2401" s="81" t="s">
        <v>187</v>
      </c>
      <c r="K2401" s="81" t="s">
        <v>187</v>
      </c>
      <c r="L2401" s="81" t="s">
        <v>187</v>
      </c>
    </row>
    <row r="2402" ht="15.75" customHeight="1">
      <c r="A2402" s="262"/>
      <c r="B2402" s="262"/>
      <c r="C2402" s="263"/>
      <c r="D2402" s="262"/>
      <c r="E2402" s="81" t="s">
        <v>187</v>
      </c>
      <c r="F2402" s="81" t="s">
        <v>187</v>
      </c>
      <c r="G2402" s="81" t="s">
        <v>187</v>
      </c>
      <c r="H2402" s="81" t="s">
        <v>187</v>
      </c>
      <c r="I2402" s="81" t="s">
        <v>187</v>
      </c>
      <c r="J2402" s="81" t="s">
        <v>187</v>
      </c>
      <c r="K2402" s="81" t="s">
        <v>187</v>
      </c>
      <c r="L2402" s="81" t="s">
        <v>187</v>
      </c>
    </row>
    <row r="2403" ht="15.75" customHeight="1">
      <c r="A2403" s="262"/>
      <c r="B2403" s="262"/>
      <c r="C2403" s="263"/>
      <c r="D2403" s="262"/>
      <c r="E2403" s="81" t="s">
        <v>187</v>
      </c>
      <c r="F2403" s="81" t="s">
        <v>187</v>
      </c>
      <c r="G2403" s="81" t="s">
        <v>187</v>
      </c>
      <c r="H2403" s="81" t="s">
        <v>187</v>
      </c>
      <c r="I2403" s="81" t="s">
        <v>187</v>
      </c>
      <c r="J2403" s="81" t="s">
        <v>187</v>
      </c>
      <c r="K2403" s="81" t="s">
        <v>187</v>
      </c>
      <c r="L2403" s="81" t="s">
        <v>187</v>
      </c>
    </row>
    <row r="2404" ht="15.75" customHeight="1">
      <c r="A2404" s="262"/>
      <c r="B2404" s="262"/>
      <c r="C2404" s="263"/>
      <c r="D2404" s="262"/>
      <c r="E2404" s="81" t="s">
        <v>187</v>
      </c>
      <c r="F2404" s="81" t="s">
        <v>187</v>
      </c>
      <c r="G2404" s="81" t="s">
        <v>187</v>
      </c>
      <c r="H2404" s="81" t="s">
        <v>187</v>
      </c>
      <c r="I2404" s="81" t="s">
        <v>187</v>
      </c>
      <c r="J2404" s="81" t="s">
        <v>187</v>
      </c>
      <c r="K2404" s="81" t="s">
        <v>187</v>
      </c>
      <c r="L2404" s="81" t="s">
        <v>187</v>
      </c>
    </row>
    <row r="2405" ht="15.75" customHeight="1">
      <c r="A2405" s="262"/>
      <c r="B2405" s="262"/>
      <c r="C2405" s="263"/>
      <c r="D2405" s="262"/>
      <c r="E2405" s="81" t="s">
        <v>187</v>
      </c>
      <c r="F2405" s="81" t="s">
        <v>187</v>
      </c>
      <c r="G2405" s="81" t="s">
        <v>187</v>
      </c>
      <c r="H2405" s="81" t="s">
        <v>187</v>
      </c>
      <c r="I2405" s="81" t="s">
        <v>187</v>
      </c>
      <c r="J2405" s="81" t="s">
        <v>187</v>
      </c>
      <c r="K2405" s="81" t="s">
        <v>187</v>
      </c>
      <c r="L2405" s="81" t="s">
        <v>187</v>
      </c>
    </row>
    <row r="2406" ht="15.75" customHeight="1">
      <c r="A2406" s="262"/>
      <c r="B2406" s="262"/>
      <c r="C2406" s="263"/>
      <c r="D2406" s="262"/>
      <c r="E2406" s="81" t="s">
        <v>187</v>
      </c>
      <c r="F2406" s="81" t="s">
        <v>187</v>
      </c>
      <c r="G2406" s="81" t="s">
        <v>187</v>
      </c>
      <c r="H2406" s="81" t="s">
        <v>187</v>
      </c>
      <c r="I2406" s="81" t="s">
        <v>187</v>
      </c>
      <c r="J2406" s="81" t="s">
        <v>187</v>
      </c>
      <c r="K2406" s="81" t="s">
        <v>187</v>
      </c>
      <c r="L2406" s="81" t="s">
        <v>187</v>
      </c>
    </row>
    <row r="2407" ht="15.75" customHeight="1">
      <c r="A2407" s="262"/>
      <c r="B2407" s="262"/>
      <c r="C2407" s="263"/>
      <c r="D2407" s="262"/>
      <c r="E2407" s="81" t="s">
        <v>187</v>
      </c>
      <c r="F2407" s="81" t="s">
        <v>187</v>
      </c>
      <c r="G2407" s="81" t="s">
        <v>187</v>
      </c>
      <c r="H2407" s="81" t="s">
        <v>187</v>
      </c>
      <c r="I2407" s="81" t="s">
        <v>187</v>
      </c>
      <c r="J2407" s="81" t="s">
        <v>187</v>
      </c>
      <c r="K2407" s="81" t="s">
        <v>187</v>
      </c>
      <c r="L2407" s="81" t="s">
        <v>187</v>
      </c>
    </row>
    <row r="2408" ht="15.75" customHeight="1">
      <c r="A2408" s="262"/>
      <c r="B2408" s="262"/>
      <c r="C2408" s="263"/>
      <c r="D2408" s="262"/>
      <c r="E2408" s="81" t="s">
        <v>187</v>
      </c>
      <c r="F2408" s="81" t="s">
        <v>187</v>
      </c>
      <c r="G2408" s="81" t="s">
        <v>187</v>
      </c>
      <c r="H2408" s="81" t="s">
        <v>187</v>
      </c>
      <c r="I2408" s="81" t="s">
        <v>187</v>
      </c>
      <c r="J2408" s="81" t="s">
        <v>187</v>
      </c>
      <c r="K2408" s="81" t="s">
        <v>187</v>
      </c>
      <c r="L2408" s="81" t="s">
        <v>187</v>
      </c>
    </row>
    <row r="2409" ht="15.75" customHeight="1">
      <c r="A2409" s="262"/>
      <c r="B2409" s="262"/>
      <c r="C2409" s="263"/>
      <c r="D2409" s="262"/>
      <c r="E2409" s="81" t="s">
        <v>187</v>
      </c>
      <c r="F2409" s="81" t="s">
        <v>187</v>
      </c>
      <c r="G2409" s="81" t="s">
        <v>187</v>
      </c>
      <c r="H2409" s="81" t="s">
        <v>187</v>
      </c>
      <c r="I2409" s="81" t="s">
        <v>187</v>
      </c>
      <c r="J2409" s="81" t="s">
        <v>187</v>
      </c>
      <c r="K2409" s="81" t="s">
        <v>187</v>
      </c>
      <c r="L2409" s="81" t="s">
        <v>187</v>
      </c>
    </row>
    <row r="2410" ht="15.75" customHeight="1">
      <c r="A2410" s="262"/>
      <c r="B2410" s="262"/>
      <c r="C2410" s="263"/>
      <c r="D2410" s="262"/>
      <c r="E2410" s="81" t="s">
        <v>187</v>
      </c>
      <c r="F2410" s="81" t="s">
        <v>187</v>
      </c>
      <c r="G2410" s="81" t="s">
        <v>187</v>
      </c>
      <c r="H2410" s="81" t="s">
        <v>187</v>
      </c>
      <c r="I2410" s="81" t="s">
        <v>187</v>
      </c>
      <c r="J2410" s="81" t="s">
        <v>187</v>
      </c>
      <c r="K2410" s="81" t="s">
        <v>187</v>
      </c>
      <c r="L2410" s="81" t="s">
        <v>187</v>
      </c>
    </row>
    <row r="2411" ht="15.75" customHeight="1">
      <c r="A2411" s="262"/>
      <c r="B2411" s="262"/>
      <c r="C2411" s="263"/>
      <c r="D2411" s="262"/>
      <c r="E2411" s="81" t="s">
        <v>187</v>
      </c>
      <c r="F2411" s="81" t="s">
        <v>187</v>
      </c>
      <c r="G2411" s="81" t="s">
        <v>187</v>
      </c>
      <c r="H2411" s="81" t="s">
        <v>187</v>
      </c>
      <c r="I2411" s="81" t="s">
        <v>187</v>
      </c>
      <c r="J2411" s="81" t="s">
        <v>187</v>
      </c>
      <c r="K2411" s="81" t="s">
        <v>187</v>
      </c>
      <c r="L2411" s="81" t="s">
        <v>187</v>
      </c>
    </row>
    <row r="2412" ht="15.75" customHeight="1">
      <c r="A2412" s="262"/>
      <c r="B2412" s="262"/>
      <c r="C2412" s="263"/>
      <c r="D2412" s="262"/>
      <c r="E2412" s="81" t="s">
        <v>187</v>
      </c>
      <c r="F2412" s="81" t="s">
        <v>187</v>
      </c>
      <c r="G2412" s="81" t="s">
        <v>187</v>
      </c>
      <c r="H2412" s="81" t="s">
        <v>187</v>
      </c>
      <c r="I2412" s="81" t="s">
        <v>187</v>
      </c>
      <c r="J2412" s="81" t="s">
        <v>187</v>
      </c>
      <c r="K2412" s="81" t="s">
        <v>187</v>
      </c>
      <c r="L2412" s="81" t="s">
        <v>187</v>
      </c>
    </row>
    <row r="2413" ht="15.75" customHeight="1">
      <c r="A2413" s="262"/>
      <c r="B2413" s="262"/>
      <c r="C2413" s="263"/>
      <c r="D2413" s="262"/>
      <c r="E2413" s="81" t="s">
        <v>187</v>
      </c>
      <c r="F2413" s="81" t="s">
        <v>187</v>
      </c>
      <c r="G2413" s="81" t="s">
        <v>187</v>
      </c>
      <c r="H2413" s="81" t="s">
        <v>187</v>
      </c>
      <c r="I2413" s="81" t="s">
        <v>187</v>
      </c>
      <c r="J2413" s="81" t="s">
        <v>187</v>
      </c>
      <c r="K2413" s="81" t="s">
        <v>187</v>
      </c>
      <c r="L2413" s="81" t="s">
        <v>187</v>
      </c>
    </row>
    <row r="2414" ht="15.75" customHeight="1">
      <c r="A2414" s="262"/>
      <c r="B2414" s="262"/>
      <c r="C2414" s="263"/>
      <c r="D2414" s="262"/>
      <c r="E2414" s="81" t="s">
        <v>187</v>
      </c>
      <c r="F2414" s="81" t="s">
        <v>187</v>
      </c>
      <c r="G2414" s="81" t="s">
        <v>187</v>
      </c>
      <c r="H2414" s="81" t="s">
        <v>187</v>
      </c>
      <c r="I2414" s="81" t="s">
        <v>187</v>
      </c>
      <c r="J2414" s="81" t="s">
        <v>187</v>
      </c>
      <c r="K2414" s="81" t="s">
        <v>187</v>
      </c>
      <c r="L2414" s="81" t="s">
        <v>187</v>
      </c>
    </row>
    <row r="2415" ht="15.75" customHeight="1">
      <c r="A2415" s="262"/>
      <c r="B2415" s="262"/>
      <c r="C2415" s="263"/>
      <c r="D2415" s="262"/>
      <c r="E2415" s="81" t="s">
        <v>187</v>
      </c>
      <c r="F2415" s="81" t="s">
        <v>187</v>
      </c>
      <c r="G2415" s="81" t="s">
        <v>187</v>
      </c>
      <c r="H2415" s="81" t="s">
        <v>187</v>
      </c>
      <c r="I2415" s="81" t="s">
        <v>187</v>
      </c>
      <c r="J2415" s="81" t="s">
        <v>187</v>
      </c>
      <c r="K2415" s="81" t="s">
        <v>187</v>
      </c>
      <c r="L2415" s="81" t="s">
        <v>187</v>
      </c>
    </row>
    <row r="2416" ht="15.75" customHeight="1">
      <c r="A2416" s="262"/>
      <c r="B2416" s="262"/>
      <c r="C2416" s="263"/>
      <c r="D2416" s="262"/>
      <c r="E2416" s="81" t="s">
        <v>187</v>
      </c>
      <c r="F2416" s="81" t="s">
        <v>187</v>
      </c>
      <c r="G2416" s="81" t="s">
        <v>187</v>
      </c>
      <c r="H2416" s="81" t="s">
        <v>187</v>
      </c>
      <c r="I2416" s="81" t="s">
        <v>187</v>
      </c>
      <c r="J2416" s="81" t="s">
        <v>187</v>
      </c>
      <c r="K2416" s="81" t="s">
        <v>187</v>
      </c>
      <c r="L2416" s="81" t="s">
        <v>187</v>
      </c>
    </row>
    <row r="2417" ht="15.75" customHeight="1">
      <c r="A2417" s="262"/>
      <c r="B2417" s="262"/>
      <c r="C2417" s="263"/>
      <c r="D2417" s="262"/>
      <c r="E2417" s="81" t="s">
        <v>187</v>
      </c>
      <c r="F2417" s="81" t="s">
        <v>187</v>
      </c>
      <c r="G2417" s="81" t="s">
        <v>187</v>
      </c>
      <c r="H2417" s="81" t="s">
        <v>187</v>
      </c>
      <c r="I2417" s="81" t="s">
        <v>187</v>
      </c>
      <c r="J2417" s="81" t="s">
        <v>187</v>
      </c>
      <c r="K2417" s="81" t="s">
        <v>187</v>
      </c>
      <c r="L2417" s="81" t="s">
        <v>187</v>
      </c>
    </row>
    <row r="2418" ht="15.75" customHeight="1">
      <c r="A2418" s="262"/>
      <c r="B2418" s="262"/>
      <c r="C2418" s="263"/>
      <c r="D2418" s="262"/>
      <c r="E2418" s="81" t="s">
        <v>187</v>
      </c>
      <c r="F2418" s="81" t="s">
        <v>187</v>
      </c>
      <c r="G2418" s="81" t="s">
        <v>187</v>
      </c>
      <c r="H2418" s="81" t="s">
        <v>187</v>
      </c>
      <c r="I2418" s="81" t="s">
        <v>187</v>
      </c>
      <c r="J2418" s="81" t="s">
        <v>187</v>
      </c>
      <c r="K2418" s="81" t="s">
        <v>187</v>
      </c>
      <c r="L2418" s="81" t="s">
        <v>187</v>
      </c>
    </row>
    <row r="2419" ht="15.75" customHeight="1">
      <c r="A2419" s="262"/>
      <c r="B2419" s="262"/>
      <c r="C2419" s="263"/>
      <c r="D2419" s="262"/>
      <c r="E2419" s="81" t="s">
        <v>187</v>
      </c>
      <c r="F2419" s="81" t="s">
        <v>187</v>
      </c>
      <c r="G2419" s="81" t="s">
        <v>187</v>
      </c>
      <c r="H2419" s="81" t="s">
        <v>187</v>
      </c>
      <c r="I2419" s="81" t="s">
        <v>187</v>
      </c>
      <c r="J2419" s="81" t="s">
        <v>187</v>
      </c>
      <c r="K2419" s="81" t="s">
        <v>187</v>
      </c>
      <c r="L2419" s="81" t="s">
        <v>187</v>
      </c>
    </row>
    <row r="2420" ht="15.75" customHeight="1">
      <c r="A2420" s="262"/>
      <c r="B2420" s="262"/>
      <c r="C2420" s="263"/>
      <c r="D2420" s="262"/>
      <c r="E2420" s="81" t="s">
        <v>187</v>
      </c>
      <c r="F2420" s="81" t="s">
        <v>187</v>
      </c>
      <c r="G2420" s="81" t="s">
        <v>187</v>
      </c>
      <c r="H2420" s="81" t="s">
        <v>187</v>
      </c>
      <c r="I2420" s="81" t="s">
        <v>187</v>
      </c>
      <c r="J2420" s="81" t="s">
        <v>187</v>
      </c>
      <c r="K2420" s="81" t="s">
        <v>187</v>
      </c>
      <c r="L2420" s="81" t="s">
        <v>187</v>
      </c>
    </row>
    <row r="2421" ht="15.75" customHeight="1">
      <c r="A2421" s="262"/>
      <c r="B2421" s="262"/>
      <c r="C2421" s="263"/>
      <c r="D2421" s="262"/>
      <c r="E2421" s="81" t="s">
        <v>187</v>
      </c>
      <c r="F2421" s="81" t="s">
        <v>187</v>
      </c>
      <c r="G2421" s="81" t="s">
        <v>187</v>
      </c>
      <c r="H2421" s="81" t="s">
        <v>187</v>
      </c>
      <c r="I2421" s="81" t="s">
        <v>187</v>
      </c>
      <c r="J2421" s="81" t="s">
        <v>187</v>
      </c>
      <c r="K2421" s="81" t="s">
        <v>187</v>
      </c>
      <c r="L2421" s="81" t="s">
        <v>187</v>
      </c>
    </row>
    <row r="2422" ht="15.75" customHeight="1">
      <c r="A2422" s="262"/>
      <c r="B2422" s="262"/>
      <c r="C2422" s="263"/>
      <c r="D2422" s="262"/>
      <c r="E2422" s="81" t="s">
        <v>187</v>
      </c>
      <c r="F2422" s="81" t="s">
        <v>187</v>
      </c>
      <c r="G2422" s="81" t="s">
        <v>187</v>
      </c>
      <c r="H2422" s="81" t="s">
        <v>187</v>
      </c>
      <c r="I2422" s="81" t="s">
        <v>187</v>
      </c>
      <c r="J2422" s="81" t="s">
        <v>187</v>
      </c>
      <c r="K2422" s="81" t="s">
        <v>187</v>
      </c>
      <c r="L2422" s="81" t="s">
        <v>187</v>
      </c>
    </row>
    <row r="2423" ht="15.75" customHeight="1">
      <c r="A2423" s="262"/>
      <c r="B2423" s="262"/>
      <c r="C2423" s="263"/>
      <c r="D2423" s="262"/>
      <c r="E2423" s="81" t="s">
        <v>187</v>
      </c>
      <c r="F2423" s="81" t="s">
        <v>187</v>
      </c>
      <c r="G2423" s="81" t="s">
        <v>187</v>
      </c>
      <c r="H2423" s="81" t="s">
        <v>187</v>
      </c>
      <c r="I2423" s="81" t="s">
        <v>187</v>
      </c>
      <c r="J2423" s="81" t="s">
        <v>187</v>
      </c>
      <c r="K2423" s="81" t="s">
        <v>187</v>
      </c>
      <c r="L2423" s="81" t="s">
        <v>187</v>
      </c>
    </row>
    <row r="2424" ht="15.75" customHeight="1">
      <c r="A2424" s="262"/>
      <c r="B2424" s="262"/>
      <c r="C2424" s="263"/>
      <c r="D2424" s="262"/>
      <c r="E2424" s="81" t="s">
        <v>187</v>
      </c>
      <c r="F2424" s="81" t="s">
        <v>187</v>
      </c>
      <c r="G2424" s="81" t="s">
        <v>187</v>
      </c>
      <c r="H2424" s="81" t="s">
        <v>187</v>
      </c>
      <c r="I2424" s="81" t="s">
        <v>187</v>
      </c>
      <c r="J2424" s="81" t="s">
        <v>187</v>
      </c>
      <c r="K2424" s="81" t="s">
        <v>187</v>
      </c>
      <c r="L2424" s="81" t="s">
        <v>187</v>
      </c>
    </row>
    <row r="2425" ht="15.75" customHeight="1">
      <c r="A2425" s="262"/>
      <c r="B2425" s="262"/>
      <c r="C2425" s="263"/>
      <c r="D2425" s="262"/>
      <c r="E2425" s="81" t="s">
        <v>187</v>
      </c>
      <c r="F2425" s="81" t="s">
        <v>187</v>
      </c>
      <c r="G2425" s="81" t="s">
        <v>187</v>
      </c>
      <c r="H2425" s="81" t="s">
        <v>187</v>
      </c>
      <c r="I2425" s="81" t="s">
        <v>187</v>
      </c>
      <c r="J2425" s="81" t="s">
        <v>187</v>
      </c>
      <c r="K2425" s="81" t="s">
        <v>187</v>
      </c>
      <c r="L2425" s="81" t="s">
        <v>187</v>
      </c>
    </row>
    <row r="2426" ht="15.75" customHeight="1">
      <c r="A2426" s="262"/>
      <c r="B2426" s="262"/>
      <c r="C2426" s="263"/>
      <c r="D2426" s="262"/>
      <c r="E2426" s="81" t="s">
        <v>187</v>
      </c>
      <c r="F2426" s="81" t="s">
        <v>187</v>
      </c>
      <c r="G2426" s="81" t="s">
        <v>187</v>
      </c>
      <c r="H2426" s="81" t="s">
        <v>187</v>
      </c>
      <c r="I2426" s="81" t="s">
        <v>187</v>
      </c>
      <c r="J2426" s="81" t="s">
        <v>187</v>
      </c>
      <c r="K2426" s="81" t="s">
        <v>187</v>
      </c>
      <c r="L2426" s="81" t="s">
        <v>187</v>
      </c>
    </row>
    <row r="2427" ht="15.75" customHeight="1">
      <c r="A2427" s="262"/>
      <c r="B2427" s="262"/>
      <c r="C2427" s="263"/>
      <c r="D2427" s="262"/>
      <c r="E2427" s="81" t="s">
        <v>187</v>
      </c>
      <c r="F2427" s="81" t="s">
        <v>187</v>
      </c>
      <c r="G2427" s="81" t="s">
        <v>187</v>
      </c>
      <c r="H2427" s="81" t="s">
        <v>187</v>
      </c>
      <c r="I2427" s="81" t="s">
        <v>187</v>
      </c>
      <c r="J2427" s="81" t="s">
        <v>187</v>
      </c>
      <c r="K2427" s="81" t="s">
        <v>187</v>
      </c>
      <c r="L2427" s="81" t="s">
        <v>187</v>
      </c>
    </row>
    <row r="2428" ht="15.75" customHeight="1">
      <c r="A2428" s="262"/>
      <c r="B2428" s="262"/>
      <c r="C2428" s="263"/>
      <c r="D2428" s="262"/>
      <c r="E2428" s="81" t="s">
        <v>187</v>
      </c>
      <c r="F2428" s="81" t="s">
        <v>187</v>
      </c>
      <c r="G2428" s="81" t="s">
        <v>187</v>
      </c>
      <c r="H2428" s="81" t="s">
        <v>187</v>
      </c>
      <c r="I2428" s="81" t="s">
        <v>187</v>
      </c>
      <c r="J2428" s="81" t="s">
        <v>187</v>
      </c>
      <c r="K2428" s="81" t="s">
        <v>187</v>
      </c>
      <c r="L2428" s="81" t="s">
        <v>187</v>
      </c>
    </row>
    <row r="2429" ht="15.75" customHeight="1">
      <c r="A2429" s="262"/>
      <c r="B2429" s="262"/>
      <c r="C2429" s="263"/>
      <c r="D2429" s="262"/>
      <c r="E2429" s="81" t="s">
        <v>187</v>
      </c>
      <c r="F2429" s="81" t="s">
        <v>187</v>
      </c>
      <c r="G2429" s="81" t="s">
        <v>187</v>
      </c>
      <c r="H2429" s="81" t="s">
        <v>187</v>
      </c>
      <c r="I2429" s="81" t="s">
        <v>187</v>
      </c>
      <c r="J2429" s="81" t="s">
        <v>187</v>
      </c>
      <c r="K2429" s="81" t="s">
        <v>187</v>
      </c>
      <c r="L2429" s="81" t="s">
        <v>187</v>
      </c>
    </row>
    <row r="2430" ht="15.75" customHeight="1">
      <c r="A2430" s="262"/>
      <c r="B2430" s="262"/>
      <c r="C2430" s="263"/>
      <c r="D2430" s="262"/>
      <c r="E2430" s="81" t="s">
        <v>187</v>
      </c>
      <c r="F2430" s="81" t="s">
        <v>187</v>
      </c>
      <c r="G2430" s="81" t="s">
        <v>187</v>
      </c>
      <c r="H2430" s="81" t="s">
        <v>187</v>
      </c>
      <c r="I2430" s="81" t="s">
        <v>187</v>
      </c>
      <c r="J2430" s="81" t="s">
        <v>187</v>
      </c>
      <c r="K2430" s="81" t="s">
        <v>187</v>
      </c>
      <c r="L2430" s="81" t="s">
        <v>187</v>
      </c>
    </row>
    <row r="2431" ht="15.75" customHeight="1">
      <c r="A2431" s="262"/>
      <c r="B2431" s="262"/>
      <c r="C2431" s="263"/>
      <c r="D2431" s="262"/>
      <c r="E2431" s="81" t="s">
        <v>187</v>
      </c>
      <c r="F2431" s="81" t="s">
        <v>187</v>
      </c>
      <c r="G2431" s="81" t="s">
        <v>187</v>
      </c>
      <c r="H2431" s="81" t="s">
        <v>187</v>
      </c>
      <c r="I2431" s="81" t="s">
        <v>187</v>
      </c>
      <c r="J2431" s="81" t="s">
        <v>187</v>
      </c>
      <c r="K2431" s="81" t="s">
        <v>187</v>
      </c>
      <c r="L2431" s="81" t="s">
        <v>187</v>
      </c>
    </row>
    <row r="2432" ht="15.75" customHeight="1">
      <c r="A2432" s="262"/>
      <c r="B2432" s="262"/>
      <c r="C2432" s="263"/>
      <c r="D2432" s="262"/>
      <c r="E2432" s="81" t="s">
        <v>187</v>
      </c>
      <c r="F2432" s="81" t="s">
        <v>187</v>
      </c>
      <c r="G2432" s="81" t="s">
        <v>187</v>
      </c>
      <c r="H2432" s="81" t="s">
        <v>187</v>
      </c>
      <c r="I2432" s="81" t="s">
        <v>187</v>
      </c>
      <c r="J2432" s="81" t="s">
        <v>187</v>
      </c>
      <c r="K2432" s="81" t="s">
        <v>187</v>
      </c>
      <c r="L2432" s="81" t="s">
        <v>187</v>
      </c>
    </row>
    <row r="2433" ht="15.75" customHeight="1">
      <c r="A2433" s="262"/>
      <c r="B2433" s="262"/>
      <c r="C2433" s="263"/>
      <c r="D2433" s="262"/>
      <c r="E2433" s="81" t="s">
        <v>187</v>
      </c>
      <c r="F2433" s="81" t="s">
        <v>187</v>
      </c>
      <c r="G2433" s="81" t="s">
        <v>187</v>
      </c>
      <c r="H2433" s="81" t="s">
        <v>187</v>
      </c>
      <c r="I2433" s="81" t="s">
        <v>187</v>
      </c>
      <c r="J2433" s="81" t="s">
        <v>187</v>
      </c>
      <c r="K2433" s="81" t="s">
        <v>187</v>
      </c>
      <c r="L2433" s="81" t="s">
        <v>187</v>
      </c>
    </row>
    <row r="2434" ht="15.75" customHeight="1">
      <c r="A2434" s="262"/>
      <c r="B2434" s="262"/>
      <c r="C2434" s="263"/>
      <c r="D2434" s="262"/>
      <c r="E2434" s="81" t="s">
        <v>187</v>
      </c>
      <c r="F2434" s="81" t="s">
        <v>187</v>
      </c>
      <c r="G2434" s="81" t="s">
        <v>187</v>
      </c>
      <c r="H2434" s="81" t="s">
        <v>187</v>
      </c>
      <c r="I2434" s="81" t="s">
        <v>187</v>
      </c>
      <c r="J2434" s="81" t="s">
        <v>187</v>
      </c>
      <c r="K2434" s="81" t="s">
        <v>187</v>
      </c>
      <c r="L2434" s="81" t="s">
        <v>187</v>
      </c>
    </row>
    <row r="2435" ht="15.75" customHeight="1">
      <c r="A2435" s="262"/>
      <c r="B2435" s="262"/>
      <c r="C2435" s="263"/>
      <c r="D2435" s="262"/>
      <c r="E2435" s="81" t="s">
        <v>187</v>
      </c>
      <c r="F2435" s="81" t="s">
        <v>187</v>
      </c>
      <c r="G2435" s="81" t="s">
        <v>187</v>
      </c>
      <c r="H2435" s="81" t="s">
        <v>187</v>
      </c>
      <c r="I2435" s="81" t="s">
        <v>187</v>
      </c>
      <c r="J2435" s="81" t="s">
        <v>187</v>
      </c>
      <c r="K2435" s="81" t="s">
        <v>187</v>
      </c>
      <c r="L2435" s="81" t="s">
        <v>187</v>
      </c>
    </row>
    <row r="2436" ht="15.75" customHeight="1">
      <c r="A2436" s="262"/>
      <c r="B2436" s="262"/>
      <c r="C2436" s="263"/>
      <c r="D2436" s="262"/>
      <c r="E2436" s="81" t="s">
        <v>187</v>
      </c>
      <c r="F2436" s="81" t="s">
        <v>187</v>
      </c>
      <c r="G2436" s="81" t="s">
        <v>187</v>
      </c>
      <c r="H2436" s="81" t="s">
        <v>187</v>
      </c>
      <c r="I2436" s="81" t="s">
        <v>187</v>
      </c>
      <c r="J2436" s="81" t="s">
        <v>187</v>
      </c>
      <c r="K2436" s="81" t="s">
        <v>187</v>
      </c>
      <c r="L2436" s="81" t="s">
        <v>187</v>
      </c>
    </row>
    <row r="2437" ht="15.75" customHeight="1">
      <c r="A2437" s="262"/>
      <c r="B2437" s="262"/>
      <c r="C2437" s="263"/>
      <c r="D2437" s="262"/>
      <c r="E2437" s="81" t="s">
        <v>187</v>
      </c>
      <c r="F2437" s="81" t="s">
        <v>187</v>
      </c>
      <c r="G2437" s="81" t="s">
        <v>187</v>
      </c>
      <c r="H2437" s="81" t="s">
        <v>187</v>
      </c>
      <c r="I2437" s="81" t="s">
        <v>187</v>
      </c>
      <c r="J2437" s="81" t="s">
        <v>187</v>
      </c>
      <c r="K2437" s="81" t="s">
        <v>187</v>
      </c>
      <c r="L2437" s="81" t="s">
        <v>187</v>
      </c>
    </row>
    <row r="2438" ht="15.75" customHeight="1">
      <c r="A2438" s="262"/>
      <c r="B2438" s="262"/>
      <c r="C2438" s="263"/>
      <c r="D2438" s="262"/>
      <c r="E2438" s="81" t="s">
        <v>187</v>
      </c>
      <c r="F2438" s="81" t="s">
        <v>187</v>
      </c>
      <c r="G2438" s="81" t="s">
        <v>187</v>
      </c>
      <c r="H2438" s="81" t="s">
        <v>187</v>
      </c>
      <c r="I2438" s="81" t="s">
        <v>187</v>
      </c>
      <c r="J2438" s="81" t="s">
        <v>187</v>
      </c>
      <c r="K2438" s="81" t="s">
        <v>187</v>
      </c>
      <c r="L2438" s="81" t="s">
        <v>187</v>
      </c>
    </row>
    <row r="2439" ht="15.75" customHeight="1">
      <c r="A2439" s="262"/>
      <c r="B2439" s="262"/>
      <c r="C2439" s="263"/>
      <c r="D2439" s="262"/>
      <c r="E2439" s="81" t="s">
        <v>187</v>
      </c>
      <c r="F2439" s="81" t="s">
        <v>187</v>
      </c>
      <c r="G2439" s="81" t="s">
        <v>187</v>
      </c>
      <c r="H2439" s="81" t="s">
        <v>187</v>
      </c>
      <c r="I2439" s="81" t="s">
        <v>187</v>
      </c>
      <c r="J2439" s="81" t="s">
        <v>187</v>
      </c>
      <c r="K2439" s="81" t="s">
        <v>187</v>
      </c>
      <c r="L2439" s="81" t="s">
        <v>187</v>
      </c>
    </row>
    <row r="2440" ht="15.75" customHeight="1">
      <c r="A2440" s="262"/>
      <c r="B2440" s="262"/>
      <c r="C2440" s="263"/>
      <c r="D2440" s="262"/>
      <c r="E2440" s="81" t="s">
        <v>187</v>
      </c>
      <c r="F2440" s="81" t="s">
        <v>187</v>
      </c>
      <c r="G2440" s="81" t="s">
        <v>187</v>
      </c>
      <c r="H2440" s="81" t="s">
        <v>187</v>
      </c>
      <c r="I2440" s="81" t="s">
        <v>187</v>
      </c>
      <c r="J2440" s="81" t="s">
        <v>187</v>
      </c>
      <c r="K2440" s="81" t="s">
        <v>187</v>
      </c>
      <c r="L2440" s="81" t="s">
        <v>187</v>
      </c>
    </row>
    <row r="2441" ht="15.75" customHeight="1">
      <c r="A2441" s="262"/>
      <c r="B2441" s="262"/>
      <c r="C2441" s="263"/>
      <c r="D2441" s="262"/>
      <c r="E2441" s="81" t="s">
        <v>187</v>
      </c>
      <c r="F2441" s="81" t="s">
        <v>187</v>
      </c>
      <c r="G2441" s="81" t="s">
        <v>187</v>
      </c>
      <c r="H2441" s="81" t="s">
        <v>187</v>
      </c>
      <c r="I2441" s="81" t="s">
        <v>187</v>
      </c>
      <c r="J2441" s="81" t="s">
        <v>187</v>
      </c>
      <c r="K2441" s="81" t="s">
        <v>187</v>
      </c>
      <c r="L2441" s="81" t="s">
        <v>187</v>
      </c>
    </row>
    <row r="2442" ht="15.75" customHeight="1">
      <c r="A2442" s="262"/>
      <c r="B2442" s="262"/>
      <c r="C2442" s="263"/>
      <c r="D2442" s="262"/>
      <c r="E2442" s="81" t="s">
        <v>187</v>
      </c>
      <c r="F2442" s="81" t="s">
        <v>187</v>
      </c>
      <c r="G2442" s="81" t="s">
        <v>187</v>
      </c>
      <c r="H2442" s="81" t="s">
        <v>187</v>
      </c>
      <c r="I2442" s="81" t="s">
        <v>187</v>
      </c>
      <c r="J2442" s="81" t="s">
        <v>187</v>
      </c>
      <c r="K2442" s="81" t="s">
        <v>187</v>
      </c>
      <c r="L2442" s="81" t="s">
        <v>187</v>
      </c>
    </row>
    <row r="2443" ht="15.75" customHeight="1">
      <c r="A2443" s="262"/>
      <c r="B2443" s="262"/>
      <c r="C2443" s="263"/>
      <c r="D2443" s="262"/>
      <c r="E2443" s="81" t="s">
        <v>187</v>
      </c>
      <c r="F2443" s="81" t="s">
        <v>187</v>
      </c>
      <c r="G2443" s="81" t="s">
        <v>187</v>
      </c>
      <c r="H2443" s="81" t="s">
        <v>187</v>
      </c>
      <c r="I2443" s="81" t="s">
        <v>187</v>
      </c>
      <c r="J2443" s="81" t="s">
        <v>187</v>
      </c>
      <c r="K2443" s="81" t="s">
        <v>187</v>
      </c>
      <c r="L2443" s="81" t="s">
        <v>187</v>
      </c>
    </row>
    <row r="2444" ht="15.75" customHeight="1">
      <c r="A2444" s="262"/>
      <c r="B2444" s="262"/>
      <c r="C2444" s="263"/>
      <c r="D2444" s="262"/>
      <c r="E2444" s="81" t="s">
        <v>187</v>
      </c>
      <c r="F2444" s="81" t="s">
        <v>187</v>
      </c>
      <c r="G2444" s="81" t="s">
        <v>187</v>
      </c>
      <c r="H2444" s="81" t="s">
        <v>187</v>
      </c>
      <c r="I2444" s="81" t="s">
        <v>187</v>
      </c>
      <c r="J2444" s="81" t="s">
        <v>187</v>
      </c>
      <c r="K2444" s="81" t="s">
        <v>187</v>
      </c>
      <c r="L2444" s="81" t="s">
        <v>187</v>
      </c>
    </row>
    <row r="2445" ht="15.75" customHeight="1">
      <c r="A2445" s="262"/>
      <c r="B2445" s="262"/>
      <c r="C2445" s="263"/>
      <c r="D2445" s="262"/>
      <c r="E2445" s="81" t="s">
        <v>187</v>
      </c>
      <c r="F2445" s="81" t="s">
        <v>187</v>
      </c>
      <c r="G2445" s="81" t="s">
        <v>187</v>
      </c>
      <c r="H2445" s="81" t="s">
        <v>187</v>
      </c>
      <c r="I2445" s="81" t="s">
        <v>187</v>
      </c>
      <c r="J2445" s="81" t="s">
        <v>187</v>
      </c>
      <c r="K2445" s="81" t="s">
        <v>187</v>
      </c>
      <c r="L2445" s="81" t="s">
        <v>187</v>
      </c>
    </row>
    <row r="2446" ht="15.75" customHeight="1">
      <c r="A2446" s="262"/>
      <c r="B2446" s="262"/>
      <c r="C2446" s="263"/>
      <c r="D2446" s="262"/>
      <c r="E2446" s="81" t="s">
        <v>187</v>
      </c>
      <c r="F2446" s="81" t="s">
        <v>187</v>
      </c>
      <c r="G2446" s="81" t="s">
        <v>187</v>
      </c>
      <c r="H2446" s="81" t="s">
        <v>187</v>
      </c>
      <c r="I2446" s="81" t="s">
        <v>187</v>
      </c>
      <c r="J2446" s="81" t="s">
        <v>187</v>
      </c>
      <c r="K2446" s="81" t="s">
        <v>187</v>
      </c>
      <c r="L2446" s="81" t="s">
        <v>187</v>
      </c>
    </row>
    <row r="2447" ht="15.75" customHeight="1">
      <c r="A2447" s="262"/>
      <c r="B2447" s="262"/>
      <c r="C2447" s="263"/>
      <c r="D2447" s="262"/>
      <c r="E2447" s="81" t="s">
        <v>187</v>
      </c>
      <c r="F2447" s="81" t="s">
        <v>187</v>
      </c>
      <c r="G2447" s="81" t="s">
        <v>187</v>
      </c>
      <c r="H2447" s="81" t="s">
        <v>187</v>
      </c>
      <c r="I2447" s="81" t="s">
        <v>187</v>
      </c>
      <c r="J2447" s="81" t="s">
        <v>187</v>
      </c>
      <c r="K2447" s="81" t="s">
        <v>187</v>
      </c>
      <c r="L2447" s="81" t="s">
        <v>187</v>
      </c>
    </row>
    <row r="2448" ht="15.75" customHeight="1">
      <c r="A2448" s="262"/>
      <c r="B2448" s="262"/>
      <c r="C2448" s="263"/>
      <c r="D2448" s="262"/>
      <c r="E2448" s="81" t="s">
        <v>187</v>
      </c>
      <c r="F2448" s="81" t="s">
        <v>187</v>
      </c>
      <c r="G2448" s="81" t="s">
        <v>187</v>
      </c>
      <c r="H2448" s="81" t="s">
        <v>187</v>
      </c>
      <c r="I2448" s="81" t="s">
        <v>187</v>
      </c>
      <c r="J2448" s="81" t="s">
        <v>187</v>
      </c>
      <c r="K2448" s="81" t="s">
        <v>187</v>
      </c>
      <c r="L2448" s="81" t="s">
        <v>187</v>
      </c>
    </row>
    <row r="2449" ht="15.75" customHeight="1">
      <c r="A2449" s="262"/>
      <c r="B2449" s="262"/>
      <c r="C2449" s="263"/>
      <c r="D2449" s="262"/>
      <c r="E2449" s="81" t="s">
        <v>187</v>
      </c>
      <c r="F2449" s="81" t="s">
        <v>187</v>
      </c>
      <c r="G2449" s="81" t="s">
        <v>187</v>
      </c>
      <c r="H2449" s="81" t="s">
        <v>187</v>
      </c>
      <c r="I2449" s="81" t="s">
        <v>187</v>
      </c>
      <c r="J2449" s="81" t="s">
        <v>187</v>
      </c>
      <c r="K2449" s="81" t="s">
        <v>187</v>
      </c>
      <c r="L2449" s="81" t="s">
        <v>187</v>
      </c>
    </row>
    <row r="2450" ht="15.75" customHeight="1">
      <c r="A2450" s="262"/>
      <c r="B2450" s="262"/>
      <c r="C2450" s="263"/>
      <c r="D2450" s="262"/>
      <c r="E2450" s="81" t="s">
        <v>187</v>
      </c>
      <c r="F2450" s="81" t="s">
        <v>187</v>
      </c>
      <c r="G2450" s="81" t="s">
        <v>187</v>
      </c>
      <c r="H2450" s="81" t="s">
        <v>187</v>
      </c>
      <c r="I2450" s="81" t="s">
        <v>187</v>
      </c>
      <c r="J2450" s="81" t="s">
        <v>187</v>
      </c>
      <c r="K2450" s="81" t="s">
        <v>187</v>
      </c>
      <c r="L2450" s="81" t="s">
        <v>187</v>
      </c>
    </row>
    <row r="2451" ht="15.75" customHeight="1">
      <c r="A2451" s="262"/>
      <c r="B2451" s="262"/>
      <c r="C2451" s="263"/>
      <c r="D2451" s="262"/>
      <c r="E2451" s="81" t="s">
        <v>187</v>
      </c>
      <c r="F2451" s="81" t="s">
        <v>187</v>
      </c>
      <c r="G2451" s="81" t="s">
        <v>187</v>
      </c>
      <c r="H2451" s="81" t="s">
        <v>187</v>
      </c>
      <c r="I2451" s="81" t="s">
        <v>187</v>
      </c>
      <c r="J2451" s="81" t="s">
        <v>187</v>
      </c>
      <c r="K2451" s="81" t="s">
        <v>187</v>
      </c>
      <c r="L2451" s="81" t="s">
        <v>187</v>
      </c>
    </row>
    <row r="2452" ht="15.75" customHeight="1">
      <c r="A2452" s="262"/>
      <c r="B2452" s="262"/>
      <c r="C2452" s="263"/>
      <c r="D2452" s="262"/>
      <c r="E2452" s="81" t="s">
        <v>187</v>
      </c>
      <c r="F2452" s="81" t="s">
        <v>187</v>
      </c>
      <c r="G2452" s="81" t="s">
        <v>187</v>
      </c>
      <c r="H2452" s="81" t="s">
        <v>187</v>
      </c>
      <c r="I2452" s="81" t="s">
        <v>187</v>
      </c>
      <c r="J2452" s="81" t="s">
        <v>187</v>
      </c>
      <c r="K2452" s="81" t="s">
        <v>187</v>
      </c>
      <c r="L2452" s="81" t="s">
        <v>187</v>
      </c>
    </row>
    <row r="2453" ht="15.75" customHeight="1">
      <c r="A2453" s="262"/>
      <c r="B2453" s="262"/>
      <c r="C2453" s="263"/>
      <c r="D2453" s="262"/>
      <c r="E2453" s="81" t="s">
        <v>187</v>
      </c>
      <c r="F2453" s="81" t="s">
        <v>187</v>
      </c>
      <c r="G2453" s="81" t="s">
        <v>187</v>
      </c>
      <c r="H2453" s="81" t="s">
        <v>187</v>
      </c>
      <c r="I2453" s="81" t="s">
        <v>187</v>
      </c>
      <c r="J2453" s="81" t="s">
        <v>187</v>
      </c>
      <c r="K2453" s="81" t="s">
        <v>187</v>
      </c>
      <c r="L2453" s="81" t="s">
        <v>187</v>
      </c>
    </row>
    <row r="2454" ht="15.75" customHeight="1">
      <c r="A2454" s="262"/>
      <c r="B2454" s="262"/>
      <c r="C2454" s="263"/>
      <c r="D2454" s="262"/>
      <c r="E2454" s="81" t="s">
        <v>187</v>
      </c>
      <c r="F2454" s="81" t="s">
        <v>187</v>
      </c>
      <c r="G2454" s="81" t="s">
        <v>187</v>
      </c>
      <c r="H2454" s="81" t="s">
        <v>187</v>
      </c>
      <c r="I2454" s="81" t="s">
        <v>187</v>
      </c>
      <c r="J2454" s="81" t="s">
        <v>187</v>
      </c>
      <c r="K2454" s="81" t="s">
        <v>187</v>
      </c>
      <c r="L2454" s="81" t="s">
        <v>187</v>
      </c>
    </row>
    <row r="2455" ht="15.75" customHeight="1">
      <c r="A2455" s="262"/>
      <c r="B2455" s="262"/>
      <c r="C2455" s="263"/>
      <c r="D2455" s="262"/>
      <c r="E2455" s="81" t="s">
        <v>187</v>
      </c>
      <c r="F2455" s="81" t="s">
        <v>187</v>
      </c>
      <c r="G2455" s="81" t="s">
        <v>187</v>
      </c>
      <c r="H2455" s="81" t="s">
        <v>187</v>
      </c>
      <c r="I2455" s="81" t="s">
        <v>187</v>
      </c>
      <c r="J2455" s="81" t="s">
        <v>187</v>
      </c>
      <c r="K2455" s="81" t="s">
        <v>187</v>
      </c>
      <c r="L2455" s="81" t="s">
        <v>187</v>
      </c>
    </row>
    <row r="2456" ht="15.75" customHeight="1">
      <c r="A2456" s="262"/>
      <c r="B2456" s="262"/>
      <c r="C2456" s="263"/>
      <c r="D2456" s="262"/>
      <c r="E2456" s="81" t="s">
        <v>187</v>
      </c>
      <c r="F2456" s="81" t="s">
        <v>187</v>
      </c>
      <c r="G2456" s="81" t="s">
        <v>187</v>
      </c>
      <c r="H2456" s="81" t="s">
        <v>187</v>
      </c>
      <c r="I2456" s="81" t="s">
        <v>187</v>
      </c>
      <c r="J2456" s="81" t="s">
        <v>187</v>
      </c>
      <c r="K2456" s="81" t="s">
        <v>187</v>
      </c>
      <c r="L2456" s="81" t="s">
        <v>187</v>
      </c>
    </row>
    <row r="2457" ht="15.75" customHeight="1">
      <c r="A2457" s="262"/>
      <c r="B2457" s="262"/>
      <c r="C2457" s="263"/>
      <c r="D2457" s="262"/>
      <c r="E2457" s="81" t="s">
        <v>187</v>
      </c>
      <c r="F2457" s="81" t="s">
        <v>187</v>
      </c>
      <c r="G2457" s="81" t="s">
        <v>187</v>
      </c>
      <c r="H2457" s="81" t="s">
        <v>187</v>
      </c>
      <c r="I2457" s="81" t="s">
        <v>187</v>
      </c>
      <c r="J2457" s="81" t="s">
        <v>187</v>
      </c>
      <c r="K2457" s="81" t="s">
        <v>187</v>
      </c>
      <c r="L2457" s="81" t="s">
        <v>187</v>
      </c>
    </row>
    <row r="2458" ht="15.75" customHeight="1">
      <c r="A2458" s="262"/>
      <c r="B2458" s="262"/>
      <c r="C2458" s="263"/>
      <c r="D2458" s="262"/>
      <c r="E2458" s="81" t="s">
        <v>187</v>
      </c>
      <c r="F2458" s="81" t="s">
        <v>187</v>
      </c>
      <c r="G2458" s="81" t="s">
        <v>187</v>
      </c>
      <c r="H2458" s="81" t="s">
        <v>187</v>
      </c>
      <c r="I2458" s="81" t="s">
        <v>187</v>
      </c>
      <c r="J2458" s="81" t="s">
        <v>187</v>
      </c>
      <c r="K2458" s="81" t="s">
        <v>187</v>
      </c>
      <c r="L2458" s="81" t="s">
        <v>187</v>
      </c>
    </row>
    <row r="2459" ht="15.75" customHeight="1">
      <c r="A2459" s="262"/>
      <c r="B2459" s="262"/>
      <c r="C2459" s="263"/>
      <c r="D2459" s="262"/>
      <c r="E2459" s="81" t="s">
        <v>187</v>
      </c>
      <c r="F2459" s="81" t="s">
        <v>187</v>
      </c>
      <c r="G2459" s="81" t="s">
        <v>187</v>
      </c>
      <c r="H2459" s="81" t="s">
        <v>187</v>
      </c>
      <c r="I2459" s="81" t="s">
        <v>187</v>
      </c>
      <c r="J2459" s="81" t="s">
        <v>187</v>
      </c>
      <c r="K2459" s="81" t="s">
        <v>187</v>
      </c>
      <c r="L2459" s="81" t="s">
        <v>187</v>
      </c>
    </row>
    <row r="2460" ht="15.75" customHeight="1">
      <c r="A2460" s="262"/>
      <c r="B2460" s="262"/>
      <c r="C2460" s="263"/>
      <c r="D2460" s="262"/>
      <c r="E2460" s="81" t="s">
        <v>187</v>
      </c>
      <c r="F2460" s="81" t="s">
        <v>187</v>
      </c>
      <c r="G2460" s="81" t="s">
        <v>187</v>
      </c>
      <c r="H2460" s="81" t="s">
        <v>187</v>
      </c>
      <c r="I2460" s="81" t="s">
        <v>187</v>
      </c>
      <c r="J2460" s="81" t="s">
        <v>187</v>
      </c>
      <c r="K2460" s="81" t="s">
        <v>187</v>
      </c>
      <c r="L2460" s="81" t="s">
        <v>187</v>
      </c>
    </row>
    <row r="2461" ht="15.75" customHeight="1">
      <c r="A2461" s="262"/>
      <c r="B2461" s="262"/>
      <c r="C2461" s="263"/>
      <c r="D2461" s="262"/>
      <c r="E2461" s="81" t="s">
        <v>187</v>
      </c>
      <c r="F2461" s="81" t="s">
        <v>187</v>
      </c>
      <c r="G2461" s="81" t="s">
        <v>187</v>
      </c>
      <c r="H2461" s="81" t="s">
        <v>187</v>
      </c>
      <c r="I2461" s="81" t="s">
        <v>187</v>
      </c>
      <c r="J2461" s="81" t="s">
        <v>187</v>
      </c>
      <c r="K2461" s="81" t="s">
        <v>187</v>
      </c>
      <c r="L2461" s="81" t="s">
        <v>187</v>
      </c>
    </row>
    <row r="2462" ht="15.75" customHeight="1">
      <c r="A2462" s="262"/>
      <c r="B2462" s="262"/>
      <c r="C2462" s="263"/>
      <c r="D2462" s="262"/>
      <c r="E2462" s="81" t="s">
        <v>187</v>
      </c>
      <c r="F2462" s="81" t="s">
        <v>187</v>
      </c>
      <c r="G2462" s="81" t="s">
        <v>187</v>
      </c>
      <c r="H2462" s="81" t="s">
        <v>187</v>
      </c>
      <c r="I2462" s="81" t="s">
        <v>187</v>
      </c>
      <c r="J2462" s="81" t="s">
        <v>187</v>
      </c>
      <c r="K2462" s="81" t="s">
        <v>187</v>
      </c>
      <c r="L2462" s="81" t="s">
        <v>187</v>
      </c>
    </row>
    <row r="2463" ht="15.75" customHeight="1">
      <c r="A2463" s="262"/>
      <c r="B2463" s="262"/>
      <c r="C2463" s="263"/>
      <c r="D2463" s="262"/>
      <c r="E2463" s="81" t="s">
        <v>187</v>
      </c>
      <c r="F2463" s="81" t="s">
        <v>187</v>
      </c>
      <c r="G2463" s="81" t="s">
        <v>187</v>
      </c>
      <c r="H2463" s="81" t="s">
        <v>187</v>
      </c>
      <c r="I2463" s="81" t="s">
        <v>187</v>
      </c>
      <c r="J2463" s="81" t="s">
        <v>187</v>
      </c>
      <c r="K2463" s="81" t="s">
        <v>187</v>
      </c>
      <c r="L2463" s="81" t="s">
        <v>187</v>
      </c>
    </row>
    <row r="2464" ht="15.75" customHeight="1">
      <c r="A2464" s="262"/>
      <c r="B2464" s="262"/>
      <c r="C2464" s="263"/>
      <c r="D2464" s="262"/>
      <c r="E2464" s="81" t="s">
        <v>187</v>
      </c>
      <c r="F2464" s="81" t="s">
        <v>187</v>
      </c>
      <c r="G2464" s="81" t="s">
        <v>187</v>
      </c>
      <c r="H2464" s="81" t="s">
        <v>187</v>
      </c>
      <c r="I2464" s="81" t="s">
        <v>187</v>
      </c>
      <c r="J2464" s="81" t="s">
        <v>187</v>
      </c>
      <c r="K2464" s="81" t="s">
        <v>187</v>
      </c>
      <c r="L2464" s="81" t="s">
        <v>187</v>
      </c>
    </row>
    <row r="2465" ht="15.75" customHeight="1">
      <c r="A2465" s="262"/>
      <c r="B2465" s="262"/>
      <c r="C2465" s="263"/>
      <c r="D2465" s="262"/>
      <c r="E2465" s="81" t="s">
        <v>187</v>
      </c>
      <c r="F2465" s="81" t="s">
        <v>187</v>
      </c>
      <c r="G2465" s="81" t="s">
        <v>187</v>
      </c>
      <c r="H2465" s="81" t="s">
        <v>187</v>
      </c>
      <c r="I2465" s="81" t="s">
        <v>187</v>
      </c>
      <c r="J2465" s="81" t="s">
        <v>187</v>
      </c>
      <c r="K2465" s="81" t="s">
        <v>187</v>
      </c>
      <c r="L2465" s="81" t="s">
        <v>187</v>
      </c>
    </row>
    <row r="2466" ht="15.75" customHeight="1">
      <c r="A2466" s="262"/>
      <c r="B2466" s="262"/>
      <c r="C2466" s="263"/>
      <c r="D2466" s="262"/>
      <c r="E2466" s="81" t="s">
        <v>187</v>
      </c>
      <c r="F2466" s="81" t="s">
        <v>187</v>
      </c>
      <c r="G2466" s="81" t="s">
        <v>187</v>
      </c>
      <c r="H2466" s="81" t="s">
        <v>187</v>
      </c>
      <c r="I2466" s="81" t="s">
        <v>187</v>
      </c>
      <c r="J2466" s="81" t="s">
        <v>187</v>
      </c>
      <c r="K2466" s="81" t="s">
        <v>187</v>
      </c>
      <c r="L2466" s="81" t="s">
        <v>187</v>
      </c>
    </row>
    <row r="2467" ht="15.75" customHeight="1">
      <c r="A2467" s="262"/>
      <c r="B2467" s="262"/>
      <c r="C2467" s="263"/>
      <c r="D2467" s="262"/>
      <c r="E2467" s="81" t="s">
        <v>187</v>
      </c>
      <c r="F2467" s="81" t="s">
        <v>187</v>
      </c>
      <c r="G2467" s="81" t="s">
        <v>187</v>
      </c>
      <c r="H2467" s="81" t="s">
        <v>187</v>
      </c>
      <c r="I2467" s="81" t="s">
        <v>187</v>
      </c>
      <c r="J2467" s="81" t="s">
        <v>187</v>
      </c>
      <c r="K2467" s="81" t="s">
        <v>187</v>
      </c>
      <c r="L2467" s="81" t="s">
        <v>187</v>
      </c>
    </row>
    <row r="2468" ht="15.75" customHeight="1">
      <c r="A2468" s="262"/>
      <c r="B2468" s="262"/>
      <c r="C2468" s="263"/>
      <c r="D2468" s="262"/>
      <c r="E2468" s="81" t="s">
        <v>187</v>
      </c>
      <c r="F2468" s="81" t="s">
        <v>187</v>
      </c>
      <c r="G2468" s="81" t="s">
        <v>187</v>
      </c>
      <c r="H2468" s="81" t="s">
        <v>187</v>
      </c>
      <c r="I2468" s="81" t="s">
        <v>187</v>
      </c>
      <c r="J2468" s="81" t="s">
        <v>187</v>
      </c>
      <c r="K2468" s="81" t="s">
        <v>187</v>
      </c>
      <c r="L2468" s="81" t="s">
        <v>187</v>
      </c>
    </row>
    <row r="2469" ht="15.75" customHeight="1">
      <c r="A2469" s="262"/>
      <c r="B2469" s="262"/>
      <c r="C2469" s="263"/>
      <c r="D2469" s="262"/>
      <c r="E2469" s="81" t="s">
        <v>187</v>
      </c>
      <c r="F2469" s="81" t="s">
        <v>187</v>
      </c>
      <c r="G2469" s="81" t="s">
        <v>187</v>
      </c>
      <c r="H2469" s="81" t="s">
        <v>187</v>
      </c>
      <c r="I2469" s="81" t="s">
        <v>187</v>
      </c>
      <c r="J2469" s="81" t="s">
        <v>187</v>
      </c>
      <c r="K2469" s="81" t="s">
        <v>187</v>
      </c>
      <c r="L2469" s="81" t="s">
        <v>187</v>
      </c>
    </row>
    <row r="2470" ht="15.75" customHeight="1">
      <c r="A2470" s="262"/>
      <c r="B2470" s="262"/>
      <c r="C2470" s="263"/>
      <c r="D2470" s="262"/>
      <c r="E2470" s="81" t="s">
        <v>187</v>
      </c>
      <c r="F2470" s="81" t="s">
        <v>187</v>
      </c>
      <c r="G2470" s="81" t="s">
        <v>187</v>
      </c>
      <c r="H2470" s="81" t="s">
        <v>187</v>
      </c>
      <c r="I2470" s="81" t="s">
        <v>187</v>
      </c>
      <c r="J2470" s="81" t="s">
        <v>187</v>
      </c>
      <c r="K2470" s="81" t="s">
        <v>187</v>
      </c>
      <c r="L2470" s="81" t="s">
        <v>187</v>
      </c>
    </row>
    <row r="2471" ht="15.75" customHeight="1">
      <c r="A2471" s="262"/>
      <c r="B2471" s="262"/>
      <c r="C2471" s="263"/>
      <c r="D2471" s="262"/>
      <c r="E2471" s="81" t="s">
        <v>187</v>
      </c>
      <c r="F2471" s="81" t="s">
        <v>187</v>
      </c>
      <c r="G2471" s="81" t="s">
        <v>187</v>
      </c>
      <c r="H2471" s="81" t="s">
        <v>187</v>
      </c>
      <c r="I2471" s="81" t="s">
        <v>187</v>
      </c>
      <c r="J2471" s="81" t="s">
        <v>187</v>
      </c>
      <c r="K2471" s="81" t="s">
        <v>187</v>
      </c>
      <c r="L2471" s="81" t="s">
        <v>187</v>
      </c>
    </row>
    <row r="2472" ht="15.75" customHeight="1">
      <c r="A2472" s="262"/>
      <c r="B2472" s="262"/>
      <c r="C2472" s="263"/>
      <c r="D2472" s="262"/>
      <c r="E2472" s="81" t="s">
        <v>187</v>
      </c>
      <c r="F2472" s="81" t="s">
        <v>187</v>
      </c>
      <c r="G2472" s="81" t="s">
        <v>187</v>
      </c>
      <c r="H2472" s="81" t="s">
        <v>187</v>
      </c>
      <c r="I2472" s="81" t="s">
        <v>187</v>
      </c>
      <c r="J2472" s="81" t="s">
        <v>187</v>
      </c>
      <c r="K2472" s="81" t="s">
        <v>187</v>
      </c>
      <c r="L2472" s="81" t="s">
        <v>187</v>
      </c>
    </row>
    <row r="2473" ht="15.75" customHeight="1">
      <c r="A2473" s="262"/>
      <c r="B2473" s="262"/>
      <c r="C2473" s="263"/>
      <c r="D2473" s="262"/>
      <c r="E2473" s="81" t="s">
        <v>187</v>
      </c>
      <c r="F2473" s="81" t="s">
        <v>187</v>
      </c>
      <c r="G2473" s="81" t="s">
        <v>187</v>
      </c>
      <c r="H2473" s="81" t="s">
        <v>187</v>
      </c>
      <c r="I2473" s="81" t="s">
        <v>187</v>
      </c>
      <c r="J2473" s="81" t="s">
        <v>187</v>
      </c>
      <c r="K2473" s="81" t="s">
        <v>187</v>
      </c>
      <c r="L2473" s="81" t="s">
        <v>187</v>
      </c>
    </row>
    <row r="2474" ht="15.75" customHeight="1">
      <c r="A2474" s="262"/>
      <c r="B2474" s="262"/>
      <c r="C2474" s="263"/>
      <c r="D2474" s="262"/>
      <c r="E2474" s="81" t="s">
        <v>187</v>
      </c>
      <c r="F2474" s="81" t="s">
        <v>187</v>
      </c>
      <c r="G2474" s="81" t="s">
        <v>187</v>
      </c>
      <c r="H2474" s="81" t="s">
        <v>187</v>
      </c>
      <c r="I2474" s="81" t="s">
        <v>187</v>
      </c>
      <c r="J2474" s="81" t="s">
        <v>187</v>
      </c>
      <c r="K2474" s="81" t="s">
        <v>187</v>
      </c>
      <c r="L2474" s="81" t="s">
        <v>187</v>
      </c>
    </row>
    <row r="2475" ht="15.75" customHeight="1">
      <c r="A2475" s="262"/>
      <c r="B2475" s="262"/>
      <c r="C2475" s="263"/>
      <c r="D2475" s="262"/>
      <c r="E2475" s="81" t="s">
        <v>187</v>
      </c>
      <c r="F2475" s="81" t="s">
        <v>187</v>
      </c>
      <c r="G2475" s="81" t="s">
        <v>187</v>
      </c>
      <c r="H2475" s="81" t="s">
        <v>187</v>
      </c>
      <c r="I2475" s="81" t="s">
        <v>187</v>
      </c>
      <c r="J2475" s="81" t="s">
        <v>187</v>
      </c>
      <c r="K2475" s="81" t="s">
        <v>187</v>
      </c>
      <c r="L2475" s="81" t="s">
        <v>187</v>
      </c>
    </row>
    <row r="2476" ht="15.75" customHeight="1">
      <c r="A2476" s="262"/>
      <c r="B2476" s="262"/>
      <c r="C2476" s="263"/>
      <c r="D2476" s="262"/>
      <c r="E2476" s="81" t="s">
        <v>187</v>
      </c>
      <c r="F2476" s="81" t="s">
        <v>187</v>
      </c>
      <c r="G2476" s="81" t="s">
        <v>187</v>
      </c>
      <c r="H2476" s="81" t="s">
        <v>187</v>
      </c>
      <c r="I2476" s="81" t="s">
        <v>187</v>
      </c>
      <c r="J2476" s="81" t="s">
        <v>187</v>
      </c>
      <c r="K2476" s="81" t="s">
        <v>187</v>
      </c>
      <c r="L2476" s="81" t="s">
        <v>187</v>
      </c>
    </row>
    <row r="2477" ht="15.75" customHeight="1">
      <c r="A2477" s="262"/>
      <c r="B2477" s="262"/>
      <c r="C2477" s="263"/>
      <c r="D2477" s="262"/>
      <c r="E2477" s="81" t="s">
        <v>187</v>
      </c>
      <c r="F2477" s="81" t="s">
        <v>187</v>
      </c>
      <c r="G2477" s="81" t="s">
        <v>187</v>
      </c>
      <c r="H2477" s="81" t="s">
        <v>187</v>
      </c>
      <c r="I2477" s="81" t="s">
        <v>187</v>
      </c>
      <c r="J2477" s="81" t="s">
        <v>187</v>
      </c>
      <c r="K2477" s="81" t="s">
        <v>187</v>
      </c>
      <c r="L2477" s="81" t="s">
        <v>187</v>
      </c>
    </row>
    <row r="2478" ht="15.75" customHeight="1">
      <c r="A2478" s="262"/>
      <c r="B2478" s="262"/>
      <c r="C2478" s="263"/>
      <c r="D2478" s="262"/>
      <c r="E2478" s="81" t="s">
        <v>187</v>
      </c>
      <c r="F2478" s="81" t="s">
        <v>187</v>
      </c>
      <c r="G2478" s="81" t="s">
        <v>187</v>
      </c>
      <c r="H2478" s="81" t="s">
        <v>187</v>
      </c>
      <c r="I2478" s="81" t="s">
        <v>187</v>
      </c>
      <c r="J2478" s="81" t="s">
        <v>187</v>
      </c>
      <c r="K2478" s="81" t="s">
        <v>187</v>
      </c>
      <c r="L2478" s="81" t="s">
        <v>187</v>
      </c>
    </row>
    <row r="2479" ht="15.75" customHeight="1">
      <c r="A2479" s="262"/>
      <c r="B2479" s="262"/>
      <c r="C2479" s="263"/>
      <c r="D2479" s="262"/>
      <c r="E2479" s="81" t="s">
        <v>187</v>
      </c>
      <c r="F2479" s="81" t="s">
        <v>187</v>
      </c>
      <c r="G2479" s="81" t="s">
        <v>187</v>
      </c>
      <c r="H2479" s="81" t="s">
        <v>187</v>
      </c>
      <c r="I2479" s="81" t="s">
        <v>187</v>
      </c>
      <c r="J2479" s="81" t="s">
        <v>187</v>
      </c>
      <c r="K2479" s="81" t="s">
        <v>187</v>
      </c>
      <c r="L2479" s="81" t="s">
        <v>187</v>
      </c>
    </row>
    <row r="2480" ht="15.75" customHeight="1">
      <c r="A2480" s="262"/>
      <c r="B2480" s="262"/>
      <c r="C2480" s="263"/>
      <c r="D2480" s="262"/>
      <c r="E2480" s="81" t="s">
        <v>187</v>
      </c>
      <c r="F2480" s="81" t="s">
        <v>187</v>
      </c>
      <c r="G2480" s="81" t="s">
        <v>187</v>
      </c>
      <c r="H2480" s="81" t="s">
        <v>187</v>
      </c>
      <c r="I2480" s="81" t="s">
        <v>187</v>
      </c>
      <c r="J2480" s="81" t="s">
        <v>187</v>
      </c>
      <c r="K2480" s="81" t="s">
        <v>187</v>
      </c>
      <c r="L2480" s="81" t="s">
        <v>187</v>
      </c>
    </row>
    <row r="2481" ht="15.75" customHeight="1">
      <c r="A2481" s="262"/>
      <c r="B2481" s="262"/>
      <c r="C2481" s="263"/>
      <c r="D2481" s="262"/>
      <c r="E2481" s="81" t="s">
        <v>187</v>
      </c>
      <c r="F2481" s="81" t="s">
        <v>187</v>
      </c>
      <c r="G2481" s="81" t="s">
        <v>187</v>
      </c>
      <c r="H2481" s="81" t="s">
        <v>187</v>
      </c>
      <c r="I2481" s="81" t="s">
        <v>187</v>
      </c>
      <c r="J2481" s="81" t="s">
        <v>187</v>
      </c>
      <c r="K2481" s="81" t="s">
        <v>187</v>
      </c>
      <c r="L2481" s="81" t="s">
        <v>187</v>
      </c>
    </row>
    <row r="2482" ht="15.75" customHeight="1">
      <c r="A2482" s="262"/>
      <c r="B2482" s="262"/>
      <c r="C2482" s="263"/>
      <c r="D2482" s="262"/>
      <c r="E2482" s="81" t="s">
        <v>187</v>
      </c>
      <c r="F2482" s="81" t="s">
        <v>187</v>
      </c>
      <c r="G2482" s="81" t="s">
        <v>187</v>
      </c>
      <c r="H2482" s="81" t="s">
        <v>187</v>
      </c>
      <c r="I2482" s="81" t="s">
        <v>187</v>
      </c>
      <c r="J2482" s="81" t="s">
        <v>187</v>
      </c>
      <c r="K2482" s="81" t="s">
        <v>187</v>
      </c>
      <c r="L2482" s="81" t="s">
        <v>187</v>
      </c>
    </row>
    <row r="2483" ht="15.75" customHeight="1">
      <c r="A2483" s="262"/>
      <c r="B2483" s="262"/>
      <c r="C2483" s="263"/>
      <c r="D2483" s="262"/>
      <c r="E2483" s="81" t="s">
        <v>187</v>
      </c>
      <c r="F2483" s="81" t="s">
        <v>187</v>
      </c>
      <c r="G2483" s="81" t="s">
        <v>187</v>
      </c>
      <c r="H2483" s="81" t="s">
        <v>187</v>
      </c>
      <c r="I2483" s="81" t="s">
        <v>187</v>
      </c>
      <c r="J2483" s="81" t="s">
        <v>187</v>
      </c>
      <c r="K2483" s="81" t="s">
        <v>187</v>
      </c>
      <c r="L2483" s="81" t="s">
        <v>187</v>
      </c>
    </row>
    <row r="2484" ht="15.75" customHeight="1">
      <c r="A2484" s="262"/>
      <c r="B2484" s="262"/>
      <c r="C2484" s="263"/>
      <c r="D2484" s="262"/>
      <c r="E2484" s="81" t="s">
        <v>187</v>
      </c>
      <c r="F2484" s="81" t="s">
        <v>187</v>
      </c>
      <c r="G2484" s="81" t="s">
        <v>187</v>
      </c>
      <c r="H2484" s="81" t="s">
        <v>187</v>
      </c>
      <c r="I2484" s="81" t="s">
        <v>187</v>
      </c>
      <c r="J2484" s="81" t="s">
        <v>187</v>
      </c>
      <c r="K2484" s="81" t="s">
        <v>187</v>
      </c>
      <c r="L2484" s="81" t="s">
        <v>187</v>
      </c>
    </row>
    <row r="2485" ht="15.75" customHeight="1">
      <c r="A2485" s="262"/>
      <c r="B2485" s="262"/>
      <c r="C2485" s="263"/>
      <c r="D2485" s="262"/>
      <c r="E2485" s="81" t="s">
        <v>187</v>
      </c>
      <c r="F2485" s="81" t="s">
        <v>187</v>
      </c>
      <c r="G2485" s="81" t="s">
        <v>187</v>
      </c>
      <c r="H2485" s="81" t="s">
        <v>187</v>
      </c>
      <c r="I2485" s="81" t="s">
        <v>187</v>
      </c>
      <c r="J2485" s="81" t="s">
        <v>187</v>
      </c>
      <c r="K2485" s="81" t="s">
        <v>187</v>
      </c>
      <c r="L2485" s="81" t="s">
        <v>187</v>
      </c>
    </row>
    <row r="2486" ht="15.75" customHeight="1">
      <c r="A2486" s="262"/>
      <c r="B2486" s="262"/>
      <c r="C2486" s="263"/>
      <c r="D2486" s="262"/>
      <c r="E2486" s="81" t="s">
        <v>187</v>
      </c>
      <c r="F2486" s="81" t="s">
        <v>187</v>
      </c>
      <c r="G2486" s="81" t="s">
        <v>187</v>
      </c>
      <c r="H2486" s="81" t="s">
        <v>187</v>
      </c>
      <c r="I2486" s="81" t="s">
        <v>187</v>
      </c>
      <c r="J2486" s="81" t="s">
        <v>187</v>
      </c>
      <c r="K2486" s="81" t="s">
        <v>187</v>
      </c>
      <c r="L2486" s="81" t="s">
        <v>187</v>
      </c>
    </row>
    <row r="2487" ht="15.75" customHeight="1">
      <c r="A2487" s="262"/>
      <c r="B2487" s="262"/>
      <c r="C2487" s="263"/>
      <c r="D2487" s="262"/>
      <c r="E2487" s="81" t="s">
        <v>187</v>
      </c>
      <c r="F2487" s="81" t="s">
        <v>187</v>
      </c>
      <c r="G2487" s="81" t="s">
        <v>187</v>
      </c>
      <c r="H2487" s="81" t="s">
        <v>187</v>
      </c>
      <c r="I2487" s="81" t="s">
        <v>187</v>
      </c>
      <c r="J2487" s="81" t="s">
        <v>187</v>
      </c>
      <c r="K2487" s="81" t="s">
        <v>187</v>
      </c>
      <c r="L2487" s="81" t="s">
        <v>187</v>
      </c>
    </row>
    <row r="2488" ht="15.75" customHeight="1">
      <c r="A2488" s="262"/>
      <c r="B2488" s="262"/>
      <c r="C2488" s="263"/>
      <c r="D2488" s="262"/>
      <c r="E2488" s="81" t="s">
        <v>187</v>
      </c>
      <c r="F2488" s="81" t="s">
        <v>187</v>
      </c>
      <c r="G2488" s="81" t="s">
        <v>187</v>
      </c>
      <c r="H2488" s="81" t="s">
        <v>187</v>
      </c>
      <c r="I2488" s="81" t="s">
        <v>187</v>
      </c>
      <c r="J2488" s="81" t="s">
        <v>187</v>
      </c>
      <c r="K2488" s="81" t="s">
        <v>187</v>
      </c>
      <c r="L2488" s="81" t="s">
        <v>187</v>
      </c>
    </row>
    <row r="2489" ht="15.75" customHeight="1">
      <c r="A2489" s="262"/>
      <c r="B2489" s="262"/>
      <c r="C2489" s="263"/>
      <c r="D2489" s="262"/>
      <c r="E2489" s="81" t="s">
        <v>187</v>
      </c>
      <c r="F2489" s="81" t="s">
        <v>187</v>
      </c>
      <c r="G2489" s="81" t="s">
        <v>187</v>
      </c>
      <c r="H2489" s="81" t="s">
        <v>187</v>
      </c>
      <c r="I2489" s="81" t="s">
        <v>187</v>
      </c>
      <c r="J2489" s="81" t="s">
        <v>187</v>
      </c>
      <c r="K2489" s="81" t="s">
        <v>187</v>
      </c>
      <c r="L2489" s="81" t="s">
        <v>187</v>
      </c>
    </row>
    <row r="2490" ht="15.75" customHeight="1">
      <c r="A2490" s="262"/>
      <c r="B2490" s="262"/>
      <c r="C2490" s="263"/>
      <c r="D2490" s="262"/>
      <c r="E2490" s="81" t="s">
        <v>187</v>
      </c>
      <c r="F2490" s="81" t="s">
        <v>187</v>
      </c>
      <c r="G2490" s="81" t="s">
        <v>187</v>
      </c>
      <c r="H2490" s="81" t="s">
        <v>187</v>
      </c>
      <c r="I2490" s="81" t="s">
        <v>187</v>
      </c>
      <c r="J2490" s="81" t="s">
        <v>187</v>
      </c>
      <c r="K2490" s="81" t="s">
        <v>187</v>
      </c>
      <c r="L2490" s="81" t="s">
        <v>187</v>
      </c>
    </row>
    <row r="2491" ht="15.75" customHeight="1">
      <c r="A2491" s="262"/>
      <c r="B2491" s="262"/>
      <c r="C2491" s="263"/>
      <c r="D2491" s="262"/>
      <c r="E2491" s="81" t="s">
        <v>187</v>
      </c>
      <c r="F2491" s="81" t="s">
        <v>187</v>
      </c>
      <c r="G2491" s="81" t="s">
        <v>187</v>
      </c>
      <c r="H2491" s="81" t="s">
        <v>187</v>
      </c>
      <c r="I2491" s="81" t="s">
        <v>187</v>
      </c>
      <c r="J2491" s="81" t="s">
        <v>187</v>
      </c>
      <c r="K2491" s="81" t="s">
        <v>187</v>
      </c>
      <c r="L2491" s="81" t="s">
        <v>187</v>
      </c>
    </row>
    <row r="2492" ht="15.75" customHeight="1">
      <c r="A2492" s="262"/>
      <c r="B2492" s="262"/>
      <c r="C2492" s="263"/>
      <c r="D2492" s="262"/>
      <c r="E2492" s="81" t="s">
        <v>187</v>
      </c>
      <c r="F2492" s="81" t="s">
        <v>187</v>
      </c>
      <c r="G2492" s="81" t="s">
        <v>187</v>
      </c>
      <c r="H2492" s="81" t="s">
        <v>187</v>
      </c>
      <c r="I2492" s="81" t="s">
        <v>187</v>
      </c>
      <c r="J2492" s="81" t="s">
        <v>187</v>
      </c>
      <c r="K2492" s="81" t="s">
        <v>187</v>
      </c>
      <c r="L2492" s="81" t="s">
        <v>187</v>
      </c>
    </row>
    <row r="2493" ht="15.75" customHeight="1">
      <c r="A2493" s="262"/>
      <c r="B2493" s="262"/>
      <c r="C2493" s="263"/>
      <c r="D2493" s="262"/>
      <c r="E2493" s="81" t="s">
        <v>187</v>
      </c>
      <c r="F2493" s="81" t="s">
        <v>187</v>
      </c>
      <c r="G2493" s="81" t="s">
        <v>187</v>
      </c>
      <c r="H2493" s="81" t="s">
        <v>187</v>
      </c>
      <c r="I2493" s="81" t="s">
        <v>187</v>
      </c>
      <c r="J2493" s="81" t="s">
        <v>187</v>
      </c>
      <c r="K2493" s="81" t="s">
        <v>187</v>
      </c>
      <c r="L2493" s="81" t="s">
        <v>187</v>
      </c>
    </row>
    <row r="2494" ht="15.75" customHeight="1">
      <c r="A2494" s="262"/>
      <c r="B2494" s="262"/>
      <c r="C2494" s="263"/>
      <c r="D2494" s="262"/>
      <c r="E2494" s="81" t="s">
        <v>187</v>
      </c>
      <c r="F2494" s="81" t="s">
        <v>187</v>
      </c>
      <c r="G2494" s="81" t="s">
        <v>187</v>
      </c>
      <c r="H2494" s="81" t="s">
        <v>187</v>
      </c>
      <c r="I2494" s="81" t="s">
        <v>187</v>
      </c>
      <c r="J2494" s="81" t="s">
        <v>187</v>
      </c>
      <c r="K2494" s="81" t="s">
        <v>187</v>
      </c>
      <c r="L2494" s="81" t="s">
        <v>187</v>
      </c>
    </row>
    <row r="2495" ht="15.75" customHeight="1">
      <c r="A2495" s="262"/>
      <c r="B2495" s="262"/>
      <c r="C2495" s="263"/>
      <c r="D2495" s="262"/>
      <c r="E2495" s="81" t="s">
        <v>187</v>
      </c>
      <c r="F2495" s="81" t="s">
        <v>187</v>
      </c>
      <c r="G2495" s="81" t="s">
        <v>187</v>
      </c>
      <c r="H2495" s="81" t="s">
        <v>187</v>
      </c>
      <c r="I2495" s="81" t="s">
        <v>187</v>
      </c>
      <c r="J2495" s="81" t="s">
        <v>187</v>
      </c>
      <c r="K2495" s="81" t="s">
        <v>187</v>
      </c>
      <c r="L2495" s="81" t="s">
        <v>187</v>
      </c>
    </row>
    <row r="2496" ht="15.75" customHeight="1">
      <c r="A2496" s="262"/>
      <c r="B2496" s="262"/>
      <c r="C2496" s="263"/>
      <c r="D2496" s="262"/>
      <c r="E2496" s="81" t="s">
        <v>187</v>
      </c>
      <c r="F2496" s="81" t="s">
        <v>187</v>
      </c>
      <c r="G2496" s="81" t="s">
        <v>187</v>
      </c>
      <c r="H2496" s="81" t="s">
        <v>187</v>
      </c>
      <c r="I2496" s="81" t="s">
        <v>187</v>
      </c>
      <c r="J2496" s="81" t="s">
        <v>187</v>
      </c>
      <c r="K2496" s="81" t="s">
        <v>187</v>
      </c>
      <c r="L2496" s="81" t="s">
        <v>187</v>
      </c>
    </row>
    <row r="2497" ht="15.75" customHeight="1">
      <c r="A2497" s="262"/>
      <c r="B2497" s="262"/>
      <c r="C2497" s="263"/>
      <c r="D2497" s="262"/>
      <c r="E2497" s="81" t="s">
        <v>187</v>
      </c>
      <c r="F2497" s="81" t="s">
        <v>187</v>
      </c>
      <c r="G2497" s="81" t="s">
        <v>187</v>
      </c>
      <c r="H2497" s="81" t="s">
        <v>187</v>
      </c>
      <c r="I2497" s="81" t="s">
        <v>187</v>
      </c>
      <c r="J2497" s="81" t="s">
        <v>187</v>
      </c>
      <c r="K2497" s="81" t="s">
        <v>187</v>
      </c>
      <c r="L2497" s="81" t="s">
        <v>187</v>
      </c>
    </row>
    <row r="2498" ht="15.75" customHeight="1">
      <c r="A2498" s="262"/>
      <c r="B2498" s="262"/>
      <c r="C2498" s="263"/>
      <c r="D2498" s="262"/>
      <c r="E2498" s="81" t="s">
        <v>187</v>
      </c>
      <c r="F2498" s="81" t="s">
        <v>187</v>
      </c>
      <c r="G2498" s="81" t="s">
        <v>187</v>
      </c>
      <c r="H2498" s="81" t="s">
        <v>187</v>
      </c>
      <c r="I2498" s="81" t="s">
        <v>187</v>
      </c>
      <c r="J2498" s="81" t="s">
        <v>187</v>
      </c>
      <c r="K2498" s="81" t="s">
        <v>187</v>
      </c>
      <c r="L2498" s="81" t="s">
        <v>187</v>
      </c>
    </row>
    <row r="2499" ht="15.75" customHeight="1">
      <c r="A2499" s="262"/>
      <c r="B2499" s="262"/>
      <c r="C2499" s="263"/>
      <c r="D2499" s="262"/>
      <c r="E2499" s="81" t="s">
        <v>187</v>
      </c>
      <c r="F2499" s="81" t="s">
        <v>187</v>
      </c>
      <c r="G2499" s="81" t="s">
        <v>187</v>
      </c>
      <c r="H2499" s="81" t="s">
        <v>187</v>
      </c>
      <c r="I2499" s="81" t="s">
        <v>187</v>
      </c>
      <c r="J2499" s="81" t="s">
        <v>187</v>
      </c>
      <c r="K2499" s="81" t="s">
        <v>187</v>
      </c>
      <c r="L2499" s="81" t="s">
        <v>187</v>
      </c>
    </row>
    <row r="2500" ht="15.75" customHeight="1">
      <c r="A2500" s="262"/>
      <c r="B2500" s="262"/>
      <c r="C2500" s="263"/>
      <c r="D2500" s="262"/>
      <c r="E2500" s="81" t="s">
        <v>187</v>
      </c>
      <c r="F2500" s="81" t="s">
        <v>187</v>
      </c>
      <c r="G2500" s="81" t="s">
        <v>187</v>
      </c>
      <c r="H2500" s="81" t="s">
        <v>187</v>
      </c>
      <c r="I2500" s="81" t="s">
        <v>187</v>
      </c>
      <c r="J2500" s="81" t="s">
        <v>187</v>
      </c>
      <c r="K2500" s="81" t="s">
        <v>187</v>
      </c>
      <c r="L2500" s="81" t="s">
        <v>187</v>
      </c>
    </row>
    <row r="2501" ht="15.75" customHeight="1">
      <c r="A2501" s="262"/>
      <c r="B2501" s="262"/>
      <c r="C2501" s="263"/>
      <c r="D2501" s="262"/>
      <c r="E2501" s="81" t="s">
        <v>187</v>
      </c>
      <c r="F2501" s="81" t="s">
        <v>187</v>
      </c>
      <c r="G2501" s="81" t="s">
        <v>187</v>
      </c>
      <c r="H2501" s="81" t="s">
        <v>187</v>
      </c>
      <c r="I2501" s="81" t="s">
        <v>187</v>
      </c>
      <c r="J2501" s="81" t="s">
        <v>187</v>
      </c>
      <c r="K2501" s="81" t="s">
        <v>187</v>
      </c>
      <c r="L2501" s="81" t="s">
        <v>187</v>
      </c>
    </row>
    <row r="2502" ht="15.75" customHeight="1">
      <c r="A2502" s="262"/>
      <c r="B2502" s="262"/>
      <c r="C2502" s="263"/>
      <c r="D2502" s="262"/>
      <c r="E2502" s="81" t="s">
        <v>187</v>
      </c>
      <c r="F2502" s="81" t="s">
        <v>187</v>
      </c>
      <c r="G2502" s="81" t="s">
        <v>187</v>
      </c>
      <c r="H2502" s="81" t="s">
        <v>187</v>
      </c>
      <c r="I2502" s="81" t="s">
        <v>187</v>
      </c>
      <c r="J2502" s="81" t="s">
        <v>187</v>
      </c>
      <c r="K2502" s="81" t="s">
        <v>187</v>
      </c>
      <c r="L2502" s="81" t="s">
        <v>187</v>
      </c>
    </row>
    <row r="2503" ht="15.75" customHeight="1">
      <c r="A2503" s="262"/>
      <c r="B2503" s="262"/>
      <c r="C2503" s="263"/>
      <c r="D2503" s="262"/>
      <c r="E2503" s="81" t="s">
        <v>187</v>
      </c>
      <c r="F2503" s="81" t="s">
        <v>187</v>
      </c>
      <c r="G2503" s="81" t="s">
        <v>187</v>
      </c>
      <c r="H2503" s="81" t="s">
        <v>187</v>
      </c>
      <c r="I2503" s="81" t="s">
        <v>187</v>
      </c>
      <c r="J2503" s="81" t="s">
        <v>187</v>
      </c>
      <c r="K2503" s="81" t="s">
        <v>187</v>
      </c>
      <c r="L2503" s="81" t="s">
        <v>187</v>
      </c>
    </row>
    <row r="2504" ht="15.75" customHeight="1">
      <c r="A2504" s="262"/>
      <c r="B2504" s="262"/>
      <c r="C2504" s="263"/>
      <c r="D2504" s="262"/>
      <c r="E2504" s="81" t="s">
        <v>187</v>
      </c>
      <c r="F2504" s="81" t="s">
        <v>187</v>
      </c>
      <c r="G2504" s="81" t="s">
        <v>187</v>
      </c>
      <c r="H2504" s="81" t="s">
        <v>187</v>
      </c>
      <c r="I2504" s="81" t="s">
        <v>187</v>
      </c>
      <c r="J2504" s="81" t="s">
        <v>187</v>
      </c>
      <c r="K2504" s="81" t="s">
        <v>187</v>
      </c>
      <c r="L2504" s="81" t="s">
        <v>187</v>
      </c>
    </row>
    <row r="2505" ht="15.75" customHeight="1">
      <c r="A2505" s="262"/>
      <c r="B2505" s="262"/>
      <c r="C2505" s="263"/>
      <c r="D2505" s="262"/>
      <c r="E2505" s="81" t="s">
        <v>187</v>
      </c>
      <c r="F2505" s="81" t="s">
        <v>187</v>
      </c>
      <c r="G2505" s="81" t="s">
        <v>187</v>
      </c>
      <c r="H2505" s="81" t="s">
        <v>187</v>
      </c>
      <c r="I2505" s="81" t="s">
        <v>187</v>
      </c>
      <c r="J2505" s="81" t="s">
        <v>187</v>
      </c>
      <c r="K2505" s="81" t="s">
        <v>187</v>
      </c>
      <c r="L2505" s="81" t="s">
        <v>187</v>
      </c>
    </row>
    <row r="2506" ht="15.75" customHeight="1">
      <c r="A2506" s="262"/>
      <c r="B2506" s="262"/>
      <c r="C2506" s="263"/>
      <c r="D2506" s="262"/>
      <c r="E2506" s="81" t="s">
        <v>187</v>
      </c>
      <c r="F2506" s="81" t="s">
        <v>187</v>
      </c>
      <c r="G2506" s="81" t="s">
        <v>187</v>
      </c>
      <c r="H2506" s="81" t="s">
        <v>187</v>
      </c>
      <c r="I2506" s="81" t="s">
        <v>187</v>
      </c>
      <c r="J2506" s="81" t="s">
        <v>187</v>
      </c>
      <c r="K2506" s="81" t="s">
        <v>187</v>
      </c>
      <c r="L2506" s="81" t="s">
        <v>187</v>
      </c>
    </row>
    <row r="2507" ht="15.75" customHeight="1">
      <c r="A2507" s="262"/>
      <c r="B2507" s="262"/>
      <c r="C2507" s="263"/>
      <c r="D2507" s="262"/>
      <c r="E2507" s="81" t="s">
        <v>187</v>
      </c>
      <c r="F2507" s="81" t="s">
        <v>187</v>
      </c>
      <c r="G2507" s="81" t="s">
        <v>187</v>
      </c>
      <c r="H2507" s="81" t="s">
        <v>187</v>
      </c>
      <c r="I2507" s="81" t="s">
        <v>187</v>
      </c>
      <c r="J2507" s="81" t="s">
        <v>187</v>
      </c>
      <c r="K2507" s="81" t="s">
        <v>187</v>
      </c>
      <c r="L2507" s="81" t="s">
        <v>187</v>
      </c>
    </row>
    <row r="2508" ht="15.75" customHeight="1">
      <c r="A2508" s="262"/>
      <c r="B2508" s="262"/>
      <c r="C2508" s="263"/>
      <c r="D2508" s="262"/>
      <c r="E2508" s="81" t="s">
        <v>187</v>
      </c>
      <c r="F2508" s="81" t="s">
        <v>187</v>
      </c>
      <c r="G2508" s="81" t="s">
        <v>187</v>
      </c>
      <c r="H2508" s="81" t="s">
        <v>187</v>
      </c>
      <c r="I2508" s="81" t="s">
        <v>187</v>
      </c>
      <c r="J2508" s="81" t="s">
        <v>187</v>
      </c>
      <c r="K2508" s="81" t="s">
        <v>187</v>
      </c>
      <c r="L2508" s="81" t="s">
        <v>187</v>
      </c>
    </row>
    <row r="2509" ht="15.75" customHeight="1">
      <c r="A2509" s="262"/>
      <c r="B2509" s="262"/>
      <c r="C2509" s="263"/>
      <c r="D2509" s="262"/>
      <c r="E2509" s="81" t="s">
        <v>187</v>
      </c>
      <c r="F2509" s="81" t="s">
        <v>187</v>
      </c>
      <c r="G2509" s="81" t="s">
        <v>187</v>
      </c>
      <c r="H2509" s="81" t="s">
        <v>187</v>
      </c>
      <c r="I2509" s="81" t="s">
        <v>187</v>
      </c>
      <c r="J2509" s="81" t="s">
        <v>187</v>
      </c>
      <c r="K2509" s="81" t="s">
        <v>187</v>
      </c>
      <c r="L2509" s="81" t="s">
        <v>187</v>
      </c>
    </row>
    <row r="2510" ht="15.75" customHeight="1">
      <c r="A2510" s="262"/>
      <c r="B2510" s="262"/>
      <c r="C2510" s="263"/>
      <c r="D2510" s="262"/>
      <c r="E2510" s="81" t="s">
        <v>187</v>
      </c>
      <c r="F2510" s="81" t="s">
        <v>187</v>
      </c>
      <c r="G2510" s="81" t="s">
        <v>187</v>
      </c>
      <c r="H2510" s="81" t="s">
        <v>187</v>
      </c>
      <c r="I2510" s="81" t="s">
        <v>187</v>
      </c>
      <c r="J2510" s="81" t="s">
        <v>187</v>
      </c>
      <c r="K2510" s="81" t="s">
        <v>187</v>
      </c>
      <c r="L2510" s="81" t="s">
        <v>187</v>
      </c>
    </row>
    <row r="2511" ht="15.75" customHeight="1">
      <c r="A2511" s="262"/>
      <c r="B2511" s="262"/>
      <c r="C2511" s="263"/>
      <c r="D2511" s="262"/>
      <c r="E2511" s="81" t="s">
        <v>187</v>
      </c>
      <c r="F2511" s="81" t="s">
        <v>187</v>
      </c>
      <c r="G2511" s="81" t="s">
        <v>187</v>
      </c>
      <c r="H2511" s="81" t="s">
        <v>187</v>
      </c>
      <c r="I2511" s="81" t="s">
        <v>187</v>
      </c>
      <c r="J2511" s="81" t="s">
        <v>187</v>
      </c>
      <c r="K2511" s="81" t="s">
        <v>187</v>
      </c>
      <c r="L2511" s="81" t="s">
        <v>187</v>
      </c>
    </row>
    <row r="2512" ht="15.75" customHeight="1">
      <c r="A2512" s="262"/>
      <c r="B2512" s="262"/>
      <c r="C2512" s="263"/>
      <c r="D2512" s="262"/>
      <c r="E2512" s="81" t="s">
        <v>187</v>
      </c>
      <c r="F2512" s="81" t="s">
        <v>187</v>
      </c>
      <c r="G2512" s="81" t="s">
        <v>187</v>
      </c>
      <c r="H2512" s="81" t="s">
        <v>187</v>
      </c>
      <c r="I2512" s="81" t="s">
        <v>187</v>
      </c>
      <c r="J2512" s="81" t="s">
        <v>187</v>
      </c>
      <c r="K2512" s="81" t="s">
        <v>187</v>
      </c>
      <c r="L2512" s="81" t="s">
        <v>187</v>
      </c>
    </row>
    <row r="2513" ht="15.75" customHeight="1">
      <c r="A2513" s="262"/>
      <c r="B2513" s="262"/>
      <c r="C2513" s="263"/>
      <c r="D2513" s="262"/>
      <c r="E2513" s="81" t="s">
        <v>187</v>
      </c>
      <c r="F2513" s="81" t="s">
        <v>187</v>
      </c>
      <c r="G2513" s="81" t="s">
        <v>187</v>
      </c>
      <c r="H2513" s="81" t="s">
        <v>187</v>
      </c>
      <c r="I2513" s="81" t="s">
        <v>187</v>
      </c>
      <c r="J2513" s="81" t="s">
        <v>187</v>
      </c>
      <c r="K2513" s="81" t="s">
        <v>187</v>
      </c>
      <c r="L2513" s="81" t="s">
        <v>187</v>
      </c>
    </row>
    <row r="2514" ht="15.75" customHeight="1">
      <c r="A2514" s="262"/>
      <c r="B2514" s="262"/>
      <c r="C2514" s="263"/>
      <c r="D2514" s="262"/>
      <c r="E2514" s="81" t="s">
        <v>187</v>
      </c>
      <c r="F2514" s="81" t="s">
        <v>187</v>
      </c>
      <c r="G2514" s="81" t="s">
        <v>187</v>
      </c>
      <c r="H2514" s="81" t="s">
        <v>187</v>
      </c>
      <c r="I2514" s="81" t="s">
        <v>187</v>
      </c>
      <c r="J2514" s="81" t="s">
        <v>187</v>
      </c>
      <c r="K2514" s="81" t="s">
        <v>187</v>
      </c>
      <c r="L2514" s="81" t="s">
        <v>187</v>
      </c>
    </row>
    <row r="2515" ht="15.75" customHeight="1">
      <c r="A2515" s="262"/>
      <c r="B2515" s="262"/>
      <c r="C2515" s="263"/>
      <c r="D2515" s="262"/>
      <c r="E2515" s="81" t="s">
        <v>187</v>
      </c>
      <c r="F2515" s="81" t="s">
        <v>187</v>
      </c>
      <c r="G2515" s="81" t="s">
        <v>187</v>
      </c>
      <c r="H2515" s="81" t="s">
        <v>187</v>
      </c>
      <c r="I2515" s="81" t="s">
        <v>187</v>
      </c>
      <c r="J2515" s="81" t="s">
        <v>187</v>
      </c>
      <c r="K2515" s="81" t="s">
        <v>187</v>
      </c>
      <c r="L2515" s="81" t="s">
        <v>187</v>
      </c>
    </row>
    <row r="2516" ht="15.75" customHeight="1">
      <c r="A2516" s="262"/>
      <c r="B2516" s="262"/>
      <c r="C2516" s="263"/>
      <c r="D2516" s="262"/>
      <c r="E2516" s="81" t="s">
        <v>187</v>
      </c>
      <c r="F2516" s="81" t="s">
        <v>187</v>
      </c>
      <c r="G2516" s="81" t="s">
        <v>187</v>
      </c>
      <c r="H2516" s="81" t="s">
        <v>187</v>
      </c>
      <c r="I2516" s="81" t="s">
        <v>187</v>
      </c>
      <c r="J2516" s="81" t="s">
        <v>187</v>
      </c>
      <c r="K2516" s="81" t="s">
        <v>187</v>
      </c>
      <c r="L2516" s="81" t="s">
        <v>187</v>
      </c>
    </row>
    <row r="2517" ht="15.75" customHeight="1">
      <c r="A2517" s="262"/>
      <c r="B2517" s="262"/>
      <c r="C2517" s="263"/>
      <c r="D2517" s="262"/>
      <c r="E2517" s="81" t="s">
        <v>187</v>
      </c>
      <c r="F2517" s="81" t="s">
        <v>187</v>
      </c>
      <c r="G2517" s="81" t="s">
        <v>187</v>
      </c>
      <c r="H2517" s="81" t="s">
        <v>187</v>
      </c>
      <c r="I2517" s="81" t="s">
        <v>187</v>
      </c>
      <c r="J2517" s="81" t="s">
        <v>187</v>
      </c>
      <c r="K2517" s="81" t="s">
        <v>187</v>
      </c>
      <c r="L2517" s="81" t="s">
        <v>187</v>
      </c>
    </row>
    <row r="2518" ht="15.75" customHeight="1">
      <c r="A2518" s="262"/>
      <c r="B2518" s="262"/>
      <c r="C2518" s="263"/>
      <c r="D2518" s="262"/>
      <c r="E2518" s="81" t="s">
        <v>187</v>
      </c>
      <c r="F2518" s="81" t="s">
        <v>187</v>
      </c>
      <c r="G2518" s="81" t="s">
        <v>187</v>
      </c>
      <c r="H2518" s="81" t="s">
        <v>187</v>
      </c>
      <c r="I2518" s="81" t="s">
        <v>187</v>
      </c>
      <c r="J2518" s="81" t="s">
        <v>187</v>
      </c>
      <c r="K2518" s="81" t="s">
        <v>187</v>
      </c>
      <c r="L2518" s="81" t="s">
        <v>187</v>
      </c>
    </row>
    <row r="2519" ht="15.75" customHeight="1">
      <c r="A2519" s="262"/>
      <c r="B2519" s="262"/>
      <c r="C2519" s="263"/>
      <c r="D2519" s="262"/>
      <c r="E2519" s="81" t="s">
        <v>187</v>
      </c>
      <c r="F2519" s="81" t="s">
        <v>187</v>
      </c>
      <c r="G2519" s="81" t="s">
        <v>187</v>
      </c>
      <c r="H2519" s="81" t="s">
        <v>187</v>
      </c>
      <c r="I2519" s="81" t="s">
        <v>187</v>
      </c>
      <c r="J2519" s="81" t="s">
        <v>187</v>
      </c>
      <c r="K2519" s="81" t="s">
        <v>187</v>
      </c>
      <c r="L2519" s="81" t="s">
        <v>187</v>
      </c>
    </row>
    <row r="2520" ht="15.75" customHeight="1">
      <c r="A2520" s="262"/>
      <c r="B2520" s="262"/>
      <c r="C2520" s="263"/>
      <c r="D2520" s="262"/>
      <c r="E2520" s="81" t="s">
        <v>187</v>
      </c>
      <c r="F2520" s="81" t="s">
        <v>187</v>
      </c>
      <c r="G2520" s="81" t="s">
        <v>187</v>
      </c>
      <c r="H2520" s="81" t="s">
        <v>187</v>
      </c>
      <c r="I2520" s="81" t="s">
        <v>187</v>
      </c>
      <c r="J2520" s="81" t="s">
        <v>187</v>
      </c>
      <c r="K2520" s="81" t="s">
        <v>187</v>
      </c>
      <c r="L2520" s="81" t="s">
        <v>187</v>
      </c>
    </row>
    <row r="2521" ht="15.75" customHeight="1">
      <c r="A2521" s="262"/>
      <c r="B2521" s="262"/>
      <c r="C2521" s="263"/>
      <c r="D2521" s="262"/>
      <c r="E2521" s="81" t="s">
        <v>187</v>
      </c>
      <c r="F2521" s="81" t="s">
        <v>187</v>
      </c>
      <c r="G2521" s="81" t="s">
        <v>187</v>
      </c>
      <c r="H2521" s="81" t="s">
        <v>187</v>
      </c>
      <c r="I2521" s="81" t="s">
        <v>187</v>
      </c>
      <c r="J2521" s="81" t="s">
        <v>187</v>
      </c>
      <c r="K2521" s="81" t="s">
        <v>187</v>
      </c>
      <c r="L2521" s="81" t="s">
        <v>187</v>
      </c>
    </row>
    <row r="2522" ht="15.75" customHeight="1">
      <c r="A2522" s="262"/>
      <c r="B2522" s="262"/>
      <c r="C2522" s="263"/>
      <c r="D2522" s="262"/>
      <c r="E2522" s="81" t="s">
        <v>187</v>
      </c>
      <c r="F2522" s="81" t="s">
        <v>187</v>
      </c>
      <c r="G2522" s="81" t="s">
        <v>187</v>
      </c>
      <c r="H2522" s="81" t="s">
        <v>187</v>
      </c>
      <c r="I2522" s="81" t="s">
        <v>187</v>
      </c>
      <c r="J2522" s="81" t="s">
        <v>187</v>
      </c>
      <c r="K2522" s="81" t="s">
        <v>187</v>
      </c>
      <c r="L2522" s="81" t="s">
        <v>187</v>
      </c>
    </row>
    <row r="2523" ht="15.75" customHeight="1">
      <c r="A2523" s="262"/>
      <c r="B2523" s="262"/>
      <c r="C2523" s="263"/>
      <c r="D2523" s="262"/>
      <c r="E2523" s="81" t="s">
        <v>187</v>
      </c>
      <c r="F2523" s="81" t="s">
        <v>187</v>
      </c>
      <c r="G2523" s="81" t="s">
        <v>187</v>
      </c>
      <c r="H2523" s="81" t="s">
        <v>187</v>
      </c>
      <c r="I2523" s="81" t="s">
        <v>187</v>
      </c>
      <c r="J2523" s="81" t="s">
        <v>187</v>
      </c>
      <c r="K2523" s="81" t="s">
        <v>187</v>
      </c>
      <c r="L2523" s="81" t="s">
        <v>187</v>
      </c>
    </row>
    <row r="2524" ht="15.75" customHeight="1">
      <c r="A2524" s="262"/>
      <c r="B2524" s="262"/>
      <c r="C2524" s="263"/>
      <c r="D2524" s="262"/>
      <c r="E2524" s="81" t="s">
        <v>187</v>
      </c>
      <c r="F2524" s="81" t="s">
        <v>187</v>
      </c>
      <c r="G2524" s="81" t="s">
        <v>187</v>
      </c>
      <c r="H2524" s="81" t="s">
        <v>187</v>
      </c>
      <c r="I2524" s="81" t="s">
        <v>187</v>
      </c>
      <c r="J2524" s="81" t="s">
        <v>187</v>
      </c>
      <c r="K2524" s="81" t="s">
        <v>187</v>
      </c>
      <c r="L2524" s="81" t="s">
        <v>187</v>
      </c>
    </row>
    <row r="2525" ht="15.75" customHeight="1">
      <c r="A2525" s="262"/>
      <c r="B2525" s="262"/>
      <c r="C2525" s="263"/>
      <c r="D2525" s="262"/>
      <c r="E2525" s="81" t="s">
        <v>187</v>
      </c>
      <c r="F2525" s="81" t="s">
        <v>187</v>
      </c>
      <c r="G2525" s="81" t="s">
        <v>187</v>
      </c>
      <c r="H2525" s="81" t="s">
        <v>187</v>
      </c>
      <c r="I2525" s="81" t="s">
        <v>187</v>
      </c>
      <c r="J2525" s="81" t="s">
        <v>187</v>
      </c>
      <c r="K2525" s="81" t="s">
        <v>187</v>
      </c>
      <c r="L2525" s="81" t="s">
        <v>187</v>
      </c>
    </row>
    <row r="2526" ht="15.75" customHeight="1">
      <c r="A2526" s="262"/>
      <c r="B2526" s="262"/>
      <c r="C2526" s="263"/>
      <c r="D2526" s="262"/>
      <c r="E2526" s="81" t="s">
        <v>187</v>
      </c>
      <c r="F2526" s="81" t="s">
        <v>187</v>
      </c>
      <c r="G2526" s="81" t="s">
        <v>187</v>
      </c>
      <c r="H2526" s="81" t="s">
        <v>187</v>
      </c>
      <c r="I2526" s="81" t="s">
        <v>187</v>
      </c>
      <c r="J2526" s="81" t="s">
        <v>187</v>
      </c>
      <c r="K2526" s="81" t="s">
        <v>187</v>
      </c>
      <c r="L2526" s="81" t="s">
        <v>187</v>
      </c>
    </row>
    <row r="2527" ht="15.75" customHeight="1">
      <c r="A2527" s="262"/>
      <c r="B2527" s="262"/>
      <c r="C2527" s="263"/>
      <c r="D2527" s="262"/>
      <c r="E2527" s="81" t="s">
        <v>187</v>
      </c>
      <c r="F2527" s="81" t="s">
        <v>187</v>
      </c>
      <c r="G2527" s="81" t="s">
        <v>187</v>
      </c>
      <c r="H2527" s="81" t="s">
        <v>187</v>
      </c>
      <c r="I2527" s="81" t="s">
        <v>187</v>
      </c>
      <c r="J2527" s="81" t="s">
        <v>187</v>
      </c>
      <c r="K2527" s="81" t="s">
        <v>187</v>
      </c>
      <c r="L2527" s="81" t="s">
        <v>187</v>
      </c>
    </row>
    <row r="2528" ht="15.75" customHeight="1">
      <c r="A2528" s="262"/>
      <c r="B2528" s="262"/>
      <c r="C2528" s="263"/>
      <c r="D2528" s="262"/>
      <c r="E2528" s="81" t="s">
        <v>187</v>
      </c>
      <c r="F2528" s="81" t="s">
        <v>187</v>
      </c>
      <c r="G2528" s="81" t="s">
        <v>187</v>
      </c>
      <c r="H2528" s="81" t="s">
        <v>187</v>
      </c>
      <c r="I2528" s="81" t="s">
        <v>187</v>
      </c>
      <c r="J2528" s="81" t="s">
        <v>187</v>
      </c>
      <c r="K2528" s="81" t="s">
        <v>187</v>
      </c>
      <c r="L2528" s="81" t="s">
        <v>187</v>
      </c>
    </row>
    <row r="2529" ht="15.75" customHeight="1">
      <c r="A2529" s="262"/>
      <c r="B2529" s="262"/>
      <c r="C2529" s="263"/>
      <c r="D2529" s="262"/>
      <c r="E2529" s="81" t="s">
        <v>187</v>
      </c>
      <c r="F2529" s="81" t="s">
        <v>187</v>
      </c>
      <c r="G2529" s="81" t="s">
        <v>187</v>
      </c>
      <c r="H2529" s="81" t="s">
        <v>187</v>
      </c>
      <c r="I2529" s="81" t="s">
        <v>187</v>
      </c>
      <c r="J2529" s="81" t="s">
        <v>187</v>
      </c>
      <c r="K2529" s="81" t="s">
        <v>187</v>
      </c>
      <c r="L2529" s="81" t="s">
        <v>187</v>
      </c>
    </row>
    <row r="2530" ht="15.75" customHeight="1">
      <c r="A2530" s="262"/>
      <c r="B2530" s="262"/>
      <c r="C2530" s="263"/>
      <c r="D2530" s="262"/>
      <c r="E2530" s="81" t="s">
        <v>187</v>
      </c>
      <c r="F2530" s="81" t="s">
        <v>187</v>
      </c>
      <c r="G2530" s="81" t="s">
        <v>187</v>
      </c>
      <c r="H2530" s="81" t="s">
        <v>187</v>
      </c>
      <c r="I2530" s="81" t="s">
        <v>187</v>
      </c>
      <c r="J2530" s="81" t="s">
        <v>187</v>
      </c>
      <c r="K2530" s="81" t="s">
        <v>187</v>
      </c>
      <c r="L2530" s="81" t="s">
        <v>187</v>
      </c>
    </row>
    <row r="2531" ht="15.75" customHeight="1">
      <c r="A2531" s="262"/>
      <c r="B2531" s="262"/>
      <c r="C2531" s="263"/>
      <c r="D2531" s="262"/>
      <c r="E2531" s="81" t="s">
        <v>187</v>
      </c>
      <c r="F2531" s="81" t="s">
        <v>187</v>
      </c>
      <c r="G2531" s="81" t="s">
        <v>187</v>
      </c>
      <c r="H2531" s="81" t="s">
        <v>187</v>
      </c>
      <c r="I2531" s="81" t="s">
        <v>187</v>
      </c>
      <c r="J2531" s="81" t="s">
        <v>187</v>
      </c>
      <c r="K2531" s="81" t="s">
        <v>187</v>
      </c>
      <c r="L2531" s="81" t="s">
        <v>187</v>
      </c>
    </row>
    <row r="2532" ht="15.75" customHeight="1">
      <c r="A2532" s="262"/>
      <c r="B2532" s="262"/>
      <c r="C2532" s="263"/>
      <c r="D2532" s="262"/>
      <c r="E2532" s="81" t="s">
        <v>187</v>
      </c>
      <c r="F2532" s="81" t="s">
        <v>187</v>
      </c>
      <c r="G2532" s="81" t="s">
        <v>187</v>
      </c>
      <c r="H2532" s="81" t="s">
        <v>187</v>
      </c>
      <c r="I2532" s="81" t="s">
        <v>187</v>
      </c>
      <c r="J2532" s="81" t="s">
        <v>187</v>
      </c>
      <c r="K2532" s="81" t="s">
        <v>187</v>
      </c>
      <c r="L2532" s="81" t="s">
        <v>187</v>
      </c>
    </row>
    <row r="2533" ht="15.75" customHeight="1">
      <c r="A2533" s="262"/>
      <c r="B2533" s="262"/>
      <c r="C2533" s="263"/>
      <c r="D2533" s="262"/>
      <c r="E2533" s="81" t="s">
        <v>187</v>
      </c>
      <c r="F2533" s="81" t="s">
        <v>187</v>
      </c>
      <c r="G2533" s="81" t="s">
        <v>187</v>
      </c>
      <c r="H2533" s="81" t="s">
        <v>187</v>
      </c>
      <c r="I2533" s="81" t="s">
        <v>187</v>
      </c>
      <c r="J2533" s="81" t="s">
        <v>187</v>
      </c>
      <c r="K2533" s="81" t="s">
        <v>187</v>
      </c>
      <c r="L2533" s="81" t="s">
        <v>187</v>
      </c>
    </row>
    <row r="2534" ht="15.75" customHeight="1">
      <c r="A2534" s="262"/>
      <c r="B2534" s="262"/>
      <c r="C2534" s="263"/>
      <c r="D2534" s="262"/>
      <c r="E2534" s="81" t="s">
        <v>187</v>
      </c>
      <c r="F2534" s="81" t="s">
        <v>187</v>
      </c>
      <c r="G2534" s="81" t="s">
        <v>187</v>
      </c>
      <c r="H2534" s="81" t="s">
        <v>187</v>
      </c>
      <c r="I2534" s="81" t="s">
        <v>187</v>
      </c>
      <c r="J2534" s="81" t="s">
        <v>187</v>
      </c>
      <c r="K2534" s="81" t="s">
        <v>187</v>
      </c>
      <c r="L2534" s="81" t="s">
        <v>187</v>
      </c>
    </row>
    <row r="2535" ht="15.75" customHeight="1">
      <c r="A2535" s="262"/>
      <c r="B2535" s="262"/>
      <c r="C2535" s="263"/>
      <c r="D2535" s="262"/>
      <c r="E2535" s="81" t="s">
        <v>187</v>
      </c>
      <c r="F2535" s="81" t="s">
        <v>187</v>
      </c>
      <c r="G2535" s="81" t="s">
        <v>187</v>
      </c>
      <c r="H2535" s="81" t="s">
        <v>187</v>
      </c>
      <c r="I2535" s="81" t="s">
        <v>187</v>
      </c>
      <c r="J2535" s="81" t="s">
        <v>187</v>
      </c>
      <c r="K2535" s="81" t="s">
        <v>187</v>
      </c>
      <c r="L2535" s="81" t="s">
        <v>187</v>
      </c>
    </row>
    <row r="2536" ht="15.75" customHeight="1">
      <c r="A2536" s="262"/>
      <c r="B2536" s="262"/>
      <c r="C2536" s="263"/>
      <c r="D2536" s="262"/>
      <c r="E2536" s="81" t="s">
        <v>187</v>
      </c>
      <c r="F2536" s="81" t="s">
        <v>187</v>
      </c>
      <c r="G2536" s="81" t="s">
        <v>187</v>
      </c>
      <c r="H2536" s="81" t="s">
        <v>187</v>
      </c>
      <c r="I2536" s="81" t="s">
        <v>187</v>
      </c>
      <c r="J2536" s="81" t="s">
        <v>187</v>
      </c>
      <c r="K2536" s="81" t="s">
        <v>187</v>
      </c>
      <c r="L2536" s="81" t="s">
        <v>187</v>
      </c>
    </row>
    <row r="2537" ht="15.75" customHeight="1">
      <c r="A2537" s="262"/>
      <c r="B2537" s="262"/>
      <c r="C2537" s="263"/>
      <c r="D2537" s="262"/>
      <c r="E2537" s="81" t="s">
        <v>187</v>
      </c>
      <c r="F2537" s="81" t="s">
        <v>187</v>
      </c>
      <c r="G2537" s="81" t="s">
        <v>187</v>
      </c>
      <c r="H2537" s="81" t="s">
        <v>187</v>
      </c>
      <c r="I2537" s="81" t="s">
        <v>187</v>
      </c>
      <c r="J2537" s="81" t="s">
        <v>187</v>
      </c>
      <c r="K2537" s="81" t="s">
        <v>187</v>
      </c>
      <c r="L2537" s="81" t="s">
        <v>187</v>
      </c>
    </row>
    <row r="2538" ht="15.75" customHeight="1">
      <c r="A2538" s="262"/>
      <c r="B2538" s="262"/>
      <c r="C2538" s="263"/>
      <c r="D2538" s="262"/>
      <c r="E2538" s="81" t="s">
        <v>187</v>
      </c>
      <c r="F2538" s="81" t="s">
        <v>187</v>
      </c>
      <c r="G2538" s="81" t="s">
        <v>187</v>
      </c>
      <c r="H2538" s="81" t="s">
        <v>187</v>
      </c>
      <c r="I2538" s="81" t="s">
        <v>187</v>
      </c>
      <c r="J2538" s="81" t="s">
        <v>187</v>
      </c>
      <c r="K2538" s="81" t="s">
        <v>187</v>
      </c>
      <c r="L2538" s="81" t="s">
        <v>187</v>
      </c>
    </row>
    <row r="2539" ht="15.75" customHeight="1">
      <c r="A2539" s="262"/>
      <c r="B2539" s="262"/>
      <c r="C2539" s="263"/>
      <c r="D2539" s="262"/>
      <c r="E2539" s="81" t="s">
        <v>187</v>
      </c>
      <c r="F2539" s="81" t="s">
        <v>187</v>
      </c>
      <c r="G2539" s="81" t="s">
        <v>187</v>
      </c>
      <c r="H2539" s="81" t="s">
        <v>187</v>
      </c>
      <c r="I2539" s="81" t="s">
        <v>187</v>
      </c>
      <c r="J2539" s="81" t="s">
        <v>187</v>
      </c>
      <c r="K2539" s="81" t="s">
        <v>187</v>
      </c>
      <c r="L2539" s="81" t="s">
        <v>187</v>
      </c>
    </row>
    <row r="2540" ht="15.75" customHeight="1">
      <c r="A2540" s="262"/>
      <c r="B2540" s="262"/>
      <c r="C2540" s="263"/>
      <c r="D2540" s="262"/>
      <c r="E2540" s="81" t="s">
        <v>187</v>
      </c>
      <c r="F2540" s="81" t="s">
        <v>187</v>
      </c>
      <c r="G2540" s="81" t="s">
        <v>187</v>
      </c>
      <c r="H2540" s="81" t="s">
        <v>187</v>
      </c>
      <c r="I2540" s="81" t="s">
        <v>187</v>
      </c>
      <c r="J2540" s="81" t="s">
        <v>187</v>
      </c>
      <c r="K2540" s="81" t="s">
        <v>187</v>
      </c>
      <c r="L2540" s="81" t="s">
        <v>187</v>
      </c>
    </row>
    <row r="2541" ht="15.75" customHeight="1">
      <c r="A2541" s="262"/>
      <c r="B2541" s="262"/>
      <c r="C2541" s="263"/>
      <c r="D2541" s="262"/>
      <c r="E2541" s="81" t="s">
        <v>187</v>
      </c>
      <c r="F2541" s="81" t="s">
        <v>187</v>
      </c>
      <c r="G2541" s="81" t="s">
        <v>187</v>
      </c>
      <c r="H2541" s="81" t="s">
        <v>187</v>
      </c>
      <c r="I2541" s="81" t="s">
        <v>187</v>
      </c>
      <c r="J2541" s="81" t="s">
        <v>187</v>
      </c>
      <c r="K2541" s="81" t="s">
        <v>187</v>
      </c>
      <c r="L2541" s="81" t="s">
        <v>187</v>
      </c>
    </row>
    <row r="2542" ht="15.75" customHeight="1">
      <c r="A2542" s="262"/>
      <c r="B2542" s="262"/>
      <c r="C2542" s="263"/>
      <c r="D2542" s="262"/>
      <c r="E2542" s="81" t="s">
        <v>187</v>
      </c>
      <c r="F2542" s="81" t="s">
        <v>187</v>
      </c>
      <c r="G2542" s="81" t="s">
        <v>187</v>
      </c>
      <c r="H2542" s="81" t="s">
        <v>187</v>
      </c>
      <c r="I2542" s="81" t="s">
        <v>187</v>
      </c>
      <c r="J2542" s="81" t="s">
        <v>187</v>
      </c>
      <c r="K2542" s="81" t="s">
        <v>187</v>
      </c>
      <c r="L2542" s="81" t="s">
        <v>187</v>
      </c>
    </row>
    <row r="2543" ht="15.75" customHeight="1">
      <c r="A2543" s="262"/>
      <c r="B2543" s="262"/>
      <c r="C2543" s="263"/>
      <c r="D2543" s="262"/>
      <c r="E2543" s="81" t="s">
        <v>187</v>
      </c>
      <c r="F2543" s="81" t="s">
        <v>187</v>
      </c>
      <c r="G2543" s="81" t="s">
        <v>187</v>
      </c>
      <c r="H2543" s="81" t="s">
        <v>187</v>
      </c>
      <c r="I2543" s="81" t="s">
        <v>187</v>
      </c>
      <c r="J2543" s="81" t="s">
        <v>187</v>
      </c>
      <c r="K2543" s="81" t="s">
        <v>187</v>
      </c>
      <c r="L2543" s="81" t="s">
        <v>187</v>
      </c>
    </row>
    <row r="2544" ht="15.75" customHeight="1">
      <c r="A2544" s="262"/>
      <c r="B2544" s="262"/>
      <c r="C2544" s="263"/>
      <c r="D2544" s="262"/>
      <c r="E2544" s="81" t="s">
        <v>187</v>
      </c>
      <c r="F2544" s="81" t="s">
        <v>187</v>
      </c>
      <c r="G2544" s="81" t="s">
        <v>187</v>
      </c>
      <c r="H2544" s="81" t="s">
        <v>187</v>
      </c>
      <c r="I2544" s="81" t="s">
        <v>187</v>
      </c>
      <c r="J2544" s="81" t="s">
        <v>187</v>
      </c>
      <c r="K2544" s="81" t="s">
        <v>187</v>
      </c>
      <c r="L2544" s="81" t="s">
        <v>187</v>
      </c>
    </row>
    <row r="2545" ht="15.75" customHeight="1">
      <c r="A2545" s="262"/>
      <c r="B2545" s="262"/>
      <c r="C2545" s="263"/>
      <c r="D2545" s="262"/>
      <c r="E2545" s="81" t="s">
        <v>187</v>
      </c>
      <c r="F2545" s="81" t="s">
        <v>187</v>
      </c>
      <c r="G2545" s="81" t="s">
        <v>187</v>
      </c>
      <c r="H2545" s="81" t="s">
        <v>187</v>
      </c>
      <c r="I2545" s="81" t="s">
        <v>187</v>
      </c>
      <c r="J2545" s="81" t="s">
        <v>187</v>
      </c>
      <c r="K2545" s="81" t="s">
        <v>187</v>
      </c>
      <c r="L2545" s="81" t="s">
        <v>187</v>
      </c>
    </row>
    <row r="2546" ht="15.75" customHeight="1">
      <c r="A2546" s="262"/>
      <c r="B2546" s="262"/>
      <c r="C2546" s="263"/>
      <c r="D2546" s="262"/>
      <c r="E2546" s="81" t="s">
        <v>187</v>
      </c>
      <c r="F2546" s="81" t="s">
        <v>187</v>
      </c>
      <c r="G2546" s="81" t="s">
        <v>187</v>
      </c>
      <c r="H2546" s="81" t="s">
        <v>187</v>
      </c>
      <c r="I2546" s="81" t="s">
        <v>187</v>
      </c>
      <c r="J2546" s="81" t="s">
        <v>187</v>
      </c>
      <c r="K2546" s="81" t="s">
        <v>187</v>
      </c>
      <c r="L2546" s="81" t="s">
        <v>187</v>
      </c>
    </row>
    <row r="2547" ht="15.75" customHeight="1">
      <c r="A2547" s="262"/>
      <c r="B2547" s="262"/>
      <c r="C2547" s="263"/>
      <c r="D2547" s="262"/>
      <c r="E2547" s="81" t="s">
        <v>187</v>
      </c>
      <c r="F2547" s="81" t="s">
        <v>187</v>
      </c>
      <c r="G2547" s="81" t="s">
        <v>187</v>
      </c>
      <c r="H2547" s="81" t="s">
        <v>187</v>
      </c>
      <c r="I2547" s="81" t="s">
        <v>187</v>
      </c>
      <c r="J2547" s="81" t="s">
        <v>187</v>
      </c>
      <c r="K2547" s="81" t="s">
        <v>187</v>
      </c>
      <c r="L2547" s="81" t="s">
        <v>187</v>
      </c>
    </row>
    <row r="2548" ht="15.75" customHeight="1">
      <c r="A2548" s="262"/>
      <c r="B2548" s="262"/>
      <c r="C2548" s="263"/>
      <c r="D2548" s="262"/>
      <c r="E2548" s="81" t="s">
        <v>187</v>
      </c>
      <c r="F2548" s="81" t="s">
        <v>187</v>
      </c>
      <c r="G2548" s="81" t="s">
        <v>187</v>
      </c>
      <c r="H2548" s="81" t="s">
        <v>187</v>
      </c>
      <c r="I2548" s="81" t="s">
        <v>187</v>
      </c>
      <c r="J2548" s="81" t="s">
        <v>187</v>
      </c>
      <c r="K2548" s="81" t="s">
        <v>187</v>
      </c>
      <c r="L2548" s="81" t="s">
        <v>187</v>
      </c>
    </row>
    <row r="2549" ht="15.75" customHeight="1">
      <c r="A2549" s="262"/>
      <c r="B2549" s="262"/>
      <c r="C2549" s="263"/>
      <c r="D2549" s="262"/>
      <c r="E2549" s="81" t="s">
        <v>187</v>
      </c>
      <c r="F2549" s="81" t="s">
        <v>187</v>
      </c>
      <c r="G2549" s="81" t="s">
        <v>187</v>
      </c>
      <c r="H2549" s="81" t="s">
        <v>187</v>
      </c>
      <c r="I2549" s="81" t="s">
        <v>187</v>
      </c>
      <c r="J2549" s="81" t="s">
        <v>187</v>
      </c>
      <c r="K2549" s="81" t="s">
        <v>187</v>
      </c>
      <c r="L2549" s="81" t="s">
        <v>187</v>
      </c>
    </row>
    <row r="2550" ht="15.75" customHeight="1">
      <c r="A2550" s="262"/>
      <c r="B2550" s="262"/>
      <c r="C2550" s="263"/>
      <c r="D2550" s="262"/>
      <c r="E2550" s="81" t="s">
        <v>187</v>
      </c>
      <c r="F2550" s="81" t="s">
        <v>187</v>
      </c>
      <c r="G2550" s="81" t="s">
        <v>187</v>
      </c>
      <c r="H2550" s="81" t="s">
        <v>187</v>
      </c>
      <c r="I2550" s="81" t="s">
        <v>187</v>
      </c>
      <c r="J2550" s="81" t="s">
        <v>187</v>
      </c>
      <c r="K2550" s="81" t="s">
        <v>187</v>
      </c>
      <c r="L2550" s="81" t="s">
        <v>187</v>
      </c>
    </row>
    <row r="2551" ht="15.75" customHeight="1">
      <c r="A2551" s="262"/>
      <c r="B2551" s="262"/>
      <c r="C2551" s="263"/>
      <c r="D2551" s="262"/>
      <c r="E2551" s="81" t="s">
        <v>187</v>
      </c>
      <c r="F2551" s="81" t="s">
        <v>187</v>
      </c>
      <c r="G2551" s="81" t="s">
        <v>187</v>
      </c>
      <c r="H2551" s="81" t="s">
        <v>187</v>
      </c>
      <c r="I2551" s="81" t="s">
        <v>187</v>
      </c>
      <c r="J2551" s="81" t="s">
        <v>187</v>
      </c>
      <c r="K2551" s="81" t="s">
        <v>187</v>
      </c>
      <c r="L2551" s="81" t="s">
        <v>187</v>
      </c>
    </row>
    <row r="2552" ht="15.75" customHeight="1">
      <c r="A2552" s="262"/>
      <c r="B2552" s="262"/>
      <c r="C2552" s="263"/>
      <c r="D2552" s="262"/>
      <c r="E2552" s="81" t="s">
        <v>187</v>
      </c>
      <c r="F2552" s="81" t="s">
        <v>187</v>
      </c>
      <c r="G2552" s="81" t="s">
        <v>187</v>
      </c>
      <c r="H2552" s="81" t="s">
        <v>187</v>
      </c>
      <c r="I2552" s="81" t="s">
        <v>187</v>
      </c>
      <c r="J2552" s="81" t="s">
        <v>187</v>
      </c>
      <c r="K2552" s="81" t="s">
        <v>187</v>
      </c>
      <c r="L2552" s="81" t="s">
        <v>187</v>
      </c>
    </row>
    <row r="2553" ht="15.75" customHeight="1">
      <c r="A2553" s="262"/>
      <c r="B2553" s="262"/>
      <c r="C2553" s="263"/>
      <c r="D2553" s="262"/>
      <c r="E2553" s="81" t="s">
        <v>187</v>
      </c>
      <c r="F2553" s="81" t="s">
        <v>187</v>
      </c>
      <c r="G2553" s="81" t="s">
        <v>187</v>
      </c>
      <c r="H2553" s="81" t="s">
        <v>187</v>
      </c>
      <c r="I2553" s="81" t="s">
        <v>187</v>
      </c>
      <c r="J2553" s="81" t="s">
        <v>187</v>
      </c>
      <c r="K2553" s="81" t="s">
        <v>187</v>
      </c>
      <c r="L2553" s="81" t="s">
        <v>187</v>
      </c>
    </row>
    <row r="2554" ht="15.75" customHeight="1">
      <c r="A2554" s="262"/>
      <c r="B2554" s="262"/>
      <c r="C2554" s="263"/>
      <c r="D2554" s="262"/>
      <c r="E2554" s="81" t="s">
        <v>187</v>
      </c>
      <c r="F2554" s="81" t="s">
        <v>187</v>
      </c>
      <c r="G2554" s="81" t="s">
        <v>187</v>
      </c>
      <c r="H2554" s="81" t="s">
        <v>187</v>
      </c>
      <c r="I2554" s="81" t="s">
        <v>187</v>
      </c>
      <c r="J2554" s="81" t="s">
        <v>187</v>
      </c>
      <c r="K2554" s="81" t="s">
        <v>187</v>
      </c>
      <c r="L2554" s="81" t="s">
        <v>187</v>
      </c>
    </row>
    <row r="2555" ht="15.75" customHeight="1">
      <c r="A2555" s="262"/>
      <c r="B2555" s="262"/>
      <c r="C2555" s="263"/>
      <c r="D2555" s="262"/>
      <c r="E2555" s="81" t="s">
        <v>187</v>
      </c>
      <c r="F2555" s="81" t="s">
        <v>187</v>
      </c>
      <c r="G2555" s="81" t="s">
        <v>187</v>
      </c>
      <c r="H2555" s="81" t="s">
        <v>187</v>
      </c>
      <c r="I2555" s="81" t="s">
        <v>187</v>
      </c>
      <c r="J2555" s="81" t="s">
        <v>187</v>
      </c>
      <c r="K2555" s="81" t="s">
        <v>187</v>
      </c>
      <c r="L2555" s="81" t="s">
        <v>187</v>
      </c>
    </row>
    <row r="2556" ht="15.75" customHeight="1">
      <c r="A2556" s="262"/>
      <c r="B2556" s="262"/>
      <c r="C2556" s="263"/>
      <c r="D2556" s="262"/>
      <c r="E2556" s="81" t="s">
        <v>187</v>
      </c>
      <c r="F2556" s="81" t="s">
        <v>187</v>
      </c>
      <c r="G2556" s="81" t="s">
        <v>187</v>
      </c>
      <c r="H2556" s="81" t="s">
        <v>187</v>
      </c>
      <c r="I2556" s="81" t="s">
        <v>187</v>
      </c>
      <c r="J2556" s="81" t="s">
        <v>187</v>
      </c>
      <c r="K2556" s="81" t="s">
        <v>187</v>
      </c>
      <c r="L2556" s="81" t="s">
        <v>187</v>
      </c>
    </row>
    <row r="2557" ht="15.75" customHeight="1">
      <c r="A2557" s="262"/>
      <c r="B2557" s="262"/>
      <c r="C2557" s="263"/>
      <c r="D2557" s="262"/>
      <c r="E2557" s="81" t="s">
        <v>187</v>
      </c>
      <c r="F2557" s="81" t="s">
        <v>187</v>
      </c>
      <c r="G2557" s="81" t="s">
        <v>187</v>
      </c>
      <c r="H2557" s="81" t="s">
        <v>187</v>
      </c>
      <c r="I2557" s="81" t="s">
        <v>187</v>
      </c>
      <c r="J2557" s="81" t="s">
        <v>187</v>
      </c>
      <c r="K2557" s="81" t="s">
        <v>187</v>
      </c>
      <c r="L2557" s="81" t="s">
        <v>187</v>
      </c>
    </row>
    <row r="2558" ht="15.75" customHeight="1">
      <c r="A2558" s="262"/>
      <c r="B2558" s="262"/>
      <c r="C2558" s="263"/>
      <c r="D2558" s="262"/>
      <c r="E2558" s="81" t="s">
        <v>187</v>
      </c>
      <c r="F2558" s="81" t="s">
        <v>187</v>
      </c>
      <c r="G2558" s="81" t="s">
        <v>187</v>
      </c>
      <c r="H2558" s="81" t="s">
        <v>187</v>
      </c>
      <c r="I2558" s="81" t="s">
        <v>187</v>
      </c>
      <c r="J2558" s="81" t="s">
        <v>187</v>
      </c>
      <c r="K2558" s="81" t="s">
        <v>187</v>
      </c>
      <c r="L2558" s="81" t="s">
        <v>187</v>
      </c>
    </row>
    <row r="2559" ht="15.75" customHeight="1">
      <c r="A2559" s="262"/>
      <c r="B2559" s="262"/>
      <c r="C2559" s="263"/>
      <c r="D2559" s="262"/>
      <c r="E2559" s="81" t="s">
        <v>187</v>
      </c>
      <c r="F2559" s="81" t="s">
        <v>187</v>
      </c>
      <c r="G2559" s="81" t="s">
        <v>187</v>
      </c>
      <c r="H2559" s="81" t="s">
        <v>187</v>
      </c>
      <c r="I2559" s="81" t="s">
        <v>187</v>
      </c>
      <c r="J2559" s="81" t="s">
        <v>187</v>
      </c>
      <c r="K2559" s="81" t="s">
        <v>187</v>
      </c>
      <c r="L2559" s="81" t="s">
        <v>187</v>
      </c>
    </row>
    <row r="2560" ht="15.75" customHeight="1">
      <c r="A2560" s="262"/>
      <c r="B2560" s="262"/>
      <c r="C2560" s="263"/>
      <c r="D2560" s="262"/>
      <c r="E2560" s="81" t="s">
        <v>187</v>
      </c>
      <c r="F2560" s="81" t="s">
        <v>187</v>
      </c>
      <c r="G2560" s="81" t="s">
        <v>187</v>
      </c>
      <c r="H2560" s="81" t="s">
        <v>187</v>
      </c>
      <c r="I2560" s="81" t="s">
        <v>187</v>
      </c>
      <c r="J2560" s="81" t="s">
        <v>187</v>
      </c>
      <c r="K2560" s="81" t="s">
        <v>187</v>
      </c>
      <c r="L2560" s="81" t="s">
        <v>187</v>
      </c>
    </row>
    <row r="2561" ht="15.75" customHeight="1">
      <c r="A2561" s="262"/>
      <c r="B2561" s="262"/>
      <c r="C2561" s="263"/>
      <c r="D2561" s="262"/>
      <c r="E2561" s="81" t="s">
        <v>187</v>
      </c>
      <c r="F2561" s="81" t="s">
        <v>187</v>
      </c>
      <c r="G2561" s="81" t="s">
        <v>187</v>
      </c>
      <c r="H2561" s="81" t="s">
        <v>187</v>
      </c>
      <c r="I2561" s="81" t="s">
        <v>187</v>
      </c>
      <c r="J2561" s="81" t="s">
        <v>187</v>
      </c>
      <c r="K2561" s="81" t="s">
        <v>187</v>
      </c>
      <c r="L2561" s="81" t="s">
        <v>187</v>
      </c>
    </row>
    <row r="2562" ht="15.75" customHeight="1">
      <c r="A2562" s="262"/>
      <c r="B2562" s="262"/>
      <c r="C2562" s="263"/>
      <c r="D2562" s="262"/>
      <c r="E2562" s="81" t="s">
        <v>187</v>
      </c>
      <c r="F2562" s="81" t="s">
        <v>187</v>
      </c>
      <c r="G2562" s="81" t="s">
        <v>187</v>
      </c>
      <c r="H2562" s="81" t="s">
        <v>187</v>
      </c>
      <c r="I2562" s="81" t="s">
        <v>187</v>
      </c>
      <c r="J2562" s="81" t="s">
        <v>187</v>
      </c>
      <c r="K2562" s="81" t="s">
        <v>187</v>
      </c>
      <c r="L2562" s="81" t="s">
        <v>187</v>
      </c>
    </row>
    <row r="2563" ht="15.75" customHeight="1">
      <c r="A2563" s="262"/>
      <c r="B2563" s="262"/>
      <c r="C2563" s="263"/>
      <c r="D2563" s="262"/>
      <c r="E2563" s="81" t="s">
        <v>187</v>
      </c>
      <c r="F2563" s="81" t="s">
        <v>187</v>
      </c>
      <c r="G2563" s="81" t="s">
        <v>187</v>
      </c>
      <c r="H2563" s="81" t="s">
        <v>187</v>
      </c>
      <c r="I2563" s="81" t="s">
        <v>187</v>
      </c>
      <c r="J2563" s="81" t="s">
        <v>187</v>
      </c>
      <c r="K2563" s="81" t="s">
        <v>187</v>
      </c>
      <c r="L2563" s="81" t="s">
        <v>187</v>
      </c>
    </row>
    <row r="2564" ht="15.75" customHeight="1">
      <c r="A2564" s="262"/>
      <c r="B2564" s="262"/>
      <c r="C2564" s="263"/>
      <c r="D2564" s="262"/>
      <c r="E2564" s="81" t="s">
        <v>187</v>
      </c>
      <c r="F2564" s="81" t="s">
        <v>187</v>
      </c>
      <c r="G2564" s="81" t="s">
        <v>187</v>
      </c>
      <c r="H2564" s="81" t="s">
        <v>187</v>
      </c>
      <c r="I2564" s="81" t="s">
        <v>187</v>
      </c>
      <c r="J2564" s="81" t="s">
        <v>187</v>
      </c>
      <c r="K2564" s="81" t="s">
        <v>187</v>
      </c>
      <c r="L2564" s="81" t="s">
        <v>187</v>
      </c>
    </row>
    <row r="2565" ht="15.75" customHeight="1">
      <c r="A2565" s="262"/>
      <c r="B2565" s="262"/>
      <c r="C2565" s="263"/>
      <c r="D2565" s="262"/>
      <c r="E2565" s="81" t="s">
        <v>187</v>
      </c>
      <c r="F2565" s="81" t="s">
        <v>187</v>
      </c>
      <c r="G2565" s="81" t="s">
        <v>187</v>
      </c>
      <c r="H2565" s="81" t="s">
        <v>187</v>
      </c>
      <c r="I2565" s="81" t="s">
        <v>187</v>
      </c>
      <c r="J2565" s="81" t="s">
        <v>187</v>
      </c>
      <c r="K2565" s="81" t="s">
        <v>187</v>
      </c>
      <c r="L2565" s="81" t="s">
        <v>187</v>
      </c>
    </row>
    <row r="2566" ht="15.75" customHeight="1">
      <c r="A2566" s="262"/>
      <c r="B2566" s="262"/>
      <c r="C2566" s="263"/>
      <c r="D2566" s="262"/>
      <c r="E2566" s="81" t="s">
        <v>187</v>
      </c>
      <c r="F2566" s="81" t="s">
        <v>187</v>
      </c>
      <c r="G2566" s="81" t="s">
        <v>187</v>
      </c>
      <c r="H2566" s="81" t="s">
        <v>187</v>
      </c>
      <c r="I2566" s="81" t="s">
        <v>187</v>
      </c>
      <c r="J2566" s="81" t="s">
        <v>187</v>
      </c>
      <c r="K2566" s="81" t="s">
        <v>187</v>
      </c>
      <c r="L2566" s="81" t="s">
        <v>187</v>
      </c>
    </row>
    <row r="2567" ht="15.75" customHeight="1">
      <c r="A2567" s="262"/>
      <c r="B2567" s="262"/>
      <c r="C2567" s="263"/>
      <c r="D2567" s="262"/>
      <c r="E2567" s="81" t="s">
        <v>187</v>
      </c>
      <c r="F2567" s="81" t="s">
        <v>187</v>
      </c>
      <c r="G2567" s="81" t="s">
        <v>187</v>
      </c>
      <c r="H2567" s="81" t="s">
        <v>187</v>
      </c>
      <c r="I2567" s="81" t="s">
        <v>187</v>
      </c>
      <c r="J2567" s="81" t="s">
        <v>187</v>
      </c>
      <c r="K2567" s="81" t="s">
        <v>187</v>
      </c>
      <c r="L2567" s="81" t="s">
        <v>187</v>
      </c>
    </row>
    <row r="2568" ht="15.75" customHeight="1">
      <c r="A2568" s="262"/>
      <c r="B2568" s="262"/>
      <c r="C2568" s="263"/>
      <c r="D2568" s="262"/>
      <c r="E2568" s="81" t="s">
        <v>187</v>
      </c>
      <c r="F2568" s="81" t="s">
        <v>187</v>
      </c>
      <c r="G2568" s="81" t="s">
        <v>187</v>
      </c>
      <c r="H2568" s="81" t="s">
        <v>187</v>
      </c>
      <c r="I2568" s="81" t="s">
        <v>187</v>
      </c>
      <c r="J2568" s="81" t="s">
        <v>187</v>
      </c>
      <c r="K2568" s="81" t="s">
        <v>187</v>
      </c>
      <c r="L2568" s="81" t="s">
        <v>187</v>
      </c>
    </row>
    <row r="2569" ht="15.75" customHeight="1">
      <c r="A2569" s="262"/>
      <c r="B2569" s="262"/>
      <c r="C2569" s="263"/>
      <c r="D2569" s="262"/>
      <c r="E2569" s="81" t="s">
        <v>187</v>
      </c>
      <c r="F2569" s="81" t="s">
        <v>187</v>
      </c>
      <c r="G2569" s="81" t="s">
        <v>187</v>
      </c>
      <c r="H2569" s="81" t="s">
        <v>187</v>
      </c>
      <c r="I2569" s="81" t="s">
        <v>187</v>
      </c>
      <c r="J2569" s="81" t="s">
        <v>187</v>
      </c>
      <c r="K2569" s="81" t="s">
        <v>187</v>
      </c>
      <c r="L2569" s="81" t="s">
        <v>187</v>
      </c>
    </row>
    <row r="2570" ht="15.75" customHeight="1">
      <c r="A2570" s="262"/>
      <c r="B2570" s="262"/>
      <c r="C2570" s="263"/>
      <c r="D2570" s="262"/>
      <c r="E2570" s="81" t="s">
        <v>187</v>
      </c>
      <c r="F2570" s="81" t="s">
        <v>187</v>
      </c>
      <c r="G2570" s="81" t="s">
        <v>187</v>
      </c>
      <c r="H2570" s="81" t="s">
        <v>187</v>
      </c>
      <c r="I2570" s="81" t="s">
        <v>187</v>
      </c>
      <c r="J2570" s="81" t="s">
        <v>187</v>
      </c>
      <c r="K2570" s="81" t="s">
        <v>187</v>
      </c>
      <c r="L2570" s="81" t="s">
        <v>187</v>
      </c>
    </row>
    <row r="2571" ht="15.75" customHeight="1">
      <c r="A2571" s="262"/>
      <c r="B2571" s="262"/>
      <c r="C2571" s="263"/>
      <c r="D2571" s="262"/>
      <c r="E2571" s="81" t="s">
        <v>187</v>
      </c>
      <c r="F2571" s="81" t="s">
        <v>187</v>
      </c>
      <c r="G2571" s="81" t="s">
        <v>187</v>
      </c>
      <c r="H2571" s="81" t="s">
        <v>187</v>
      </c>
      <c r="I2571" s="81" t="s">
        <v>187</v>
      </c>
      <c r="J2571" s="81" t="s">
        <v>187</v>
      </c>
      <c r="K2571" s="81" t="s">
        <v>187</v>
      </c>
      <c r="L2571" s="81" t="s">
        <v>187</v>
      </c>
    </row>
    <row r="2572" ht="15.75" customHeight="1">
      <c r="A2572" s="262"/>
      <c r="B2572" s="262"/>
      <c r="C2572" s="263"/>
      <c r="D2572" s="262"/>
      <c r="E2572" s="81" t="s">
        <v>187</v>
      </c>
      <c r="F2572" s="81" t="s">
        <v>187</v>
      </c>
      <c r="G2572" s="81" t="s">
        <v>187</v>
      </c>
      <c r="H2572" s="81" t="s">
        <v>187</v>
      </c>
      <c r="I2572" s="81" t="s">
        <v>187</v>
      </c>
      <c r="J2572" s="81" t="s">
        <v>187</v>
      </c>
      <c r="K2572" s="81" t="s">
        <v>187</v>
      </c>
      <c r="L2572" s="81" t="s">
        <v>187</v>
      </c>
    </row>
    <row r="2573" ht="15.75" customHeight="1">
      <c r="A2573" s="262"/>
      <c r="B2573" s="262"/>
      <c r="C2573" s="263"/>
      <c r="D2573" s="262"/>
      <c r="E2573" s="81" t="s">
        <v>187</v>
      </c>
      <c r="F2573" s="81" t="s">
        <v>187</v>
      </c>
      <c r="G2573" s="81" t="s">
        <v>187</v>
      </c>
      <c r="H2573" s="81" t="s">
        <v>187</v>
      </c>
      <c r="I2573" s="81" t="s">
        <v>187</v>
      </c>
      <c r="J2573" s="81" t="s">
        <v>187</v>
      </c>
      <c r="K2573" s="81" t="s">
        <v>187</v>
      </c>
      <c r="L2573" s="81" t="s">
        <v>187</v>
      </c>
    </row>
    <row r="2574" ht="15.75" customHeight="1">
      <c r="A2574" s="262"/>
      <c r="B2574" s="262"/>
      <c r="C2574" s="263"/>
      <c r="D2574" s="262"/>
      <c r="E2574" s="81" t="s">
        <v>187</v>
      </c>
      <c r="F2574" s="81" t="s">
        <v>187</v>
      </c>
      <c r="G2574" s="81" t="s">
        <v>187</v>
      </c>
      <c r="H2574" s="81" t="s">
        <v>187</v>
      </c>
      <c r="I2574" s="81" t="s">
        <v>187</v>
      </c>
      <c r="J2574" s="81" t="s">
        <v>187</v>
      </c>
      <c r="K2574" s="81" t="s">
        <v>187</v>
      </c>
      <c r="L2574" s="81" t="s">
        <v>187</v>
      </c>
    </row>
    <row r="2575" ht="15.75" customHeight="1">
      <c r="A2575" s="262"/>
      <c r="B2575" s="262"/>
      <c r="C2575" s="263"/>
      <c r="D2575" s="262"/>
      <c r="E2575" s="81" t="s">
        <v>187</v>
      </c>
      <c r="F2575" s="81" t="s">
        <v>187</v>
      </c>
      <c r="G2575" s="81" t="s">
        <v>187</v>
      </c>
      <c r="H2575" s="81" t="s">
        <v>187</v>
      </c>
      <c r="I2575" s="81" t="s">
        <v>187</v>
      </c>
      <c r="J2575" s="81" t="s">
        <v>187</v>
      </c>
      <c r="K2575" s="81" t="s">
        <v>187</v>
      </c>
      <c r="L2575" s="81" t="s">
        <v>187</v>
      </c>
    </row>
    <row r="2576" ht="15.75" customHeight="1">
      <c r="A2576" s="262"/>
      <c r="B2576" s="262"/>
      <c r="C2576" s="263"/>
      <c r="D2576" s="262"/>
      <c r="E2576" s="81" t="s">
        <v>187</v>
      </c>
      <c r="F2576" s="81" t="s">
        <v>187</v>
      </c>
      <c r="G2576" s="81" t="s">
        <v>187</v>
      </c>
      <c r="H2576" s="81" t="s">
        <v>187</v>
      </c>
      <c r="I2576" s="81" t="s">
        <v>187</v>
      </c>
      <c r="J2576" s="81" t="s">
        <v>187</v>
      </c>
      <c r="K2576" s="81" t="s">
        <v>187</v>
      </c>
      <c r="L2576" s="81" t="s">
        <v>187</v>
      </c>
    </row>
    <row r="2577" ht="15.75" customHeight="1">
      <c r="A2577" s="262"/>
      <c r="B2577" s="262"/>
      <c r="C2577" s="263"/>
      <c r="D2577" s="262"/>
      <c r="E2577" s="81" t="s">
        <v>187</v>
      </c>
      <c r="F2577" s="81" t="s">
        <v>187</v>
      </c>
      <c r="G2577" s="81" t="s">
        <v>187</v>
      </c>
      <c r="H2577" s="81" t="s">
        <v>187</v>
      </c>
      <c r="I2577" s="81" t="s">
        <v>187</v>
      </c>
      <c r="J2577" s="81" t="s">
        <v>187</v>
      </c>
      <c r="K2577" s="81" t="s">
        <v>187</v>
      </c>
      <c r="L2577" s="81" t="s">
        <v>187</v>
      </c>
    </row>
    <row r="2578" ht="15.75" customHeight="1">
      <c r="A2578" s="262"/>
      <c r="B2578" s="262"/>
      <c r="C2578" s="263"/>
      <c r="D2578" s="262"/>
      <c r="E2578" s="81" t="s">
        <v>187</v>
      </c>
      <c r="F2578" s="81" t="s">
        <v>187</v>
      </c>
      <c r="G2578" s="81" t="s">
        <v>187</v>
      </c>
      <c r="H2578" s="81" t="s">
        <v>187</v>
      </c>
      <c r="I2578" s="81" t="s">
        <v>187</v>
      </c>
      <c r="J2578" s="81" t="s">
        <v>187</v>
      </c>
      <c r="K2578" s="81" t="s">
        <v>187</v>
      </c>
      <c r="L2578" s="81" t="s">
        <v>187</v>
      </c>
    </row>
    <row r="2579" ht="15.75" customHeight="1">
      <c r="A2579" s="262"/>
      <c r="B2579" s="262"/>
      <c r="C2579" s="263"/>
      <c r="D2579" s="262"/>
      <c r="E2579" s="81" t="s">
        <v>187</v>
      </c>
      <c r="F2579" s="81" t="s">
        <v>187</v>
      </c>
      <c r="G2579" s="81" t="s">
        <v>187</v>
      </c>
      <c r="H2579" s="81" t="s">
        <v>187</v>
      </c>
      <c r="I2579" s="81" t="s">
        <v>187</v>
      </c>
      <c r="J2579" s="81" t="s">
        <v>187</v>
      </c>
      <c r="K2579" s="81" t="s">
        <v>187</v>
      </c>
      <c r="L2579" s="81" t="s">
        <v>187</v>
      </c>
    </row>
    <row r="2580" ht="15.75" customHeight="1">
      <c r="A2580" s="262"/>
      <c r="B2580" s="262"/>
      <c r="C2580" s="263"/>
      <c r="D2580" s="262"/>
      <c r="E2580" s="81" t="s">
        <v>187</v>
      </c>
      <c r="F2580" s="81" t="s">
        <v>187</v>
      </c>
      <c r="G2580" s="81" t="s">
        <v>187</v>
      </c>
      <c r="H2580" s="81" t="s">
        <v>187</v>
      </c>
      <c r="I2580" s="81" t="s">
        <v>187</v>
      </c>
      <c r="J2580" s="81" t="s">
        <v>187</v>
      </c>
      <c r="K2580" s="81" t="s">
        <v>187</v>
      </c>
      <c r="L2580" s="81" t="s">
        <v>187</v>
      </c>
    </row>
    <row r="2581" ht="15.75" customHeight="1">
      <c r="A2581" s="262"/>
      <c r="B2581" s="262"/>
      <c r="C2581" s="263"/>
      <c r="D2581" s="262"/>
      <c r="E2581" s="81" t="s">
        <v>187</v>
      </c>
      <c r="F2581" s="81" t="s">
        <v>187</v>
      </c>
      <c r="G2581" s="81" t="s">
        <v>187</v>
      </c>
      <c r="H2581" s="81" t="s">
        <v>187</v>
      </c>
      <c r="I2581" s="81" t="s">
        <v>187</v>
      </c>
      <c r="J2581" s="81" t="s">
        <v>187</v>
      </c>
      <c r="K2581" s="81" t="s">
        <v>187</v>
      </c>
      <c r="L2581" s="81" t="s">
        <v>187</v>
      </c>
    </row>
    <row r="2582" ht="15.75" customHeight="1">
      <c r="A2582" s="262"/>
      <c r="B2582" s="262"/>
      <c r="C2582" s="263"/>
      <c r="D2582" s="262"/>
      <c r="E2582" s="81" t="s">
        <v>187</v>
      </c>
      <c r="F2582" s="81" t="s">
        <v>187</v>
      </c>
      <c r="G2582" s="81" t="s">
        <v>187</v>
      </c>
      <c r="H2582" s="81" t="s">
        <v>187</v>
      </c>
      <c r="I2582" s="81" t="s">
        <v>187</v>
      </c>
      <c r="J2582" s="81" t="s">
        <v>187</v>
      </c>
      <c r="K2582" s="81" t="s">
        <v>187</v>
      </c>
      <c r="L2582" s="81" t="s">
        <v>187</v>
      </c>
    </row>
    <row r="2583" ht="15.75" customHeight="1">
      <c r="A2583" s="262"/>
      <c r="B2583" s="262"/>
      <c r="C2583" s="263"/>
      <c r="D2583" s="262"/>
      <c r="E2583" s="81" t="s">
        <v>187</v>
      </c>
      <c r="F2583" s="81" t="s">
        <v>187</v>
      </c>
      <c r="G2583" s="81" t="s">
        <v>187</v>
      </c>
      <c r="H2583" s="81" t="s">
        <v>187</v>
      </c>
      <c r="I2583" s="81" t="s">
        <v>187</v>
      </c>
      <c r="J2583" s="81" t="s">
        <v>187</v>
      </c>
      <c r="K2583" s="81" t="s">
        <v>187</v>
      </c>
      <c r="L2583" s="81" t="s">
        <v>187</v>
      </c>
    </row>
    <row r="2584" ht="15.75" customHeight="1">
      <c r="A2584" s="262"/>
      <c r="B2584" s="262"/>
      <c r="C2584" s="263"/>
      <c r="D2584" s="262"/>
      <c r="E2584" s="81" t="s">
        <v>187</v>
      </c>
      <c r="F2584" s="81" t="s">
        <v>187</v>
      </c>
      <c r="G2584" s="81" t="s">
        <v>187</v>
      </c>
      <c r="H2584" s="81" t="s">
        <v>187</v>
      </c>
      <c r="I2584" s="81" t="s">
        <v>187</v>
      </c>
      <c r="J2584" s="81" t="s">
        <v>187</v>
      </c>
      <c r="K2584" s="81" t="s">
        <v>187</v>
      </c>
      <c r="L2584" s="81" t="s">
        <v>187</v>
      </c>
    </row>
    <row r="2585" ht="15.75" customHeight="1">
      <c r="A2585" s="262"/>
      <c r="B2585" s="262"/>
      <c r="C2585" s="263"/>
      <c r="D2585" s="262"/>
      <c r="E2585" s="81" t="s">
        <v>187</v>
      </c>
      <c r="F2585" s="81" t="s">
        <v>187</v>
      </c>
      <c r="G2585" s="81" t="s">
        <v>187</v>
      </c>
      <c r="H2585" s="81" t="s">
        <v>187</v>
      </c>
      <c r="I2585" s="81" t="s">
        <v>187</v>
      </c>
      <c r="J2585" s="81" t="s">
        <v>187</v>
      </c>
      <c r="K2585" s="81" t="s">
        <v>187</v>
      </c>
      <c r="L2585" s="81" t="s">
        <v>187</v>
      </c>
    </row>
    <row r="2586" ht="15.75" customHeight="1">
      <c r="A2586" s="262"/>
      <c r="B2586" s="262"/>
      <c r="C2586" s="263"/>
      <c r="D2586" s="262"/>
      <c r="E2586" s="81" t="s">
        <v>187</v>
      </c>
      <c r="F2586" s="81" t="s">
        <v>187</v>
      </c>
      <c r="G2586" s="81" t="s">
        <v>187</v>
      </c>
      <c r="H2586" s="81" t="s">
        <v>187</v>
      </c>
      <c r="I2586" s="81" t="s">
        <v>187</v>
      </c>
      <c r="J2586" s="81" t="s">
        <v>187</v>
      </c>
      <c r="K2586" s="81" t="s">
        <v>187</v>
      </c>
      <c r="L2586" s="81" t="s">
        <v>187</v>
      </c>
    </row>
    <row r="2587" ht="15.75" customHeight="1">
      <c r="A2587" s="262"/>
      <c r="B2587" s="262"/>
      <c r="C2587" s="263"/>
      <c r="D2587" s="262"/>
      <c r="E2587" s="81" t="s">
        <v>187</v>
      </c>
      <c r="F2587" s="81" t="s">
        <v>187</v>
      </c>
      <c r="G2587" s="81" t="s">
        <v>187</v>
      </c>
      <c r="H2587" s="81" t="s">
        <v>187</v>
      </c>
      <c r="I2587" s="81" t="s">
        <v>187</v>
      </c>
      <c r="J2587" s="81" t="s">
        <v>187</v>
      </c>
      <c r="K2587" s="81" t="s">
        <v>187</v>
      </c>
      <c r="L2587" s="81" t="s">
        <v>187</v>
      </c>
    </row>
    <row r="2588" ht="15.75" customHeight="1">
      <c r="A2588" s="262"/>
      <c r="B2588" s="262"/>
      <c r="C2588" s="263"/>
      <c r="D2588" s="262"/>
      <c r="E2588" s="81" t="s">
        <v>187</v>
      </c>
      <c r="F2588" s="81" t="s">
        <v>187</v>
      </c>
      <c r="G2588" s="81" t="s">
        <v>187</v>
      </c>
      <c r="H2588" s="81" t="s">
        <v>187</v>
      </c>
      <c r="I2588" s="81" t="s">
        <v>187</v>
      </c>
      <c r="J2588" s="81" t="s">
        <v>187</v>
      </c>
      <c r="K2588" s="81" t="s">
        <v>187</v>
      </c>
      <c r="L2588" s="81" t="s">
        <v>187</v>
      </c>
    </row>
    <row r="2589" ht="15.75" customHeight="1">
      <c r="A2589" s="262"/>
      <c r="B2589" s="262"/>
      <c r="C2589" s="263"/>
      <c r="D2589" s="262"/>
      <c r="E2589" s="81" t="s">
        <v>187</v>
      </c>
      <c r="F2589" s="81" t="s">
        <v>187</v>
      </c>
      <c r="G2589" s="81" t="s">
        <v>187</v>
      </c>
      <c r="H2589" s="81" t="s">
        <v>187</v>
      </c>
      <c r="I2589" s="81" t="s">
        <v>187</v>
      </c>
      <c r="J2589" s="81" t="s">
        <v>187</v>
      </c>
      <c r="K2589" s="81" t="s">
        <v>187</v>
      </c>
      <c r="L2589" s="81" t="s">
        <v>187</v>
      </c>
    </row>
    <row r="2590" ht="15.75" customHeight="1">
      <c r="A2590" s="262"/>
      <c r="B2590" s="262"/>
      <c r="C2590" s="263"/>
      <c r="D2590" s="262"/>
      <c r="E2590" s="81" t="s">
        <v>187</v>
      </c>
      <c r="F2590" s="81" t="s">
        <v>187</v>
      </c>
      <c r="G2590" s="81" t="s">
        <v>187</v>
      </c>
      <c r="H2590" s="81" t="s">
        <v>187</v>
      </c>
      <c r="I2590" s="81" t="s">
        <v>187</v>
      </c>
      <c r="J2590" s="81" t="s">
        <v>187</v>
      </c>
      <c r="K2590" s="81" t="s">
        <v>187</v>
      </c>
      <c r="L2590" s="81" t="s">
        <v>187</v>
      </c>
    </row>
    <row r="2591" ht="15.75" customHeight="1">
      <c r="A2591" s="262"/>
      <c r="B2591" s="262"/>
      <c r="C2591" s="263"/>
      <c r="D2591" s="262"/>
      <c r="E2591" s="81" t="s">
        <v>187</v>
      </c>
      <c r="F2591" s="81" t="s">
        <v>187</v>
      </c>
      <c r="G2591" s="81" t="s">
        <v>187</v>
      </c>
      <c r="H2591" s="81" t="s">
        <v>187</v>
      </c>
      <c r="I2591" s="81" t="s">
        <v>187</v>
      </c>
      <c r="J2591" s="81" t="s">
        <v>187</v>
      </c>
      <c r="K2591" s="81" t="s">
        <v>187</v>
      </c>
      <c r="L2591" s="81" t="s">
        <v>187</v>
      </c>
    </row>
    <row r="2592" ht="15.75" customHeight="1">
      <c r="A2592" s="262"/>
      <c r="B2592" s="262"/>
      <c r="C2592" s="263"/>
      <c r="D2592" s="262"/>
      <c r="E2592" s="81" t="s">
        <v>187</v>
      </c>
      <c r="F2592" s="81" t="s">
        <v>187</v>
      </c>
      <c r="G2592" s="81" t="s">
        <v>187</v>
      </c>
      <c r="H2592" s="81" t="s">
        <v>187</v>
      </c>
      <c r="I2592" s="81" t="s">
        <v>187</v>
      </c>
      <c r="J2592" s="81" t="s">
        <v>187</v>
      </c>
      <c r="K2592" s="81" t="s">
        <v>187</v>
      </c>
      <c r="L2592" s="81" t="s">
        <v>187</v>
      </c>
    </row>
    <row r="2593" ht="15.75" customHeight="1">
      <c r="A2593" s="262"/>
      <c r="B2593" s="262"/>
      <c r="C2593" s="263"/>
      <c r="D2593" s="262"/>
      <c r="E2593" s="81" t="s">
        <v>187</v>
      </c>
      <c r="F2593" s="81" t="s">
        <v>187</v>
      </c>
      <c r="G2593" s="81" t="s">
        <v>187</v>
      </c>
      <c r="H2593" s="81" t="s">
        <v>187</v>
      </c>
      <c r="I2593" s="81" t="s">
        <v>187</v>
      </c>
      <c r="J2593" s="81" t="s">
        <v>187</v>
      </c>
      <c r="K2593" s="81" t="s">
        <v>187</v>
      </c>
      <c r="L2593" s="81" t="s">
        <v>187</v>
      </c>
    </row>
    <row r="2594" ht="15.75" customHeight="1">
      <c r="A2594" s="262"/>
      <c r="B2594" s="262"/>
      <c r="C2594" s="263"/>
      <c r="D2594" s="262"/>
      <c r="E2594" s="81" t="s">
        <v>187</v>
      </c>
      <c r="F2594" s="81" t="s">
        <v>187</v>
      </c>
      <c r="G2594" s="81" t="s">
        <v>187</v>
      </c>
      <c r="H2594" s="81" t="s">
        <v>187</v>
      </c>
      <c r="I2594" s="81" t="s">
        <v>187</v>
      </c>
      <c r="J2594" s="81" t="s">
        <v>187</v>
      </c>
      <c r="K2594" s="81" t="s">
        <v>187</v>
      </c>
      <c r="L2594" s="81" t="s">
        <v>187</v>
      </c>
    </row>
    <row r="2595" ht="15.75" customHeight="1">
      <c r="A2595" s="262"/>
      <c r="B2595" s="262"/>
      <c r="C2595" s="263"/>
      <c r="D2595" s="262"/>
      <c r="E2595" s="81" t="s">
        <v>187</v>
      </c>
      <c r="F2595" s="81" t="s">
        <v>187</v>
      </c>
      <c r="G2595" s="81" t="s">
        <v>187</v>
      </c>
      <c r="H2595" s="81" t="s">
        <v>187</v>
      </c>
      <c r="I2595" s="81" t="s">
        <v>187</v>
      </c>
      <c r="J2595" s="81" t="s">
        <v>187</v>
      </c>
      <c r="K2595" s="81" t="s">
        <v>187</v>
      </c>
      <c r="L2595" s="81" t="s">
        <v>187</v>
      </c>
    </row>
    <row r="2596" ht="15.75" customHeight="1">
      <c r="A2596" s="262"/>
      <c r="B2596" s="262"/>
      <c r="C2596" s="263"/>
      <c r="D2596" s="262"/>
      <c r="E2596" s="81" t="s">
        <v>187</v>
      </c>
      <c r="F2596" s="81" t="s">
        <v>187</v>
      </c>
      <c r="G2596" s="81" t="s">
        <v>187</v>
      </c>
      <c r="H2596" s="81" t="s">
        <v>187</v>
      </c>
      <c r="I2596" s="81" t="s">
        <v>187</v>
      </c>
      <c r="J2596" s="81" t="s">
        <v>187</v>
      </c>
      <c r="K2596" s="81" t="s">
        <v>187</v>
      </c>
      <c r="L2596" s="81" t="s">
        <v>187</v>
      </c>
    </row>
    <row r="2597" ht="15.75" customHeight="1">
      <c r="A2597" s="262"/>
      <c r="B2597" s="262"/>
      <c r="C2597" s="263"/>
      <c r="D2597" s="262"/>
      <c r="E2597" s="81" t="s">
        <v>187</v>
      </c>
      <c r="F2597" s="81" t="s">
        <v>187</v>
      </c>
      <c r="G2597" s="81" t="s">
        <v>187</v>
      </c>
      <c r="H2597" s="81" t="s">
        <v>187</v>
      </c>
      <c r="I2597" s="81" t="s">
        <v>187</v>
      </c>
      <c r="J2597" s="81" t="s">
        <v>187</v>
      </c>
      <c r="K2597" s="81" t="s">
        <v>187</v>
      </c>
      <c r="L2597" s="81" t="s">
        <v>187</v>
      </c>
    </row>
    <row r="2598" ht="15.75" customHeight="1">
      <c r="A2598" s="262"/>
      <c r="B2598" s="262"/>
      <c r="C2598" s="263"/>
      <c r="D2598" s="262"/>
      <c r="E2598" s="81" t="s">
        <v>187</v>
      </c>
      <c r="F2598" s="81" t="s">
        <v>187</v>
      </c>
      <c r="G2598" s="81" t="s">
        <v>187</v>
      </c>
      <c r="H2598" s="81" t="s">
        <v>187</v>
      </c>
      <c r="I2598" s="81" t="s">
        <v>187</v>
      </c>
      <c r="J2598" s="81" t="s">
        <v>187</v>
      </c>
      <c r="K2598" s="81" t="s">
        <v>187</v>
      </c>
      <c r="L2598" s="81" t="s">
        <v>187</v>
      </c>
    </row>
    <row r="2599" ht="15.75" customHeight="1">
      <c r="A2599" s="262"/>
      <c r="B2599" s="262"/>
      <c r="C2599" s="263"/>
      <c r="D2599" s="262"/>
      <c r="E2599" s="81" t="s">
        <v>187</v>
      </c>
      <c r="F2599" s="81" t="s">
        <v>187</v>
      </c>
      <c r="G2599" s="81" t="s">
        <v>187</v>
      </c>
      <c r="H2599" s="81" t="s">
        <v>187</v>
      </c>
      <c r="I2599" s="81" t="s">
        <v>187</v>
      </c>
      <c r="J2599" s="81" t="s">
        <v>187</v>
      </c>
      <c r="K2599" s="81" t="s">
        <v>187</v>
      </c>
      <c r="L2599" s="81" t="s">
        <v>187</v>
      </c>
    </row>
    <row r="2600" ht="15.75" customHeight="1">
      <c r="A2600" s="262"/>
      <c r="B2600" s="262"/>
      <c r="C2600" s="263"/>
      <c r="D2600" s="262"/>
      <c r="E2600" s="81" t="s">
        <v>187</v>
      </c>
      <c r="F2600" s="81" t="s">
        <v>187</v>
      </c>
      <c r="G2600" s="81" t="s">
        <v>187</v>
      </c>
      <c r="H2600" s="81" t="s">
        <v>187</v>
      </c>
      <c r="I2600" s="81" t="s">
        <v>187</v>
      </c>
      <c r="J2600" s="81" t="s">
        <v>187</v>
      </c>
      <c r="K2600" s="81" t="s">
        <v>187</v>
      </c>
      <c r="L2600" s="81" t="s">
        <v>187</v>
      </c>
    </row>
    <row r="2601" ht="15.75" customHeight="1">
      <c r="A2601" s="262"/>
      <c r="B2601" s="262"/>
      <c r="C2601" s="263"/>
      <c r="D2601" s="262"/>
      <c r="E2601" s="81" t="s">
        <v>187</v>
      </c>
      <c r="F2601" s="81" t="s">
        <v>187</v>
      </c>
      <c r="G2601" s="81" t="s">
        <v>187</v>
      </c>
      <c r="H2601" s="81" t="s">
        <v>187</v>
      </c>
      <c r="I2601" s="81" t="s">
        <v>187</v>
      </c>
      <c r="J2601" s="81" t="s">
        <v>187</v>
      </c>
      <c r="K2601" s="81" t="s">
        <v>187</v>
      </c>
      <c r="L2601" s="81" t="s">
        <v>187</v>
      </c>
    </row>
    <row r="2602" ht="15.75" customHeight="1">
      <c r="A2602" s="262"/>
      <c r="B2602" s="262"/>
      <c r="C2602" s="263"/>
      <c r="D2602" s="262"/>
      <c r="E2602" s="81" t="s">
        <v>187</v>
      </c>
      <c r="F2602" s="81" t="s">
        <v>187</v>
      </c>
      <c r="G2602" s="81" t="s">
        <v>187</v>
      </c>
      <c r="H2602" s="81" t="s">
        <v>187</v>
      </c>
      <c r="I2602" s="81" t="s">
        <v>187</v>
      </c>
      <c r="J2602" s="81" t="s">
        <v>187</v>
      </c>
      <c r="K2602" s="81" t="s">
        <v>187</v>
      </c>
      <c r="L2602" s="81" t="s">
        <v>187</v>
      </c>
    </row>
    <row r="2603" ht="15.75" customHeight="1">
      <c r="A2603" s="262"/>
      <c r="B2603" s="262"/>
      <c r="C2603" s="263"/>
      <c r="D2603" s="262"/>
      <c r="E2603" s="81" t="s">
        <v>187</v>
      </c>
      <c r="F2603" s="81" t="s">
        <v>187</v>
      </c>
      <c r="G2603" s="81" t="s">
        <v>187</v>
      </c>
      <c r="H2603" s="81" t="s">
        <v>187</v>
      </c>
      <c r="I2603" s="81" t="s">
        <v>187</v>
      </c>
      <c r="J2603" s="81" t="s">
        <v>187</v>
      </c>
      <c r="K2603" s="81" t="s">
        <v>187</v>
      </c>
      <c r="L2603" s="81" t="s">
        <v>187</v>
      </c>
    </row>
    <row r="2604" ht="15.75" customHeight="1">
      <c r="A2604" s="262"/>
      <c r="B2604" s="262"/>
      <c r="C2604" s="263"/>
      <c r="D2604" s="262"/>
      <c r="E2604" s="81" t="s">
        <v>187</v>
      </c>
      <c r="F2604" s="81" t="s">
        <v>187</v>
      </c>
      <c r="G2604" s="81" t="s">
        <v>187</v>
      </c>
      <c r="H2604" s="81" t="s">
        <v>187</v>
      </c>
      <c r="I2604" s="81" t="s">
        <v>187</v>
      </c>
      <c r="J2604" s="81" t="s">
        <v>187</v>
      </c>
      <c r="K2604" s="81" t="s">
        <v>187</v>
      </c>
      <c r="L2604" s="81" t="s">
        <v>187</v>
      </c>
    </row>
    <row r="2605" ht="15.75" customHeight="1">
      <c r="A2605" s="262"/>
      <c r="B2605" s="262"/>
      <c r="C2605" s="263"/>
      <c r="D2605" s="262"/>
      <c r="E2605" s="81" t="s">
        <v>187</v>
      </c>
      <c r="F2605" s="81" t="s">
        <v>187</v>
      </c>
      <c r="G2605" s="81" t="s">
        <v>187</v>
      </c>
      <c r="H2605" s="81" t="s">
        <v>187</v>
      </c>
      <c r="I2605" s="81" t="s">
        <v>187</v>
      </c>
      <c r="J2605" s="81" t="s">
        <v>187</v>
      </c>
      <c r="K2605" s="81" t="s">
        <v>187</v>
      </c>
      <c r="L2605" s="81" t="s">
        <v>187</v>
      </c>
    </row>
    <row r="2606" ht="15.75" customHeight="1">
      <c r="A2606" s="262"/>
      <c r="B2606" s="262"/>
      <c r="C2606" s="263"/>
      <c r="D2606" s="262"/>
      <c r="E2606" s="81" t="s">
        <v>187</v>
      </c>
      <c r="F2606" s="81" t="s">
        <v>187</v>
      </c>
      <c r="G2606" s="81" t="s">
        <v>187</v>
      </c>
      <c r="H2606" s="81" t="s">
        <v>187</v>
      </c>
      <c r="I2606" s="81" t="s">
        <v>187</v>
      </c>
      <c r="J2606" s="81" t="s">
        <v>187</v>
      </c>
      <c r="K2606" s="81" t="s">
        <v>187</v>
      </c>
      <c r="L2606" s="81" t="s">
        <v>187</v>
      </c>
    </row>
    <row r="2607" ht="15.75" customHeight="1">
      <c r="A2607" s="262"/>
      <c r="B2607" s="262"/>
      <c r="C2607" s="263"/>
      <c r="D2607" s="262"/>
      <c r="E2607" s="81" t="s">
        <v>187</v>
      </c>
      <c r="F2607" s="81" t="s">
        <v>187</v>
      </c>
      <c r="G2607" s="81" t="s">
        <v>187</v>
      </c>
      <c r="H2607" s="81" t="s">
        <v>187</v>
      </c>
      <c r="I2607" s="81" t="s">
        <v>187</v>
      </c>
      <c r="J2607" s="81" t="s">
        <v>187</v>
      </c>
      <c r="K2607" s="81" t="s">
        <v>187</v>
      </c>
      <c r="L2607" s="81" t="s">
        <v>187</v>
      </c>
    </row>
    <row r="2608" ht="15.75" customHeight="1">
      <c r="A2608" s="262"/>
      <c r="B2608" s="262"/>
      <c r="C2608" s="263"/>
      <c r="D2608" s="262"/>
      <c r="E2608" s="81" t="s">
        <v>187</v>
      </c>
      <c r="F2608" s="81" t="s">
        <v>187</v>
      </c>
      <c r="G2608" s="81" t="s">
        <v>187</v>
      </c>
      <c r="H2608" s="81" t="s">
        <v>187</v>
      </c>
      <c r="I2608" s="81" t="s">
        <v>187</v>
      </c>
      <c r="J2608" s="81" t="s">
        <v>187</v>
      </c>
      <c r="K2608" s="81" t="s">
        <v>187</v>
      </c>
      <c r="L2608" s="81" t="s">
        <v>187</v>
      </c>
    </row>
    <row r="2609" ht="15.75" customHeight="1">
      <c r="A2609" s="262"/>
      <c r="B2609" s="262"/>
      <c r="C2609" s="263"/>
      <c r="D2609" s="262"/>
      <c r="E2609" s="81" t="s">
        <v>187</v>
      </c>
      <c r="F2609" s="81" t="s">
        <v>187</v>
      </c>
      <c r="G2609" s="81" t="s">
        <v>187</v>
      </c>
      <c r="H2609" s="81" t="s">
        <v>187</v>
      </c>
      <c r="I2609" s="81" t="s">
        <v>187</v>
      </c>
      <c r="J2609" s="81" t="s">
        <v>187</v>
      </c>
      <c r="K2609" s="81" t="s">
        <v>187</v>
      </c>
      <c r="L2609" s="81" t="s">
        <v>187</v>
      </c>
    </row>
    <row r="2610" ht="15.75" customHeight="1">
      <c r="A2610" s="262"/>
      <c r="B2610" s="262"/>
      <c r="C2610" s="263"/>
      <c r="D2610" s="262"/>
      <c r="E2610" s="81" t="s">
        <v>187</v>
      </c>
      <c r="F2610" s="81" t="s">
        <v>187</v>
      </c>
      <c r="G2610" s="81" t="s">
        <v>187</v>
      </c>
      <c r="H2610" s="81" t="s">
        <v>187</v>
      </c>
      <c r="I2610" s="81" t="s">
        <v>187</v>
      </c>
      <c r="J2610" s="81" t="s">
        <v>187</v>
      </c>
      <c r="K2610" s="81" t="s">
        <v>187</v>
      </c>
      <c r="L2610" s="81" t="s">
        <v>187</v>
      </c>
    </row>
    <row r="2611" ht="15.75" customHeight="1">
      <c r="A2611" s="262"/>
      <c r="B2611" s="262"/>
      <c r="C2611" s="263"/>
      <c r="D2611" s="262"/>
      <c r="E2611" s="81" t="s">
        <v>187</v>
      </c>
      <c r="F2611" s="81" t="s">
        <v>187</v>
      </c>
      <c r="G2611" s="81" t="s">
        <v>187</v>
      </c>
      <c r="H2611" s="81" t="s">
        <v>187</v>
      </c>
      <c r="I2611" s="81" t="s">
        <v>187</v>
      </c>
      <c r="J2611" s="81" t="s">
        <v>187</v>
      </c>
      <c r="K2611" s="81" t="s">
        <v>187</v>
      </c>
      <c r="L2611" s="81" t="s">
        <v>187</v>
      </c>
    </row>
    <row r="2612" ht="15.75" customHeight="1">
      <c r="A2612" s="262"/>
      <c r="B2612" s="262"/>
      <c r="C2612" s="263"/>
      <c r="D2612" s="262"/>
      <c r="E2612" s="81" t="s">
        <v>187</v>
      </c>
      <c r="F2612" s="81" t="s">
        <v>187</v>
      </c>
      <c r="G2612" s="81" t="s">
        <v>187</v>
      </c>
      <c r="H2612" s="81" t="s">
        <v>187</v>
      </c>
      <c r="I2612" s="81" t="s">
        <v>187</v>
      </c>
      <c r="J2612" s="81" t="s">
        <v>187</v>
      </c>
      <c r="K2612" s="81" t="s">
        <v>187</v>
      </c>
      <c r="L2612" s="81" t="s">
        <v>187</v>
      </c>
    </row>
    <row r="2613" ht="15.75" customHeight="1">
      <c r="A2613" s="262"/>
      <c r="B2613" s="262"/>
      <c r="C2613" s="263"/>
      <c r="D2613" s="262"/>
      <c r="E2613" s="81" t="s">
        <v>187</v>
      </c>
      <c r="F2613" s="81" t="s">
        <v>187</v>
      </c>
      <c r="G2613" s="81" t="s">
        <v>187</v>
      </c>
      <c r="H2613" s="81" t="s">
        <v>187</v>
      </c>
      <c r="I2613" s="81" t="s">
        <v>187</v>
      </c>
      <c r="J2613" s="81" t="s">
        <v>187</v>
      </c>
      <c r="K2613" s="81" t="s">
        <v>187</v>
      </c>
      <c r="L2613" s="81" t="s">
        <v>187</v>
      </c>
    </row>
    <row r="2614" ht="15.75" customHeight="1">
      <c r="A2614" s="262"/>
      <c r="B2614" s="262"/>
      <c r="C2614" s="263"/>
      <c r="D2614" s="262"/>
      <c r="E2614" s="81" t="s">
        <v>187</v>
      </c>
      <c r="F2614" s="81" t="s">
        <v>187</v>
      </c>
      <c r="G2614" s="81" t="s">
        <v>187</v>
      </c>
      <c r="H2614" s="81" t="s">
        <v>187</v>
      </c>
      <c r="I2614" s="81" t="s">
        <v>187</v>
      </c>
      <c r="J2614" s="81" t="s">
        <v>187</v>
      </c>
      <c r="K2614" s="81" t="s">
        <v>187</v>
      </c>
      <c r="L2614" s="81" t="s">
        <v>187</v>
      </c>
    </row>
    <row r="2615" ht="15.75" customHeight="1">
      <c r="A2615" s="262"/>
      <c r="B2615" s="262"/>
      <c r="C2615" s="263"/>
      <c r="D2615" s="262"/>
      <c r="E2615" s="81" t="s">
        <v>187</v>
      </c>
      <c r="F2615" s="81" t="s">
        <v>187</v>
      </c>
      <c r="G2615" s="81" t="s">
        <v>187</v>
      </c>
      <c r="H2615" s="81" t="s">
        <v>187</v>
      </c>
      <c r="I2615" s="81" t="s">
        <v>187</v>
      </c>
      <c r="J2615" s="81" t="s">
        <v>187</v>
      </c>
      <c r="K2615" s="81" t="s">
        <v>187</v>
      </c>
      <c r="L2615" s="81" t="s">
        <v>187</v>
      </c>
    </row>
    <row r="2616" ht="15.75" customHeight="1">
      <c r="A2616" s="262"/>
      <c r="B2616" s="262"/>
      <c r="C2616" s="263"/>
      <c r="D2616" s="262"/>
      <c r="E2616" s="81" t="s">
        <v>187</v>
      </c>
      <c r="F2616" s="81" t="s">
        <v>187</v>
      </c>
      <c r="G2616" s="81" t="s">
        <v>187</v>
      </c>
      <c r="H2616" s="81" t="s">
        <v>187</v>
      </c>
      <c r="I2616" s="81" t="s">
        <v>187</v>
      </c>
      <c r="J2616" s="81" t="s">
        <v>187</v>
      </c>
      <c r="K2616" s="81" t="s">
        <v>187</v>
      </c>
      <c r="L2616" s="81" t="s">
        <v>187</v>
      </c>
    </row>
    <row r="2617" ht="15.75" customHeight="1">
      <c r="A2617" s="262"/>
      <c r="B2617" s="262"/>
      <c r="C2617" s="263"/>
      <c r="D2617" s="262"/>
      <c r="E2617" s="81" t="s">
        <v>187</v>
      </c>
      <c r="F2617" s="81" t="s">
        <v>187</v>
      </c>
      <c r="G2617" s="81" t="s">
        <v>187</v>
      </c>
      <c r="H2617" s="81" t="s">
        <v>187</v>
      </c>
      <c r="I2617" s="81" t="s">
        <v>187</v>
      </c>
      <c r="J2617" s="81" t="s">
        <v>187</v>
      </c>
      <c r="K2617" s="81" t="s">
        <v>187</v>
      </c>
      <c r="L2617" s="81" t="s">
        <v>187</v>
      </c>
    </row>
    <row r="2618" ht="15.75" customHeight="1">
      <c r="A2618" s="262"/>
      <c r="B2618" s="262"/>
      <c r="C2618" s="263"/>
      <c r="D2618" s="262"/>
      <c r="E2618" s="81" t="s">
        <v>187</v>
      </c>
      <c r="F2618" s="81" t="s">
        <v>187</v>
      </c>
      <c r="G2618" s="81" t="s">
        <v>187</v>
      </c>
      <c r="H2618" s="81" t="s">
        <v>187</v>
      </c>
      <c r="I2618" s="81" t="s">
        <v>187</v>
      </c>
      <c r="J2618" s="81" t="s">
        <v>187</v>
      </c>
      <c r="K2618" s="81" t="s">
        <v>187</v>
      </c>
      <c r="L2618" s="81" t="s">
        <v>187</v>
      </c>
    </row>
    <row r="2619" ht="15.75" customHeight="1">
      <c r="A2619" s="262"/>
      <c r="B2619" s="262"/>
      <c r="C2619" s="263"/>
      <c r="D2619" s="262"/>
      <c r="E2619" s="81" t="s">
        <v>187</v>
      </c>
      <c r="F2619" s="81" t="s">
        <v>187</v>
      </c>
      <c r="G2619" s="81" t="s">
        <v>187</v>
      </c>
      <c r="H2619" s="81" t="s">
        <v>187</v>
      </c>
      <c r="I2619" s="81" t="s">
        <v>187</v>
      </c>
      <c r="J2619" s="81" t="s">
        <v>187</v>
      </c>
      <c r="K2619" s="81" t="s">
        <v>187</v>
      </c>
      <c r="L2619" s="81" t="s">
        <v>187</v>
      </c>
    </row>
    <row r="2620" ht="15.75" customHeight="1">
      <c r="A2620" s="262"/>
      <c r="B2620" s="262"/>
      <c r="C2620" s="263"/>
      <c r="D2620" s="262"/>
      <c r="E2620" s="81" t="s">
        <v>187</v>
      </c>
      <c r="F2620" s="81" t="s">
        <v>187</v>
      </c>
      <c r="G2620" s="81" t="s">
        <v>187</v>
      </c>
      <c r="H2620" s="81" t="s">
        <v>187</v>
      </c>
      <c r="I2620" s="81" t="s">
        <v>187</v>
      </c>
      <c r="J2620" s="81" t="s">
        <v>187</v>
      </c>
      <c r="K2620" s="81" t="s">
        <v>187</v>
      </c>
      <c r="L2620" s="81" t="s">
        <v>187</v>
      </c>
    </row>
    <row r="2621" ht="15.75" customHeight="1">
      <c r="A2621" s="262"/>
      <c r="B2621" s="262"/>
      <c r="C2621" s="263"/>
      <c r="D2621" s="262"/>
      <c r="E2621" s="81" t="s">
        <v>187</v>
      </c>
      <c r="F2621" s="81" t="s">
        <v>187</v>
      </c>
      <c r="G2621" s="81" t="s">
        <v>187</v>
      </c>
      <c r="H2621" s="81" t="s">
        <v>187</v>
      </c>
      <c r="I2621" s="81" t="s">
        <v>187</v>
      </c>
      <c r="J2621" s="81" t="s">
        <v>187</v>
      </c>
      <c r="K2621" s="81" t="s">
        <v>187</v>
      </c>
      <c r="L2621" s="81" t="s">
        <v>187</v>
      </c>
    </row>
    <row r="2622" ht="15.75" customHeight="1">
      <c r="A2622" s="262"/>
      <c r="B2622" s="262"/>
      <c r="C2622" s="263"/>
      <c r="D2622" s="262"/>
      <c r="E2622" s="81" t="s">
        <v>187</v>
      </c>
      <c r="F2622" s="81" t="s">
        <v>187</v>
      </c>
      <c r="G2622" s="81" t="s">
        <v>187</v>
      </c>
      <c r="H2622" s="81" t="s">
        <v>187</v>
      </c>
      <c r="I2622" s="81" t="s">
        <v>187</v>
      </c>
      <c r="J2622" s="81" t="s">
        <v>187</v>
      </c>
      <c r="K2622" s="81" t="s">
        <v>187</v>
      </c>
      <c r="L2622" s="81" t="s">
        <v>187</v>
      </c>
    </row>
    <row r="2623" ht="15.75" customHeight="1">
      <c r="A2623" s="262"/>
      <c r="B2623" s="262"/>
      <c r="C2623" s="263"/>
      <c r="D2623" s="262"/>
      <c r="E2623" s="81" t="s">
        <v>187</v>
      </c>
      <c r="F2623" s="81" t="s">
        <v>187</v>
      </c>
      <c r="G2623" s="81" t="s">
        <v>187</v>
      </c>
      <c r="H2623" s="81" t="s">
        <v>187</v>
      </c>
      <c r="I2623" s="81" t="s">
        <v>187</v>
      </c>
      <c r="J2623" s="81" t="s">
        <v>187</v>
      </c>
      <c r="K2623" s="81" t="s">
        <v>187</v>
      </c>
      <c r="L2623" s="81" t="s">
        <v>187</v>
      </c>
    </row>
    <row r="2624" ht="15.75" customHeight="1">
      <c r="A2624" s="262"/>
      <c r="B2624" s="262"/>
      <c r="C2624" s="263"/>
      <c r="D2624" s="262"/>
      <c r="E2624" s="81" t="s">
        <v>187</v>
      </c>
      <c r="F2624" s="81" t="s">
        <v>187</v>
      </c>
      <c r="G2624" s="81" t="s">
        <v>187</v>
      </c>
      <c r="H2624" s="81" t="s">
        <v>187</v>
      </c>
      <c r="I2624" s="81" t="s">
        <v>187</v>
      </c>
      <c r="J2624" s="81" t="s">
        <v>187</v>
      </c>
      <c r="K2624" s="81" t="s">
        <v>187</v>
      </c>
      <c r="L2624" s="81" t="s">
        <v>187</v>
      </c>
    </row>
    <row r="2625" ht="15.75" customHeight="1">
      <c r="A2625" s="262"/>
      <c r="B2625" s="262"/>
      <c r="C2625" s="263"/>
      <c r="D2625" s="262"/>
      <c r="E2625" s="81" t="s">
        <v>187</v>
      </c>
      <c r="F2625" s="81" t="s">
        <v>187</v>
      </c>
      <c r="G2625" s="81" t="s">
        <v>187</v>
      </c>
      <c r="H2625" s="81" t="s">
        <v>187</v>
      </c>
      <c r="I2625" s="81" t="s">
        <v>187</v>
      </c>
      <c r="J2625" s="81" t="s">
        <v>187</v>
      </c>
      <c r="K2625" s="81" t="s">
        <v>187</v>
      </c>
      <c r="L2625" s="81" t="s">
        <v>187</v>
      </c>
    </row>
    <row r="2626" ht="15.75" customHeight="1">
      <c r="A2626" s="262"/>
      <c r="B2626" s="262"/>
      <c r="C2626" s="263"/>
      <c r="D2626" s="262"/>
      <c r="E2626" s="81" t="s">
        <v>187</v>
      </c>
      <c r="F2626" s="81" t="s">
        <v>187</v>
      </c>
      <c r="G2626" s="81" t="s">
        <v>187</v>
      </c>
      <c r="H2626" s="81" t="s">
        <v>187</v>
      </c>
      <c r="I2626" s="81" t="s">
        <v>187</v>
      </c>
      <c r="J2626" s="81" t="s">
        <v>187</v>
      </c>
      <c r="K2626" s="81" t="s">
        <v>187</v>
      </c>
      <c r="L2626" s="81" t="s">
        <v>187</v>
      </c>
    </row>
    <row r="2627" ht="15.75" customHeight="1">
      <c r="A2627" s="262"/>
      <c r="B2627" s="262"/>
      <c r="C2627" s="263"/>
      <c r="D2627" s="262"/>
      <c r="E2627" s="81" t="s">
        <v>187</v>
      </c>
      <c r="F2627" s="81" t="s">
        <v>187</v>
      </c>
      <c r="G2627" s="81" t="s">
        <v>187</v>
      </c>
      <c r="H2627" s="81" t="s">
        <v>187</v>
      </c>
      <c r="I2627" s="81" t="s">
        <v>187</v>
      </c>
      <c r="J2627" s="81" t="s">
        <v>187</v>
      </c>
      <c r="K2627" s="81" t="s">
        <v>187</v>
      </c>
      <c r="L2627" s="81" t="s">
        <v>187</v>
      </c>
    </row>
    <row r="2628" ht="15.75" customHeight="1">
      <c r="A2628" s="262"/>
      <c r="B2628" s="262"/>
      <c r="C2628" s="263"/>
      <c r="D2628" s="262"/>
      <c r="E2628" s="81" t="s">
        <v>187</v>
      </c>
      <c r="F2628" s="81" t="s">
        <v>187</v>
      </c>
      <c r="G2628" s="81" t="s">
        <v>187</v>
      </c>
      <c r="H2628" s="81" t="s">
        <v>187</v>
      </c>
      <c r="I2628" s="81" t="s">
        <v>187</v>
      </c>
      <c r="J2628" s="81" t="s">
        <v>187</v>
      </c>
      <c r="K2628" s="81" t="s">
        <v>187</v>
      </c>
      <c r="L2628" s="81" t="s">
        <v>187</v>
      </c>
    </row>
    <row r="2629" ht="15.75" customHeight="1">
      <c r="A2629" s="262"/>
      <c r="B2629" s="262"/>
      <c r="C2629" s="263"/>
      <c r="D2629" s="262"/>
      <c r="E2629" s="81" t="s">
        <v>187</v>
      </c>
      <c r="F2629" s="81" t="s">
        <v>187</v>
      </c>
      <c r="G2629" s="81" t="s">
        <v>187</v>
      </c>
      <c r="H2629" s="81" t="s">
        <v>187</v>
      </c>
      <c r="I2629" s="81" t="s">
        <v>187</v>
      </c>
      <c r="J2629" s="81" t="s">
        <v>187</v>
      </c>
      <c r="K2629" s="81" t="s">
        <v>187</v>
      </c>
      <c r="L2629" s="81" t="s">
        <v>187</v>
      </c>
    </row>
    <row r="2630" ht="15.75" customHeight="1">
      <c r="A2630" s="262"/>
      <c r="B2630" s="262"/>
      <c r="C2630" s="263"/>
      <c r="D2630" s="262"/>
      <c r="E2630" s="81" t="s">
        <v>187</v>
      </c>
      <c r="F2630" s="81" t="s">
        <v>187</v>
      </c>
      <c r="G2630" s="81" t="s">
        <v>187</v>
      </c>
      <c r="H2630" s="81" t="s">
        <v>187</v>
      </c>
      <c r="I2630" s="81" t="s">
        <v>187</v>
      </c>
      <c r="J2630" s="81" t="s">
        <v>187</v>
      </c>
      <c r="K2630" s="81" t="s">
        <v>187</v>
      </c>
      <c r="L2630" s="81" t="s">
        <v>187</v>
      </c>
    </row>
    <row r="2631" ht="15.75" customHeight="1">
      <c r="A2631" s="262"/>
      <c r="B2631" s="262"/>
      <c r="C2631" s="263"/>
      <c r="D2631" s="262"/>
      <c r="E2631" s="81" t="s">
        <v>187</v>
      </c>
      <c r="F2631" s="81" t="s">
        <v>187</v>
      </c>
      <c r="G2631" s="81" t="s">
        <v>187</v>
      </c>
      <c r="H2631" s="81" t="s">
        <v>187</v>
      </c>
      <c r="I2631" s="81" t="s">
        <v>187</v>
      </c>
      <c r="J2631" s="81" t="s">
        <v>187</v>
      </c>
      <c r="K2631" s="81" t="s">
        <v>187</v>
      </c>
      <c r="L2631" s="81" t="s">
        <v>187</v>
      </c>
    </row>
    <row r="2632" ht="15.75" customHeight="1">
      <c r="A2632" s="262"/>
      <c r="B2632" s="262"/>
      <c r="C2632" s="263"/>
      <c r="D2632" s="262"/>
      <c r="E2632" s="81" t="s">
        <v>187</v>
      </c>
      <c r="F2632" s="81" t="s">
        <v>187</v>
      </c>
      <c r="G2632" s="81" t="s">
        <v>187</v>
      </c>
      <c r="H2632" s="81" t="s">
        <v>187</v>
      </c>
      <c r="I2632" s="81" t="s">
        <v>187</v>
      </c>
      <c r="J2632" s="81" t="s">
        <v>187</v>
      </c>
      <c r="K2632" s="81" t="s">
        <v>187</v>
      </c>
      <c r="L2632" s="81" t="s">
        <v>187</v>
      </c>
    </row>
    <row r="2633" ht="15.75" customHeight="1">
      <c r="A2633" s="262"/>
      <c r="B2633" s="262"/>
      <c r="C2633" s="263"/>
      <c r="D2633" s="262"/>
      <c r="E2633" s="81" t="s">
        <v>187</v>
      </c>
      <c r="F2633" s="81" t="s">
        <v>187</v>
      </c>
      <c r="G2633" s="81" t="s">
        <v>187</v>
      </c>
      <c r="H2633" s="81" t="s">
        <v>187</v>
      </c>
      <c r="I2633" s="81" t="s">
        <v>187</v>
      </c>
      <c r="J2633" s="81" t="s">
        <v>187</v>
      </c>
      <c r="K2633" s="81" t="s">
        <v>187</v>
      </c>
      <c r="L2633" s="81" t="s">
        <v>187</v>
      </c>
    </row>
    <row r="2634" ht="15.75" customHeight="1">
      <c r="A2634" s="262"/>
      <c r="B2634" s="262"/>
      <c r="C2634" s="263"/>
      <c r="D2634" s="262"/>
      <c r="E2634" s="81" t="s">
        <v>187</v>
      </c>
      <c r="F2634" s="81" t="s">
        <v>187</v>
      </c>
      <c r="G2634" s="81" t="s">
        <v>187</v>
      </c>
      <c r="H2634" s="81" t="s">
        <v>187</v>
      </c>
      <c r="I2634" s="81" t="s">
        <v>187</v>
      </c>
      <c r="J2634" s="81" t="s">
        <v>187</v>
      </c>
      <c r="K2634" s="81" t="s">
        <v>187</v>
      </c>
      <c r="L2634" s="81" t="s">
        <v>187</v>
      </c>
    </row>
    <row r="2635" ht="15.75" customHeight="1">
      <c r="A2635" s="262"/>
      <c r="B2635" s="262"/>
      <c r="C2635" s="263"/>
      <c r="D2635" s="262"/>
      <c r="E2635" s="81" t="s">
        <v>187</v>
      </c>
      <c r="F2635" s="81" t="s">
        <v>187</v>
      </c>
      <c r="G2635" s="81" t="s">
        <v>187</v>
      </c>
      <c r="H2635" s="81" t="s">
        <v>187</v>
      </c>
      <c r="I2635" s="81" t="s">
        <v>187</v>
      </c>
      <c r="J2635" s="81" t="s">
        <v>187</v>
      </c>
      <c r="K2635" s="81" t="s">
        <v>187</v>
      </c>
      <c r="L2635" s="81" t="s">
        <v>187</v>
      </c>
    </row>
    <row r="2636" ht="15.75" customHeight="1">
      <c r="A2636" s="262"/>
      <c r="B2636" s="262"/>
      <c r="C2636" s="263"/>
      <c r="D2636" s="262"/>
      <c r="E2636" s="81" t="s">
        <v>187</v>
      </c>
      <c r="F2636" s="81" t="s">
        <v>187</v>
      </c>
      <c r="G2636" s="81" t="s">
        <v>187</v>
      </c>
      <c r="H2636" s="81" t="s">
        <v>187</v>
      </c>
      <c r="I2636" s="81" t="s">
        <v>187</v>
      </c>
      <c r="J2636" s="81" t="s">
        <v>187</v>
      </c>
      <c r="K2636" s="81" t="s">
        <v>187</v>
      </c>
      <c r="L2636" s="81" t="s">
        <v>187</v>
      </c>
    </row>
    <row r="2637" ht="15.75" customHeight="1">
      <c r="A2637" s="262"/>
      <c r="B2637" s="262"/>
      <c r="C2637" s="263"/>
      <c r="D2637" s="262"/>
      <c r="E2637" s="81" t="s">
        <v>187</v>
      </c>
      <c r="F2637" s="81" t="s">
        <v>187</v>
      </c>
      <c r="G2637" s="81" t="s">
        <v>187</v>
      </c>
      <c r="H2637" s="81" t="s">
        <v>187</v>
      </c>
      <c r="I2637" s="81" t="s">
        <v>187</v>
      </c>
      <c r="J2637" s="81" t="s">
        <v>187</v>
      </c>
      <c r="K2637" s="81" t="s">
        <v>187</v>
      </c>
      <c r="L2637" s="81" t="s">
        <v>187</v>
      </c>
    </row>
    <row r="2638" ht="15.75" customHeight="1">
      <c r="A2638" s="262"/>
      <c r="B2638" s="262"/>
      <c r="C2638" s="263"/>
      <c r="D2638" s="262"/>
      <c r="E2638" s="81" t="s">
        <v>187</v>
      </c>
      <c r="F2638" s="81" t="s">
        <v>187</v>
      </c>
      <c r="G2638" s="81" t="s">
        <v>187</v>
      </c>
      <c r="H2638" s="81" t="s">
        <v>187</v>
      </c>
      <c r="I2638" s="81" t="s">
        <v>187</v>
      </c>
      <c r="J2638" s="81" t="s">
        <v>187</v>
      </c>
      <c r="K2638" s="81" t="s">
        <v>187</v>
      </c>
      <c r="L2638" s="81" t="s">
        <v>187</v>
      </c>
    </row>
    <row r="2639" ht="15.75" customHeight="1">
      <c r="A2639" s="262"/>
      <c r="B2639" s="262"/>
      <c r="C2639" s="263"/>
      <c r="D2639" s="262"/>
      <c r="E2639" s="81" t="s">
        <v>187</v>
      </c>
      <c r="F2639" s="81" t="s">
        <v>187</v>
      </c>
      <c r="G2639" s="81" t="s">
        <v>187</v>
      </c>
      <c r="H2639" s="81" t="s">
        <v>187</v>
      </c>
      <c r="I2639" s="81" t="s">
        <v>187</v>
      </c>
      <c r="J2639" s="81" t="s">
        <v>187</v>
      </c>
      <c r="K2639" s="81" t="s">
        <v>187</v>
      </c>
      <c r="L2639" s="81" t="s">
        <v>187</v>
      </c>
    </row>
    <row r="2640" ht="15.75" customHeight="1">
      <c r="A2640" s="262"/>
      <c r="B2640" s="262"/>
      <c r="C2640" s="263"/>
      <c r="D2640" s="262"/>
      <c r="E2640" s="81" t="s">
        <v>187</v>
      </c>
      <c r="F2640" s="81" t="s">
        <v>187</v>
      </c>
      <c r="G2640" s="81" t="s">
        <v>187</v>
      </c>
      <c r="H2640" s="81" t="s">
        <v>187</v>
      </c>
      <c r="I2640" s="81" t="s">
        <v>187</v>
      </c>
      <c r="J2640" s="81" t="s">
        <v>187</v>
      </c>
      <c r="K2640" s="81" t="s">
        <v>187</v>
      </c>
      <c r="L2640" s="81" t="s">
        <v>187</v>
      </c>
    </row>
    <row r="2641" ht="15.75" customHeight="1">
      <c r="A2641" s="262"/>
      <c r="B2641" s="262"/>
      <c r="C2641" s="263"/>
      <c r="D2641" s="262"/>
      <c r="E2641" s="81" t="s">
        <v>187</v>
      </c>
      <c r="F2641" s="81" t="s">
        <v>187</v>
      </c>
      <c r="G2641" s="81" t="s">
        <v>187</v>
      </c>
      <c r="H2641" s="81" t="s">
        <v>187</v>
      </c>
      <c r="I2641" s="81" t="s">
        <v>187</v>
      </c>
      <c r="J2641" s="81" t="s">
        <v>187</v>
      </c>
      <c r="K2641" s="81" t="s">
        <v>187</v>
      </c>
      <c r="L2641" s="81" t="s">
        <v>187</v>
      </c>
    </row>
    <row r="2642" ht="15.75" customHeight="1">
      <c r="A2642" s="262"/>
      <c r="B2642" s="262"/>
      <c r="C2642" s="263"/>
      <c r="D2642" s="262"/>
      <c r="E2642" s="81" t="s">
        <v>187</v>
      </c>
      <c r="F2642" s="81" t="s">
        <v>187</v>
      </c>
      <c r="G2642" s="81" t="s">
        <v>187</v>
      </c>
      <c r="H2642" s="81" t="s">
        <v>187</v>
      </c>
      <c r="I2642" s="81" t="s">
        <v>187</v>
      </c>
      <c r="J2642" s="81" t="s">
        <v>187</v>
      </c>
      <c r="K2642" s="81" t="s">
        <v>187</v>
      </c>
      <c r="L2642" s="81" t="s">
        <v>187</v>
      </c>
    </row>
    <row r="2643" ht="15.75" customHeight="1">
      <c r="A2643" s="262"/>
      <c r="B2643" s="262"/>
      <c r="C2643" s="263"/>
      <c r="D2643" s="262"/>
      <c r="E2643" s="81" t="s">
        <v>187</v>
      </c>
      <c r="F2643" s="81" t="s">
        <v>187</v>
      </c>
      <c r="G2643" s="81" t="s">
        <v>187</v>
      </c>
      <c r="H2643" s="81" t="s">
        <v>187</v>
      </c>
      <c r="I2643" s="81" t="s">
        <v>187</v>
      </c>
      <c r="J2643" s="81" t="s">
        <v>187</v>
      </c>
      <c r="K2643" s="81" t="s">
        <v>187</v>
      </c>
      <c r="L2643" s="81" t="s">
        <v>187</v>
      </c>
    </row>
    <row r="2644" ht="15.75" customHeight="1">
      <c r="A2644" s="262"/>
      <c r="B2644" s="262"/>
      <c r="C2644" s="263"/>
      <c r="D2644" s="262"/>
      <c r="E2644" s="81" t="s">
        <v>187</v>
      </c>
      <c r="F2644" s="81" t="s">
        <v>187</v>
      </c>
      <c r="G2644" s="81" t="s">
        <v>187</v>
      </c>
      <c r="H2644" s="81" t="s">
        <v>187</v>
      </c>
      <c r="I2644" s="81" t="s">
        <v>187</v>
      </c>
      <c r="J2644" s="81" t="s">
        <v>187</v>
      </c>
      <c r="K2644" s="81" t="s">
        <v>187</v>
      </c>
      <c r="L2644" s="81" t="s">
        <v>187</v>
      </c>
    </row>
    <row r="2645" ht="15.75" customHeight="1">
      <c r="A2645" s="262"/>
      <c r="B2645" s="262"/>
      <c r="C2645" s="263"/>
      <c r="D2645" s="262"/>
      <c r="E2645" s="81" t="s">
        <v>187</v>
      </c>
      <c r="F2645" s="81" t="s">
        <v>187</v>
      </c>
      <c r="G2645" s="81" t="s">
        <v>187</v>
      </c>
      <c r="H2645" s="81" t="s">
        <v>187</v>
      </c>
      <c r="I2645" s="81" t="s">
        <v>187</v>
      </c>
      <c r="J2645" s="81" t="s">
        <v>187</v>
      </c>
      <c r="K2645" s="81" t="s">
        <v>187</v>
      </c>
      <c r="L2645" s="81" t="s">
        <v>187</v>
      </c>
    </row>
    <row r="2646" ht="15.75" customHeight="1">
      <c r="A2646" s="262"/>
      <c r="B2646" s="262"/>
      <c r="C2646" s="263"/>
      <c r="D2646" s="262"/>
      <c r="E2646" s="81" t="s">
        <v>187</v>
      </c>
      <c r="F2646" s="81" t="s">
        <v>187</v>
      </c>
      <c r="G2646" s="81" t="s">
        <v>187</v>
      </c>
      <c r="H2646" s="81" t="s">
        <v>187</v>
      </c>
      <c r="I2646" s="81" t="s">
        <v>187</v>
      </c>
      <c r="J2646" s="81" t="s">
        <v>187</v>
      </c>
      <c r="K2646" s="81" t="s">
        <v>187</v>
      </c>
      <c r="L2646" s="81" t="s">
        <v>187</v>
      </c>
    </row>
    <row r="2647" ht="15.75" customHeight="1">
      <c r="A2647" s="262"/>
      <c r="B2647" s="262"/>
      <c r="C2647" s="263"/>
      <c r="D2647" s="262"/>
      <c r="E2647" s="81" t="s">
        <v>187</v>
      </c>
      <c r="F2647" s="81" t="s">
        <v>187</v>
      </c>
      <c r="G2647" s="81" t="s">
        <v>187</v>
      </c>
      <c r="H2647" s="81" t="s">
        <v>187</v>
      </c>
      <c r="I2647" s="81" t="s">
        <v>187</v>
      </c>
      <c r="J2647" s="81" t="s">
        <v>187</v>
      </c>
      <c r="K2647" s="81" t="s">
        <v>187</v>
      </c>
      <c r="L2647" s="81" t="s">
        <v>187</v>
      </c>
    </row>
    <row r="2648" ht="15.75" customHeight="1">
      <c r="A2648" s="262"/>
      <c r="B2648" s="262"/>
      <c r="C2648" s="263"/>
      <c r="D2648" s="262"/>
      <c r="E2648" s="81" t="s">
        <v>187</v>
      </c>
      <c r="F2648" s="81" t="s">
        <v>187</v>
      </c>
      <c r="G2648" s="81" t="s">
        <v>187</v>
      </c>
      <c r="H2648" s="81" t="s">
        <v>187</v>
      </c>
      <c r="I2648" s="81" t="s">
        <v>187</v>
      </c>
      <c r="J2648" s="81" t="s">
        <v>187</v>
      </c>
      <c r="K2648" s="81" t="s">
        <v>187</v>
      </c>
      <c r="L2648" s="81" t="s">
        <v>187</v>
      </c>
    </row>
    <row r="2649" ht="15.75" customHeight="1">
      <c r="A2649" s="262"/>
      <c r="B2649" s="262"/>
      <c r="C2649" s="263"/>
      <c r="D2649" s="262"/>
      <c r="E2649" s="81" t="s">
        <v>187</v>
      </c>
      <c r="F2649" s="81" t="s">
        <v>187</v>
      </c>
      <c r="G2649" s="81" t="s">
        <v>187</v>
      </c>
      <c r="H2649" s="81" t="s">
        <v>187</v>
      </c>
      <c r="I2649" s="81" t="s">
        <v>187</v>
      </c>
      <c r="J2649" s="81" t="s">
        <v>187</v>
      </c>
      <c r="K2649" s="81" t="s">
        <v>187</v>
      </c>
      <c r="L2649" s="81" t="s">
        <v>187</v>
      </c>
    </row>
    <row r="2650" ht="15.75" customHeight="1">
      <c r="A2650" s="262"/>
      <c r="B2650" s="262"/>
      <c r="C2650" s="263"/>
      <c r="D2650" s="262"/>
      <c r="E2650" s="81" t="s">
        <v>187</v>
      </c>
      <c r="F2650" s="81" t="s">
        <v>187</v>
      </c>
      <c r="G2650" s="81" t="s">
        <v>187</v>
      </c>
      <c r="H2650" s="81" t="s">
        <v>187</v>
      </c>
      <c r="I2650" s="81" t="s">
        <v>187</v>
      </c>
      <c r="J2650" s="81" t="s">
        <v>187</v>
      </c>
      <c r="K2650" s="81" t="s">
        <v>187</v>
      </c>
      <c r="L2650" s="81" t="s">
        <v>187</v>
      </c>
    </row>
    <row r="2651" ht="15.75" customHeight="1">
      <c r="A2651" s="262"/>
      <c r="B2651" s="262"/>
      <c r="C2651" s="263"/>
      <c r="D2651" s="262"/>
      <c r="E2651" s="81" t="s">
        <v>187</v>
      </c>
      <c r="F2651" s="81" t="s">
        <v>187</v>
      </c>
      <c r="G2651" s="81" t="s">
        <v>187</v>
      </c>
      <c r="H2651" s="81" t="s">
        <v>187</v>
      </c>
      <c r="I2651" s="81" t="s">
        <v>187</v>
      </c>
      <c r="J2651" s="81" t="s">
        <v>187</v>
      </c>
      <c r="K2651" s="81" t="s">
        <v>187</v>
      </c>
      <c r="L2651" s="81" t="s">
        <v>187</v>
      </c>
    </row>
    <row r="2652" ht="15.75" customHeight="1">
      <c r="A2652" s="262"/>
      <c r="B2652" s="262"/>
      <c r="C2652" s="263"/>
      <c r="D2652" s="262"/>
      <c r="E2652" s="81" t="s">
        <v>187</v>
      </c>
      <c r="F2652" s="81" t="s">
        <v>187</v>
      </c>
      <c r="G2652" s="81" t="s">
        <v>187</v>
      </c>
      <c r="H2652" s="81" t="s">
        <v>187</v>
      </c>
      <c r="I2652" s="81" t="s">
        <v>187</v>
      </c>
      <c r="J2652" s="81" t="s">
        <v>187</v>
      </c>
      <c r="K2652" s="81" t="s">
        <v>187</v>
      </c>
      <c r="L2652" s="81" t="s">
        <v>187</v>
      </c>
    </row>
    <row r="2653" ht="15.75" customHeight="1">
      <c r="A2653" s="262"/>
      <c r="B2653" s="262"/>
      <c r="C2653" s="263"/>
      <c r="D2653" s="262"/>
      <c r="E2653" s="81" t="s">
        <v>187</v>
      </c>
      <c r="F2653" s="81" t="s">
        <v>187</v>
      </c>
      <c r="G2653" s="81" t="s">
        <v>187</v>
      </c>
      <c r="H2653" s="81" t="s">
        <v>187</v>
      </c>
      <c r="I2653" s="81" t="s">
        <v>187</v>
      </c>
      <c r="J2653" s="81" t="s">
        <v>187</v>
      </c>
      <c r="K2653" s="81" t="s">
        <v>187</v>
      </c>
      <c r="L2653" s="81" t="s">
        <v>187</v>
      </c>
    </row>
    <row r="2654" ht="15.75" customHeight="1">
      <c r="A2654" s="262"/>
      <c r="B2654" s="262"/>
      <c r="C2654" s="263"/>
      <c r="D2654" s="262"/>
      <c r="E2654" s="81" t="s">
        <v>187</v>
      </c>
      <c r="F2654" s="81" t="s">
        <v>187</v>
      </c>
      <c r="G2654" s="81" t="s">
        <v>187</v>
      </c>
      <c r="H2654" s="81" t="s">
        <v>187</v>
      </c>
      <c r="I2654" s="81" t="s">
        <v>187</v>
      </c>
      <c r="J2654" s="81" t="s">
        <v>187</v>
      </c>
      <c r="K2654" s="81" t="s">
        <v>187</v>
      </c>
      <c r="L2654" s="81" t="s">
        <v>187</v>
      </c>
    </row>
    <row r="2655" ht="15.75" customHeight="1">
      <c r="A2655" s="262"/>
      <c r="B2655" s="262"/>
      <c r="C2655" s="263"/>
      <c r="D2655" s="262"/>
      <c r="E2655" s="81" t="s">
        <v>187</v>
      </c>
      <c r="F2655" s="81" t="s">
        <v>187</v>
      </c>
      <c r="G2655" s="81" t="s">
        <v>187</v>
      </c>
      <c r="H2655" s="81" t="s">
        <v>187</v>
      </c>
      <c r="I2655" s="81" t="s">
        <v>187</v>
      </c>
      <c r="J2655" s="81" t="s">
        <v>187</v>
      </c>
      <c r="K2655" s="81" t="s">
        <v>187</v>
      </c>
      <c r="L2655" s="81" t="s">
        <v>187</v>
      </c>
    </row>
    <row r="2656" ht="15.75" customHeight="1">
      <c r="A2656" s="262"/>
      <c r="B2656" s="262"/>
      <c r="C2656" s="263"/>
      <c r="D2656" s="262"/>
      <c r="E2656" s="81" t="s">
        <v>187</v>
      </c>
      <c r="F2656" s="81" t="s">
        <v>187</v>
      </c>
      <c r="G2656" s="81" t="s">
        <v>187</v>
      </c>
      <c r="H2656" s="81" t="s">
        <v>187</v>
      </c>
      <c r="I2656" s="81" t="s">
        <v>187</v>
      </c>
      <c r="J2656" s="81" t="s">
        <v>187</v>
      </c>
      <c r="K2656" s="81" t="s">
        <v>187</v>
      </c>
      <c r="L2656" s="81" t="s">
        <v>187</v>
      </c>
    </row>
    <row r="2657" ht="15.75" customHeight="1">
      <c r="A2657" s="262"/>
      <c r="B2657" s="262"/>
      <c r="C2657" s="263"/>
      <c r="D2657" s="262"/>
      <c r="E2657" s="81" t="s">
        <v>187</v>
      </c>
      <c r="F2657" s="81" t="s">
        <v>187</v>
      </c>
      <c r="G2657" s="81" t="s">
        <v>187</v>
      </c>
      <c r="H2657" s="81" t="s">
        <v>187</v>
      </c>
      <c r="I2657" s="81" t="s">
        <v>187</v>
      </c>
      <c r="J2657" s="81" t="s">
        <v>187</v>
      </c>
      <c r="K2657" s="81" t="s">
        <v>187</v>
      </c>
      <c r="L2657" s="81" t="s">
        <v>187</v>
      </c>
    </row>
    <row r="2658" ht="15.75" customHeight="1">
      <c r="A2658" s="262"/>
      <c r="B2658" s="262"/>
      <c r="C2658" s="263"/>
      <c r="D2658" s="262"/>
      <c r="E2658" s="81" t="s">
        <v>187</v>
      </c>
      <c r="F2658" s="81" t="s">
        <v>187</v>
      </c>
      <c r="G2658" s="81" t="s">
        <v>187</v>
      </c>
      <c r="H2658" s="81" t="s">
        <v>187</v>
      </c>
      <c r="I2658" s="81" t="s">
        <v>187</v>
      </c>
      <c r="J2658" s="81" t="s">
        <v>187</v>
      </c>
      <c r="K2658" s="81" t="s">
        <v>187</v>
      </c>
      <c r="L2658" s="81" t="s">
        <v>187</v>
      </c>
    </row>
    <row r="2659" ht="15.75" customHeight="1">
      <c r="A2659" s="262"/>
      <c r="B2659" s="262"/>
      <c r="C2659" s="263"/>
      <c r="D2659" s="262"/>
      <c r="E2659" s="81" t="s">
        <v>187</v>
      </c>
      <c r="F2659" s="81" t="s">
        <v>187</v>
      </c>
      <c r="G2659" s="81" t="s">
        <v>187</v>
      </c>
      <c r="H2659" s="81" t="s">
        <v>187</v>
      </c>
      <c r="I2659" s="81" t="s">
        <v>187</v>
      </c>
      <c r="J2659" s="81" t="s">
        <v>187</v>
      </c>
      <c r="K2659" s="81" t="s">
        <v>187</v>
      </c>
      <c r="L2659" s="81" t="s">
        <v>187</v>
      </c>
    </row>
    <row r="2660" ht="15.75" customHeight="1">
      <c r="A2660" s="262"/>
      <c r="B2660" s="262"/>
      <c r="C2660" s="263"/>
      <c r="D2660" s="262"/>
      <c r="E2660" s="81" t="s">
        <v>187</v>
      </c>
      <c r="F2660" s="81" t="s">
        <v>187</v>
      </c>
      <c r="G2660" s="81" t="s">
        <v>187</v>
      </c>
      <c r="H2660" s="81" t="s">
        <v>187</v>
      </c>
      <c r="I2660" s="81" t="s">
        <v>187</v>
      </c>
      <c r="J2660" s="81" t="s">
        <v>187</v>
      </c>
      <c r="K2660" s="81" t="s">
        <v>187</v>
      </c>
      <c r="L2660" s="81" t="s">
        <v>187</v>
      </c>
    </row>
    <row r="2661" ht="15.75" customHeight="1">
      <c r="A2661" s="262"/>
      <c r="B2661" s="262"/>
      <c r="C2661" s="263"/>
      <c r="D2661" s="262"/>
      <c r="E2661" s="81" t="s">
        <v>187</v>
      </c>
      <c r="F2661" s="81" t="s">
        <v>187</v>
      </c>
      <c r="G2661" s="81" t="s">
        <v>187</v>
      </c>
      <c r="H2661" s="81" t="s">
        <v>187</v>
      </c>
      <c r="I2661" s="81" t="s">
        <v>187</v>
      </c>
      <c r="J2661" s="81" t="s">
        <v>187</v>
      </c>
      <c r="K2661" s="81" t="s">
        <v>187</v>
      </c>
      <c r="L2661" s="81" t="s">
        <v>187</v>
      </c>
    </row>
    <row r="2662" ht="15.75" customHeight="1">
      <c r="A2662" s="262"/>
      <c r="B2662" s="262"/>
      <c r="C2662" s="263"/>
      <c r="D2662" s="262"/>
      <c r="E2662" s="81" t="s">
        <v>187</v>
      </c>
      <c r="F2662" s="81" t="s">
        <v>187</v>
      </c>
      <c r="G2662" s="81" t="s">
        <v>187</v>
      </c>
      <c r="H2662" s="81" t="s">
        <v>187</v>
      </c>
      <c r="I2662" s="81" t="s">
        <v>187</v>
      </c>
      <c r="J2662" s="81" t="s">
        <v>187</v>
      </c>
      <c r="K2662" s="81" t="s">
        <v>187</v>
      </c>
      <c r="L2662" s="81" t="s">
        <v>187</v>
      </c>
    </row>
    <row r="2663" ht="15.75" customHeight="1">
      <c r="A2663" s="262"/>
      <c r="B2663" s="262"/>
      <c r="C2663" s="263"/>
      <c r="D2663" s="262"/>
      <c r="E2663" s="81" t="s">
        <v>187</v>
      </c>
      <c r="F2663" s="81" t="s">
        <v>187</v>
      </c>
      <c r="G2663" s="81" t="s">
        <v>187</v>
      </c>
      <c r="H2663" s="81" t="s">
        <v>187</v>
      </c>
      <c r="I2663" s="81" t="s">
        <v>187</v>
      </c>
      <c r="J2663" s="81" t="s">
        <v>187</v>
      </c>
      <c r="K2663" s="81" t="s">
        <v>187</v>
      </c>
      <c r="L2663" s="81" t="s">
        <v>187</v>
      </c>
    </row>
    <row r="2664" ht="15.75" customHeight="1">
      <c r="A2664" s="262"/>
      <c r="B2664" s="262"/>
      <c r="C2664" s="263"/>
      <c r="D2664" s="262"/>
      <c r="E2664" s="81" t="s">
        <v>187</v>
      </c>
      <c r="F2664" s="81" t="s">
        <v>187</v>
      </c>
      <c r="G2664" s="81" t="s">
        <v>187</v>
      </c>
      <c r="H2664" s="81" t="s">
        <v>187</v>
      </c>
      <c r="I2664" s="81" t="s">
        <v>187</v>
      </c>
      <c r="J2664" s="81" t="s">
        <v>187</v>
      </c>
      <c r="K2664" s="81" t="s">
        <v>187</v>
      </c>
      <c r="L2664" s="81" t="s">
        <v>187</v>
      </c>
    </row>
    <row r="2665" ht="15.75" customHeight="1">
      <c r="A2665" s="262"/>
      <c r="B2665" s="262"/>
      <c r="C2665" s="263"/>
      <c r="D2665" s="262"/>
      <c r="E2665" s="81" t="s">
        <v>187</v>
      </c>
      <c r="F2665" s="81" t="s">
        <v>187</v>
      </c>
      <c r="G2665" s="81" t="s">
        <v>187</v>
      </c>
      <c r="H2665" s="81" t="s">
        <v>187</v>
      </c>
      <c r="I2665" s="81" t="s">
        <v>187</v>
      </c>
      <c r="J2665" s="81" t="s">
        <v>187</v>
      </c>
      <c r="K2665" s="81" t="s">
        <v>187</v>
      </c>
      <c r="L2665" s="81" t="s">
        <v>187</v>
      </c>
    </row>
    <row r="2666" ht="15.75" customHeight="1">
      <c r="A2666" s="262"/>
      <c r="B2666" s="262"/>
      <c r="C2666" s="263"/>
      <c r="D2666" s="262"/>
      <c r="E2666" s="81" t="s">
        <v>187</v>
      </c>
      <c r="F2666" s="81" t="s">
        <v>187</v>
      </c>
      <c r="G2666" s="81" t="s">
        <v>187</v>
      </c>
      <c r="H2666" s="81" t="s">
        <v>187</v>
      </c>
      <c r="I2666" s="81" t="s">
        <v>187</v>
      </c>
      <c r="J2666" s="81" t="s">
        <v>187</v>
      </c>
      <c r="K2666" s="81" t="s">
        <v>187</v>
      </c>
      <c r="L2666" s="81" t="s">
        <v>187</v>
      </c>
    </row>
    <row r="2667" ht="15.75" customHeight="1">
      <c r="A2667" s="262"/>
      <c r="B2667" s="262"/>
      <c r="C2667" s="263"/>
      <c r="D2667" s="262"/>
      <c r="E2667" s="81" t="s">
        <v>187</v>
      </c>
      <c r="F2667" s="81" t="s">
        <v>187</v>
      </c>
      <c r="G2667" s="81" t="s">
        <v>187</v>
      </c>
      <c r="H2667" s="81" t="s">
        <v>187</v>
      </c>
      <c r="I2667" s="81" t="s">
        <v>187</v>
      </c>
      <c r="J2667" s="81" t="s">
        <v>187</v>
      </c>
      <c r="K2667" s="81" t="s">
        <v>187</v>
      </c>
      <c r="L2667" s="81" t="s">
        <v>187</v>
      </c>
    </row>
    <row r="2668" ht="15.75" customHeight="1">
      <c r="A2668" s="262"/>
      <c r="B2668" s="262"/>
      <c r="C2668" s="263"/>
      <c r="D2668" s="262"/>
      <c r="E2668" s="81" t="s">
        <v>187</v>
      </c>
      <c r="F2668" s="81" t="s">
        <v>187</v>
      </c>
      <c r="G2668" s="81" t="s">
        <v>187</v>
      </c>
      <c r="H2668" s="81" t="s">
        <v>187</v>
      </c>
      <c r="I2668" s="81" t="s">
        <v>187</v>
      </c>
      <c r="J2668" s="81" t="s">
        <v>187</v>
      </c>
      <c r="K2668" s="81" t="s">
        <v>187</v>
      </c>
      <c r="L2668" s="81" t="s">
        <v>187</v>
      </c>
    </row>
    <row r="2669" ht="15.75" customHeight="1">
      <c r="A2669" s="262"/>
      <c r="B2669" s="262"/>
      <c r="C2669" s="263"/>
      <c r="D2669" s="262"/>
      <c r="E2669" s="81" t="s">
        <v>187</v>
      </c>
      <c r="F2669" s="81" t="s">
        <v>187</v>
      </c>
      <c r="G2669" s="81" t="s">
        <v>187</v>
      </c>
      <c r="H2669" s="81" t="s">
        <v>187</v>
      </c>
      <c r="I2669" s="81" t="s">
        <v>187</v>
      </c>
      <c r="J2669" s="81" t="s">
        <v>187</v>
      </c>
      <c r="K2669" s="81" t="s">
        <v>187</v>
      </c>
      <c r="L2669" s="81" t="s">
        <v>187</v>
      </c>
    </row>
    <row r="2670" ht="15.75" customHeight="1">
      <c r="A2670" s="262"/>
      <c r="B2670" s="262"/>
      <c r="C2670" s="263"/>
      <c r="D2670" s="262"/>
      <c r="E2670" s="81" t="s">
        <v>187</v>
      </c>
      <c r="F2670" s="81" t="s">
        <v>187</v>
      </c>
      <c r="G2670" s="81" t="s">
        <v>187</v>
      </c>
      <c r="H2670" s="81" t="s">
        <v>187</v>
      </c>
      <c r="I2670" s="81" t="s">
        <v>187</v>
      </c>
      <c r="J2670" s="81" t="s">
        <v>187</v>
      </c>
      <c r="K2670" s="81" t="s">
        <v>187</v>
      </c>
      <c r="L2670" s="81" t="s">
        <v>187</v>
      </c>
    </row>
    <row r="2671" ht="15.75" customHeight="1">
      <c r="A2671" s="262"/>
      <c r="B2671" s="262"/>
      <c r="C2671" s="263"/>
      <c r="D2671" s="262"/>
      <c r="E2671" s="81" t="s">
        <v>187</v>
      </c>
      <c r="F2671" s="81" t="s">
        <v>187</v>
      </c>
      <c r="G2671" s="81" t="s">
        <v>187</v>
      </c>
      <c r="H2671" s="81" t="s">
        <v>187</v>
      </c>
      <c r="I2671" s="81" t="s">
        <v>187</v>
      </c>
      <c r="J2671" s="81" t="s">
        <v>187</v>
      </c>
      <c r="K2671" s="81" t="s">
        <v>187</v>
      </c>
      <c r="L2671" s="81" t="s">
        <v>187</v>
      </c>
    </row>
    <row r="2672" ht="15.75" customHeight="1">
      <c r="A2672" s="262"/>
      <c r="B2672" s="262"/>
      <c r="C2672" s="263"/>
      <c r="D2672" s="262"/>
      <c r="E2672" s="81" t="s">
        <v>187</v>
      </c>
      <c r="F2672" s="81" t="s">
        <v>187</v>
      </c>
      <c r="G2672" s="81" t="s">
        <v>187</v>
      </c>
      <c r="H2672" s="81" t="s">
        <v>187</v>
      </c>
      <c r="I2672" s="81" t="s">
        <v>187</v>
      </c>
      <c r="J2672" s="81" t="s">
        <v>187</v>
      </c>
      <c r="K2672" s="81" t="s">
        <v>187</v>
      </c>
      <c r="L2672" s="81" t="s">
        <v>187</v>
      </c>
    </row>
    <row r="2673" ht="15.75" customHeight="1">
      <c r="A2673" s="262"/>
      <c r="B2673" s="262"/>
      <c r="C2673" s="263"/>
      <c r="D2673" s="262"/>
      <c r="E2673" s="81" t="s">
        <v>187</v>
      </c>
      <c r="F2673" s="81" t="s">
        <v>187</v>
      </c>
      <c r="G2673" s="81" t="s">
        <v>187</v>
      </c>
      <c r="H2673" s="81" t="s">
        <v>187</v>
      </c>
      <c r="I2673" s="81" t="s">
        <v>187</v>
      </c>
      <c r="J2673" s="81" t="s">
        <v>187</v>
      </c>
      <c r="K2673" s="81" t="s">
        <v>187</v>
      </c>
      <c r="L2673" s="81" t="s">
        <v>187</v>
      </c>
    </row>
    <row r="2674" ht="15.75" customHeight="1">
      <c r="A2674" s="262"/>
      <c r="B2674" s="262"/>
      <c r="C2674" s="263"/>
      <c r="D2674" s="262"/>
      <c r="E2674" s="81" t="s">
        <v>187</v>
      </c>
      <c r="F2674" s="81" t="s">
        <v>187</v>
      </c>
      <c r="G2674" s="81" t="s">
        <v>187</v>
      </c>
      <c r="H2674" s="81" t="s">
        <v>187</v>
      </c>
      <c r="I2674" s="81" t="s">
        <v>187</v>
      </c>
      <c r="J2674" s="81" t="s">
        <v>187</v>
      </c>
      <c r="K2674" s="81" t="s">
        <v>187</v>
      </c>
      <c r="L2674" s="81" t="s">
        <v>187</v>
      </c>
    </row>
    <row r="2675" ht="15.75" customHeight="1">
      <c r="A2675" s="262"/>
      <c r="B2675" s="262"/>
      <c r="C2675" s="263"/>
      <c r="D2675" s="262"/>
      <c r="E2675" s="81" t="s">
        <v>187</v>
      </c>
      <c r="F2675" s="81" t="s">
        <v>187</v>
      </c>
      <c r="G2675" s="81" t="s">
        <v>187</v>
      </c>
      <c r="H2675" s="81" t="s">
        <v>187</v>
      </c>
      <c r="I2675" s="81" t="s">
        <v>187</v>
      </c>
      <c r="J2675" s="81" t="s">
        <v>187</v>
      </c>
      <c r="K2675" s="81" t="s">
        <v>187</v>
      </c>
      <c r="L2675" s="81" t="s">
        <v>187</v>
      </c>
    </row>
    <row r="2676" ht="15.75" customHeight="1">
      <c r="A2676" s="262"/>
      <c r="B2676" s="262"/>
      <c r="C2676" s="263"/>
      <c r="D2676" s="262"/>
      <c r="E2676" s="81" t="s">
        <v>187</v>
      </c>
      <c r="F2676" s="81" t="s">
        <v>187</v>
      </c>
      <c r="G2676" s="81" t="s">
        <v>187</v>
      </c>
      <c r="H2676" s="81" t="s">
        <v>187</v>
      </c>
      <c r="I2676" s="81" t="s">
        <v>187</v>
      </c>
      <c r="J2676" s="81" t="s">
        <v>187</v>
      </c>
      <c r="K2676" s="81" t="s">
        <v>187</v>
      </c>
      <c r="L2676" s="81" t="s">
        <v>187</v>
      </c>
    </row>
    <row r="2677" ht="15.75" customHeight="1">
      <c r="A2677" s="262"/>
      <c r="B2677" s="262"/>
      <c r="C2677" s="263"/>
      <c r="D2677" s="262"/>
      <c r="E2677" s="81" t="s">
        <v>187</v>
      </c>
      <c r="F2677" s="81" t="s">
        <v>187</v>
      </c>
      <c r="G2677" s="81" t="s">
        <v>187</v>
      </c>
      <c r="H2677" s="81" t="s">
        <v>187</v>
      </c>
      <c r="I2677" s="81" t="s">
        <v>187</v>
      </c>
      <c r="J2677" s="81" t="s">
        <v>187</v>
      </c>
      <c r="K2677" s="81" t="s">
        <v>187</v>
      </c>
      <c r="L2677" s="81" t="s">
        <v>187</v>
      </c>
    </row>
    <row r="2678" ht="15.75" customHeight="1">
      <c r="A2678" s="262"/>
      <c r="B2678" s="262"/>
      <c r="C2678" s="263"/>
      <c r="D2678" s="262"/>
      <c r="E2678" s="81" t="s">
        <v>187</v>
      </c>
      <c r="F2678" s="81" t="s">
        <v>187</v>
      </c>
      <c r="G2678" s="81" t="s">
        <v>187</v>
      </c>
      <c r="H2678" s="81" t="s">
        <v>187</v>
      </c>
      <c r="I2678" s="81" t="s">
        <v>187</v>
      </c>
      <c r="J2678" s="81" t="s">
        <v>187</v>
      </c>
      <c r="K2678" s="81" t="s">
        <v>187</v>
      </c>
      <c r="L2678" s="81" t="s">
        <v>187</v>
      </c>
    </row>
    <row r="2679" ht="15.75" customHeight="1">
      <c r="A2679" s="262"/>
      <c r="B2679" s="262"/>
      <c r="C2679" s="263"/>
      <c r="D2679" s="262"/>
      <c r="E2679" s="81" t="s">
        <v>187</v>
      </c>
      <c r="F2679" s="81" t="s">
        <v>187</v>
      </c>
      <c r="G2679" s="81" t="s">
        <v>187</v>
      </c>
      <c r="H2679" s="81" t="s">
        <v>187</v>
      </c>
      <c r="I2679" s="81" t="s">
        <v>187</v>
      </c>
      <c r="J2679" s="81" t="s">
        <v>187</v>
      </c>
      <c r="K2679" s="81" t="s">
        <v>187</v>
      </c>
      <c r="L2679" s="81" t="s">
        <v>187</v>
      </c>
    </row>
    <row r="2680" ht="15.75" customHeight="1">
      <c r="A2680" s="262"/>
      <c r="B2680" s="262"/>
      <c r="C2680" s="263"/>
      <c r="D2680" s="262"/>
      <c r="E2680" s="81" t="s">
        <v>187</v>
      </c>
      <c r="F2680" s="81" t="s">
        <v>187</v>
      </c>
      <c r="G2680" s="81" t="s">
        <v>187</v>
      </c>
      <c r="H2680" s="81" t="s">
        <v>187</v>
      </c>
      <c r="I2680" s="81" t="s">
        <v>187</v>
      </c>
      <c r="J2680" s="81" t="s">
        <v>187</v>
      </c>
      <c r="K2680" s="81" t="s">
        <v>187</v>
      </c>
      <c r="L2680" s="81" t="s">
        <v>187</v>
      </c>
    </row>
    <row r="2681" ht="15.75" customHeight="1">
      <c r="A2681" s="262"/>
      <c r="B2681" s="262"/>
      <c r="C2681" s="263"/>
      <c r="D2681" s="262"/>
      <c r="E2681" s="81" t="s">
        <v>187</v>
      </c>
      <c r="F2681" s="81" t="s">
        <v>187</v>
      </c>
      <c r="G2681" s="81" t="s">
        <v>187</v>
      </c>
      <c r="H2681" s="81" t="s">
        <v>187</v>
      </c>
      <c r="I2681" s="81" t="s">
        <v>187</v>
      </c>
      <c r="J2681" s="81" t="s">
        <v>187</v>
      </c>
      <c r="K2681" s="81" t="s">
        <v>187</v>
      </c>
      <c r="L2681" s="81" t="s">
        <v>187</v>
      </c>
    </row>
    <row r="2682" ht="15.75" customHeight="1">
      <c r="A2682" s="262"/>
      <c r="B2682" s="262"/>
      <c r="C2682" s="263"/>
      <c r="D2682" s="262"/>
      <c r="E2682" s="81" t="s">
        <v>187</v>
      </c>
      <c r="F2682" s="81" t="s">
        <v>187</v>
      </c>
      <c r="G2682" s="81" t="s">
        <v>187</v>
      </c>
      <c r="H2682" s="81" t="s">
        <v>187</v>
      </c>
      <c r="I2682" s="81" t="s">
        <v>187</v>
      </c>
      <c r="J2682" s="81" t="s">
        <v>187</v>
      </c>
      <c r="K2682" s="81" t="s">
        <v>187</v>
      </c>
      <c r="L2682" s="81" t="s">
        <v>187</v>
      </c>
    </row>
    <row r="2683" ht="15.75" customHeight="1">
      <c r="A2683" s="262"/>
      <c r="B2683" s="262"/>
      <c r="C2683" s="263"/>
      <c r="D2683" s="262"/>
      <c r="E2683" s="81" t="s">
        <v>187</v>
      </c>
      <c r="F2683" s="81" t="s">
        <v>187</v>
      </c>
      <c r="G2683" s="81" t="s">
        <v>187</v>
      </c>
      <c r="H2683" s="81" t="s">
        <v>187</v>
      </c>
      <c r="I2683" s="81" t="s">
        <v>187</v>
      </c>
      <c r="J2683" s="81" t="s">
        <v>187</v>
      </c>
      <c r="K2683" s="81" t="s">
        <v>187</v>
      </c>
      <c r="L2683" s="81" t="s">
        <v>187</v>
      </c>
    </row>
    <row r="2684" ht="15.75" customHeight="1">
      <c r="A2684" s="262"/>
      <c r="B2684" s="262"/>
      <c r="C2684" s="263"/>
      <c r="D2684" s="262"/>
      <c r="E2684" s="81" t="s">
        <v>187</v>
      </c>
      <c r="F2684" s="81" t="s">
        <v>187</v>
      </c>
      <c r="G2684" s="81" t="s">
        <v>187</v>
      </c>
      <c r="H2684" s="81" t="s">
        <v>187</v>
      </c>
      <c r="I2684" s="81" t="s">
        <v>187</v>
      </c>
      <c r="J2684" s="81" t="s">
        <v>187</v>
      </c>
      <c r="K2684" s="81" t="s">
        <v>187</v>
      </c>
      <c r="L2684" s="81" t="s">
        <v>187</v>
      </c>
    </row>
    <row r="2685" ht="15.75" customHeight="1">
      <c r="A2685" s="262"/>
      <c r="B2685" s="262"/>
      <c r="C2685" s="263"/>
      <c r="D2685" s="262"/>
      <c r="E2685" s="81" t="s">
        <v>187</v>
      </c>
      <c r="F2685" s="81" t="s">
        <v>187</v>
      </c>
      <c r="G2685" s="81" t="s">
        <v>187</v>
      </c>
      <c r="H2685" s="81" t="s">
        <v>187</v>
      </c>
      <c r="I2685" s="81" t="s">
        <v>187</v>
      </c>
      <c r="J2685" s="81" t="s">
        <v>187</v>
      </c>
      <c r="K2685" s="81" t="s">
        <v>187</v>
      </c>
      <c r="L2685" s="81" t="s">
        <v>187</v>
      </c>
    </row>
    <row r="2686" ht="15.75" customHeight="1">
      <c r="A2686" s="262"/>
      <c r="B2686" s="262"/>
      <c r="C2686" s="263"/>
      <c r="D2686" s="262"/>
      <c r="E2686" s="81" t="s">
        <v>187</v>
      </c>
      <c r="F2686" s="81" t="s">
        <v>187</v>
      </c>
      <c r="G2686" s="81" t="s">
        <v>187</v>
      </c>
      <c r="H2686" s="81" t="s">
        <v>187</v>
      </c>
      <c r="I2686" s="81" t="s">
        <v>187</v>
      </c>
      <c r="J2686" s="81" t="s">
        <v>187</v>
      </c>
      <c r="K2686" s="81" t="s">
        <v>187</v>
      </c>
      <c r="L2686" s="81" t="s">
        <v>187</v>
      </c>
    </row>
    <row r="2687" ht="15.75" customHeight="1">
      <c r="A2687" s="262"/>
      <c r="B2687" s="262"/>
      <c r="C2687" s="263"/>
      <c r="D2687" s="262"/>
      <c r="E2687" s="81" t="s">
        <v>187</v>
      </c>
      <c r="F2687" s="81" t="s">
        <v>187</v>
      </c>
      <c r="G2687" s="81" t="s">
        <v>187</v>
      </c>
      <c r="H2687" s="81" t="s">
        <v>187</v>
      </c>
      <c r="I2687" s="81" t="s">
        <v>187</v>
      </c>
      <c r="J2687" s="81" t="s">
        <v>187</v>
      </c>
      <c r="K2687" s="81" t="s">
        <v>187</v>
      </c>
      <c r="L2687" s="81" t="s">
        <v>187</v>
      </c>
    </row>
    <row r="2688" ht="15.75" customHeight="1">
      <c r="A2688" s="262"/>
      <c r="B2688" s="262"/>
      <c r="C2688" s="263"/>
      <c r="D2688" s="262"/>
      <c r="E2688" s="81" t="s">
        <v>187</v>
      </c>
      <c r="F2688" s="81" t="s">
        <v>187</v>
      </c>
      <c r="G2688" s="81" t="s">
        <v>187</v>
      </c>
      <c r="H2688" s="81" t="s">
        <v>187</v>
      </c>
      <c r="I2688" s="81" t="s">
        <v>187</v>
      </c>
      <c r="J2688" s="81" t="s">
        <v>187</v>
      </c>
      <c r="K2688" s="81" t="s">
        <v>187</v>
      </c>
      <c r="L2688" s="81" t="s">
        <v>187</v>
      </c>
    </row>
    <row r="2689" ht="15.75" customHeight="1">
      <c r="A2689" s="262"/>
      <c r="B2689" s="262"/>
      <c r="C2689" s="263"/>
      <c r="D2689" s="262"/>
      <c r="E2689" s="81" t="s">
        <v>187</v>
      </c>
      <c r="F2689" s="81" t="s">
        <v>187</v>
      </c>
      <c r="G2689" s="81" t="s">
        <v>187</v>
      </c>
      <c r="H2689" s="81" t="s">
        <v>187</v>
      </c>
      <c r="I2689" s="81" t="s">
        <v>187</v>
      </c>
      <c r="J2689" s="81" t="s">
        <v>187</v>
      </c>
      <c r="K2689" s="81" t="s">
        <v>187</v>
      </c>
      <c r="L2689" s="81" t="s">
        <v>187</v>
      </c>
    </row>
    <row r="2690" ht="15.75" customHeight="1">
      <c r="A2690" s="262"/>
      <c r="B2690" s="262"/>
      <c r="C2690" s="263"/>
      <c r="D2690" s="262"/>
      <c r="E2690" s="81" t="s">
        <v>187</v>
      </c>
      <c r="F2690" s="81" t="s">
        <v>187</v>
      </c>
      <c r="G2690" s="81" t="s">
        <v>187</v>
      </c>
      <c r="H2690" s="81" t="s">
        <v>187</v>
      </c>
      <c r="I2690" s="81" t="s">
        <v>187</v>
      </c>
      <c r="J2690" s="81" t="s">
        <v>187</v>
      </c>
      <c r="K2690" s="81" t="s">
        <v>187</v>
      </c>
      <c r="L2690" s="81" t="s">
        <v>187</v>
      </c>
    </row>
    <row r="2691" ht="15.75" customHeight="1">
      <c r="A2691" s="262"/>
      <c r="B2691" s="262"/>
      <c r="C2691" s="263"/>
      <c r="D2691" s="262"/>
      <c r="E2691" s="81" t="s">
        <v>187</v>
      </c>
      <c r="F2691" s="81" t="s">
        <v>187</v>
      </c>
      <c r="G2691" s="81" t="s">
        <v>187</v>
      </c>
      <c r="H2691" s="81" t="s">
        <v>187</v>
      </c>
      <c r="I2691" s="81" t="s">
        <v>187</v>
      </c>
      <c r="J2691" s="81" t="s">
        <v>187</v>
      </c>
      <c r="K2691" s="81" t="s">
        <v>187</v>
      </c>
      <c r="L2691" s="81" t="s">
        <v>187</v>
      </c>
    </row>
    <row r="2692" ht="15.75" customHeight="1">
      <c r="A2692" s="262"/>
      <c r="B2692" s="262"/>
      <c r="C2692" s="263"/>
      <c r="D2692" s="262"/>
      <c r="E2692" s="81" t="s">
        <v>187</v>
      </c>
      <c r="F2692" s="81" t="s">
        <v>187</v>
      </c>
      <c r="G2692" s="81" t="s">
        <v>187</v>
      </c>
      <c r="H2692" s="81" t="s">
        <v>187</v>
      </c>
      <c r="I2692" s="81" t="s">
        <v>187</v>
      </c>
      <c r="J2692" s="81" t="s">
        <v>187</v>
      </c>
      <c r="K2692" s="81" t="s">
        <v>187</v>
      </c>
      <c r="L2692" s="81" t="s">
        <v>187</v>
      </c>
    </row>
    <row r="2693" ht="15.75" customHeight="1">
      <c r="A2693" s="262"/>
      <c r="B2693" s="262"/>
      <c r="C2693" s="263"/>
      <c r="D2693" s="262"/>
      <c r="E2693" s="81" t="s">
        <v>187</v>
      </c>
      <c r="F2693" s="81" t="s">
        <v>187</v>
      </c>
      <c r="G2693" s="81" t="s">
        <v>187</v>
      </c>
      <c r="H2693" s="81" t="s">
        <v>187</v>
      </c>
      <c r="I2693" s="81" t="s">
        <v>187</v>
      </c>
      <c r="J2693" s="81" t="s">
        <v>187</v>
      </c>
      <c r="K2693" s="81" t="s">
        <v>187</v>
      </c>
      <c r="L2693" s="81" t="s">
        <v>187</v>
      </c>
    </row>
    <row r="2694" ht="15.75" customHeight="1">
      <c r="A2694" s="262"/>
      <c r="B2694" s="262"/>
      <c r="C2694" s="263"/>
      <c r="D2694" s="262"/>
      <c r="E2694" s="81" t="s">
        <v>187</v>
      </c>
      <c r="F2694" s="81" t="s">
        <v>187</v>
      </c>
      <c r="G2694" s="81" t="s">
        <v>187</v>
      </c>
      <c r="H2694" s="81" t="s">
        <v>187</v>
      </c>
      <c r="I2694" s="81" t="s">
        <v>187</v>
      </c>
      <c r="J2694" s="81" t="s">
        <v>187</v>
      </c>
      <c r="K2694" s="81" t="s">
        <v>187</v>
      </c>
      <c r="L2694" s="81" t="s">
        <v>187</v>
      </c>
    </row>
    <row r="2695" ht="15.75" customHeight="1">
      <c r="A2695" s="262"/>
      <c r="B2695" s="262"/>
      <c r="C2695" s="263"/>
      <c r="D2695" s="262"/>
      <c r="E2695" s="81" t="s">
        <v>187</v>
      </c>
      <c r="F2695" s="81" t="s">
        <v>187</v>
      </c>
      <c r="G2695" s="81" t="s">
        <v>187</v>
      </c>
      <c r="H2695" s="81" t="s">
        <v>187</v>
      </c>
      <c r="I2695" s="81" t="s">
        <v>187</v>
      </c>
      <c r="J2695" s="81" t="s">
        <v>187</v>
      </c>
      <c r="K2695" s="81" t="s">
        <v>187</v>
      </c>
      <c r="L2695" s="81" t="s">
        <v>187</v>
      </c>
    </row>
    <row r="2696" ht="15.75" customHeight="1">
      <c r="A2696" s="262"/>
      <c r="B2696" s="262"/>
      <c r="C2696" s="263"/>
      <c r="D2696" s="262"/>
      <c r="E2696" s="81" t="s">
        <v>187</v>
      </c>
      <c r="F2696" s="81" t="s">
        <v>187</v>
      </c>
      <c r="G2696" s="81" t="s">
        <v>187</v>
      </c>
      <c r="H2696" s="81" t="s">
        <v>187</v>
      </c>
      <c r="I2696" s="81" t="s">
        <v>187</v>
      </c>
      <c r="J2696" s="81" t="s">
        <v>187</v>
      </c>
      <c r="K2696" s="81" t="s">
        <v>187</v>
      </c>
      <c r="L2696" s="81" t="s">
        <v>187</v>
      </c>
    </row>
    <row r="2697" ht="15.75" customHeight="1">
      <c r="A2697" s="262"/>
      <c r="B2697" s="262"/>
      <c r="C2697" s="263"/>
      <c r="D2697" s="262"/>
      <c r="E2697" s="81" t="s">
        <v>187</v>
      </c>
      <c r="F2697" s="81" t="s">
        <v>187</v>
      </c>
      <c r="G2697" s="81" t="s">
        <v>187</v>
      </c>
      <c r="H2697" s="81" t="s">
        <v>187</v>
      </c>
      <c r="I2697" s="81" t="s">
        <v>187</v>
      </c>
      <c r="J2697" s="81" t="s">
        <v>187</v>
      </c>
      <c r="K2697" s="81" t="s">
        <v>187</v>
      </c>
      <c r="L2697" s="81" t="s">
        <v>187</v>
      </c>
    </row>
    <row r="2698" ht="15.75" customHeight="1">
      <c r="A2698" s="262"/>
      <c r="B2698" s="262"/>
      <c r="C2698" s="263"/>
      <c r="D2698" s="262"/>
      <c r="E2698" s="81" t="s">
        <v>187</v>
      </c>
      <c r="F2698" s="81" t="s">
        <v>187</v>
      </c>
      <c r="G2698" s="81" t="s">
        <v>187</v>
      </c>
      <c r="H2698" s="81" t="s">
        <v>187</v>
      </c>
      <c r="I2698" s="81" t="s">
        <v>187</v>
      </c>
      <c r="J2698" s="81" t="s">
        <v>187</v>
      </c>
      <c r="K2698" s="81" t="s">
        <v>187</v>
      </c>
      <c r="L2698" s="81" t="s">
        <v>187</v>
      </c>
    </row>
    <row r="2699" ht="15.75" customHeight="1">
      <c r="A2699" s="262"/>
      <c r="B2699" s="262"/>
      <c r="C2699" s="263"/>
      <c r="D2699" s="262"/>
      <c r="E2699" s="81" t="s">
        <v>187</v>
      </c>
      <c r="F2699" s="81" t="s">
        <v>187</v>
      </c>
      <c r="G2699" s="81" t="s">
        <v>187</v>
      </c>
      <c r="H2699" s="81" t="s">
        <v>187</v>
      </c>
      <c r="I2699" s="81" t="s">
        <v>187</v>
      </c>
      <c r="J2699" s="81" t="s">
        <v>187</v>
      </c>
      <c r="K2699" s="81" t="s">
        <v>187</v>
      </c>
      <c r="L2699" s="81" t="s">
        <v>187</v>
      </c>
    </row>
    <row r="2700" ht="15.75" customHeight="1">
      <c r="A2700" s="262"/>
      <c r="B2700" s="262"/>
      <c r="C2700" s="263"/>
      <c r="D2700" s="262"/>
      <c r="E2700" s="81" t="s">
        <v>187</v>
      </c>
      <c r="F2700" s="81" t="s">
        <v>187</v>
      </c>
      <c r="G2700" s="81" t="s">
        <v>187</v>
      </c>
      <c r="H2700" s="81" t="s">
        <v>187</v>
      </c>
      <c r="I2700" s="81" t="s">
        <v>187</v>
      </c>
      <c r="J2700" s="81" t="s">
        <v>187</v>
      </c>
      <c r="K2700" s="81" t="s">
        <v>187</v>
      </c>
      <c r="L2700" s="81" t="s">
        <v>187</v>
      </c>
    </row>
    <row r="2701" ht="15.75" customHeight="1">
      <c r="A2701" s="262"/>
      <c r="B2701" s="262"/>
      <c r="C2701" s="263"/>
      <c r="D2701" s="262"/>
      <c r="E2701" s="81" t="s">
        <v>187</v>
      </c>
      <c r="F2701" s="81" t="s">
        <v>187</v>
      </c>
      <c r="G2701" s="81" t="s">
        <v>187</v>
      </c>
      <c r="H2701" s="81" t="s">
        <v>187</v>
      </c>
      <c r="I2701" s="81" t="s">
        <v>187</v>
      </c>
      <c r="J2701" s="81" t="s">
        <v>187</v>
      </c>
      <c r="K2701" s="81" t="s">
        <v>187</v>
      </c>
      <c r="L2701" s="81" t="s">
        <v>187</v>
      </c>
    </row>
    <row r="2702" ht="15.75" customHeight="1">
      <c r="A2702" s="262"/>
      <c r="B2702" s="262"/>
      <c r="C2702" s="263"/>
      <c r="D2702" s="262"/>
      <c r="E2702" s="81" t="s">
        <v>187</v>
      </c>
      <c r="F2702" s="81" t="s">
        <v>187</v>
      </c>
      <c r="G2702" s="81" t="s">
        <v>187</v>
      </c>
      <c r="H2702" s="81" t="s">
        <v>187</v>
      </c>
      <c r="I2702" s="81" t="s">
        <v>187</v>
      </c>
      <c r="J2702" s="81" t="s">
        <v>187</v>
      </c>
      <c r="K2702" s="81" t="s">
        <v>187</v>
      </c>
      <c r="L2702" s="81" t="s">
        <v>187</v>
      </c>
    </row>
    <row r="2703" ht="15.75" customHeight="1">
      <c r="A2703" s="262"/>
      <c r="B2703" s="262"/>
      <c r="C2703" s="263"/>
      <c r="D2703" s="262"/>
      <c r="E2703" s="81" t="s">
        <v>187</v>
      </c>
      <c r="F2703" s="81" t="s">
        <v>187</v>
      </c>
      <c r="G2703" s="81" t="s">
        <v>187</v>
      </c>
      <c r="H2703" s="81" t="s">
        <v>187</v>
      </c>
      <c r="I2703" s="81" t="s">
        <v>187</v>
      </c>
      <c r="J2703" s="81" t="s">
        <v>187</v>
      </c>
      <c r="K2703" s="81" t="s">
        <v>187</v>
      </c>
      <c r="L2703" s="81" t="s">
        <v>187</v>
      </c>
    </row>
    <row r="2704" ht="15.75" customHeight="1">
      <c r="A2704" s="262"/>
      <c r="B2704" s="262"/>
      <c r="C2704" s="263"/>
      <c r="D2704" s="262"/>
      <c r="E2704" s="81" t="s">
        <v>187</v>
      </c>
      <c r="F2704" s="81" t="s">
        <v>187</v>
      </c>
      <c r="G2704" s="81" t="s">
        <v>187</v>
      </c>
      <c r="H2704" s="81" t="s">
        <v>187</v>
      </c>
      <c r="I2704" s="81" t="s">
        <v>187</v>
      </c>
      <c r="J2704" s="81" t="s">
        <v>187</v>
      </c>
      <c r="K2704" s="81" t="s">
        <v>187</v>
      </c>
      <c r="L2704" s="81" t="s">
        <v>187</v>
      </c>
    </row>
    <row r="2705" ht="15.75" customHeight="1">
      <c r="A2705" s="262"/>
      <c r="B2705" s="262"/>
      <c r="C2705" s="263"/>
      <c r="D2705" s="262"/>
      <c r="E2705" s="81" t="s">
        <v>187</v>
      </c>
      <c r="F2705" s="81" t="s">
        <v>187</v>
      </c>
      <c r="G2705" s="81" t="s">
        <v>187</v>
      </c>
      <c r="H2705" s="81" t="s">
        <v>187</v>
      </c>
      <c r="I2705" s="81" t="s">
        <v>187</v>
      </c>
      <c r="J2705" s="81" t="s">
        <v>187</v>
      </c>
      <c r="K2705" s="81" t="s">
        <v>187</v>
      </c>
      <c r="L2705" s="81" t="s">
        <v>187</v>
      </c>
    </row>
    <row r="2706" ht="15.75" customHeight="1">
      <c r="A2706" s="262"/>
      <c r="B2706" s="262"/>
      <c r="C2706" s="263"/>
      <c r="D2706" s="262"/>
      <c r="E2706" s="81" t="s">
        <v>187</v>
      </c>
      <c r="F2706" s="81" t="s">
        <v>187</v>
      </c>
      <c r="G2706" s="81" t="s">
        <v>187</v>
      </c>
      <c r="H2706" s="81" t="s">
        <v>187</v>
      </c>
      <c r="I2706" s="81" t="s">
        <v>187</v>
      </c>
      <c r="J2706" s="81" t="s">
        <v>187</v>
      </c>
      <c r="K2706" s="81" t="s">
        <v>187</v>
      </c>
      <c r="L2706" s="81" t="s">
        <v>187</v>
      </c>
    </row>
    <row r="2707" ht="15.75" customHeight="1">
      <c r="A2707" s="262"/>
      <c r="B2707" s="262"/>
      <c r="C2707" s="263"/>
      <c r="D2707" s="262"/>
      <c r="E2707" s="81" t="s">
        <v>187</v>
      </c>
      <c r="F2707" s="81" t="s">
        <v>187</v>
      </c>
      <c r="G2707" s="81" t="s">
        <v>187</v>
      </c>
      <c r="H2707" s="81" t="s">
        <v>187</v>
      </c>
      <c r="I2707" s="81" t="s">
        <v>187</v>
      </c>
      <c r="J2707" s="81" t="s">
        <v>187</v>
      </c>
      <c r="K2707" s="81" t="s">
        <v>187</v>
      </c>
      <c r="L2707" s="81" t="s">
        <v>187</v>
      </c>
    </row>
    <row r="2708" ht="15.75" customHeight="1">
      <c r="A2708" s="262"/>
      <c r="B2708" s="262"/>
      <c r="C2708" s="263"/>
      <c r="D2708" s="262"/>
      <c r="E2708" s="81" t="s">
        <v>187</v>
      </c>
      <c r="F2708" s="81" t="s">
        <v>187</v>
      </c>
      <c r="G2708" s="81" t="s">
        <v>187</v>
      </c>
      <c r="H2708" s="81" t="s">
        <v>187</v>
      </c>
      <c r="I2708" s="81" t="s">
        <v>187</v>
      </c>
      <c r="J2708" s="81" t="s">
        <v>187</v>
      </c>
      <c r="K2708" s="81" t="s">
        <v>187</v>
      </c>
      <c r="L2708" s="81" t="s">
        <v>187</v>
      </c>
    </row>
    <row r="2709" ht="15.75" customHeight="1">
      <c r="A2709" s="262"/>
      <c r="B2709" s="262"/>
      <c r="C2709" s="263"/>
      <c r="D2709" s="262"/>
      <c r="E2709" s="81" t="s">
        <v>187</v>
      </c>
      <c r="F2709" s="81" t="s">
        <v>187</v>
      </c>
      <c r="G2709" s="81" t="s">
        <v>187</v>
      </c>
      <c r="H2709" s="81" t="s">
        <v>187</v>
      </c>
      <c r="I2709" s="81" t="s">
        <v>187</v>
      </c>
      <c r="J2709" s="81" t="s">
        <v>187</v>
      </c>
      <c r="K2709" s="81" t="s">
        <v>187</v>
      </c>
      <c r="L2709" s="81" t="s">
        <v>187</v>
      </c>
    </row>
    <row r="2710" ht="15.75" customHeight="1">
      <c r="A2710" s="262"/>
      <c r="B2710" s="262"/>
      <c r="C2710" s="263"/>
      <c r="D2710" s="262"/>
      <c r="E2710" s="81" t="s">
        <v>187</v>
      </c>
      <c r="F2710" s="81" t="s">
        <v>187</v>
      </c>
      <c r="G2710" s="81" t="s">
        <v>187</v>
      </c>
      <c r="H2710" s="81" t="s">
        <v>187</v>
      </c>
      <c r="I2710" s="81" t="s">
        <v>187</v>
      </c>
      <c r="J2710" s="81" t="s">
        <v>187</v>
      </c>
      <c r="K2710" s="81" t="s">
        <v>187</v>
      </c>
      <c r="L2710" s="81" t="s">
        <v>187</v>
      </c>
    </row>
    <row r="2711" ht="15.75" customHeight="1">
      <c r="A2711" s="262"/>
      <c r="B2711" s="262"/>
      <c r="C2711" s="263"/>
      <c r="D2711" s="262"/>
      <c r="E2711" s="81" t="s">
        <v>187</v>
      </c>
      <c r="F2711" s="81" t="s">
        <v>187</v>
      </c>
      <c r="G2711" s="81" t="s">
        <v>187</v>
      </c>
      <c r="H2711" s="81" t="s">
        <v>187</v>
      </c>
      <c r="I2711" s="81" t="s">
        <v>187</v>
      </c>
      <c r="J2711" s="81" t="s">
        <v>187</v>
      </c>
      <c r="K2711" s="81" t="s">
        <v>187</v>
      </c>
      <c r="L2711" s="81" t="s">
        <v>187</v>
      </c>
    </row>
    <row r="2712" ht="15.75" customHeight="1">
      <c r="A2712" s="262"/>
      <c r="B2712" s="262"/>
      <c r="C2712" s="263"/>
      <c r="D2712" s="262"/>
      <c r="E2712" s="81" t="s">
        <v>187</v>
      </c>
      <c r="F2712" s="81" t="s">
        <v>187</v>
      </c>
      <c r="G2712" s="81" t="s">
        <v>187</v>
      </c>
      <c r="H2712" s="81" t="s">
        <v>187</v>
      </c>
      <c r="I2712" s="81" t="s">
        <v>187</v>
      </c>
      <c r="J2712" s="81" t="s">
        <v>187</v>
      </c>
      <c r="K2712" s="81" t="s">
        <v>187</v>
      </c>
      <c r="L2712" s="81" t="s">
        <v>187</v>
      </c>
    </row>
    <row r="2713" ht="15.75" customHeight="1">
      <c r="A2713" s="262"/>
      <c r="B2713" s="262"/>
      <c r="C2713" s="263"/>
      <c r="D2713" s="262"/>
      <c r="E2713" s="81" t="s">
        <v>187</v>
      </c>
      <c r="F2713" s="81" t="s">
        <v>187</v>
      </c>
      <c r="G2713" s="81" t="s">
        <v>187</v>
      </c>
      <c r="H2713" s="81" t="s">
        <v>187</v>
      </c>
      <c r="I2713" s="81" t="s">
        <v>187</v>
      </c>
      <c r="J2713" s="81" t="s">
        <v>187</v>
      </c>
      <c r="K2713" s="81" t="s">
        <v>187</v>
      </c>
      <c r="L2713" s="81" t="s">
        <v>187</v>
      </c>
    </row>
    <row r="2714" ht="15.75" customHeight="1">
      <c r="A2714" s="262"/>
      <c r="B2714" s="262"/>
      <c r="C2714" s="263"/>
      <c r="D2714" s="262"/>
      <c r="E2714" s="81" t="s">
        <v>187</v>
      </c>
      <c r="F2714" s="81" t="s">
        <v>187</v>
      </c>
      <c r="G2714" s="81" t="s">
        <v>187</v>
      </c>
      <c r="H2714" s="81" t="s">
        <v>187</v>
      </c>
      <c r="I2714" s="81" t="s">
        <v>187</v>
      </c>
      <c r="J2714" s="81" t="s">
        <v>187</v>
      </c>
      <c r="K2714" s="81" t="s">
        <v>187</v>
      </c>
      <c r="L2714" s="81" t="s">
        <v>187</v>
      </c>
    </row>
    <row r="2715" ht="15.75" customHeight="1">
      <c r="A2715" s="262"/>
      <c r="B2715" s="262"/>
      <c r="C2715" s="263"/>
      <c r="D2715" s="262"/>
      <c r="E2715" s="81" t="s">
        <v>187</v>
      </c>
      <c r="F2715" s="81" t="s">
        <v>187</v>
      </c>
      <c r="G2715" s="81" t="s">
        <v>187</v>
      </c>
      <c r="H2715" s="81" t="s">
        <v>187</v>
      </c>
      <c r="I2715" s="81" t="s">
        <v>187</v>
      </c>
      <c r="J2715" s="81" t="s">
        <v>187</v>
      </c>
      <c r="K2715" s="81" t="s">
        <v>187</v>
      </c>
      <c r="L2715" s="81" t="s">
        <v>187</v>
      </c>
    </row>
    <row r="2716" ht="15.75" customHeight="1">
      <c r="A2716" s="262"/>
      <c r="B2716" s="262"/>
      <c r="C2716" s="263"/>
      <c r="D2716" s="262"/>
      <c r="E2716" s="81" t="s">
        <v>187</v>
      </c>
      <c r="F2716" s="81" t="s">
        <v>187</v>
      </c>
      <c r="G2716" s="81" t="s">
        <v>187</v>
      </c>
      <c r="H2716" s="81" t="s">
        <v>187</v>
      </c>
      <c r="I2716" s="81" t="s">
        <v>187</v>
      </c>
      <c r="J2716" s="81" t="s">
        <v>187</v>
      </c>
      <c r="K2716" s="81" t="s">
        <v>187</v>
      </c>
      <c r="L2716" s="81" t="s">
        <v>187</v>
      </c>
    </row>
    <row r="2717" ht="15.75" customHeight="1">
      <c r="A2717" s="262"/>
      <c r="B2717" s="262"/>
      <c r="C2717" s="263"/>
      <c r="D2717" s="262"/>
      <c r="E2717" s="81" t="s">
        <v>187</v>
      </c>
      <c r="F2717" s="81" t="s">
        <v>187</v>
      </c>
      <c r="G2717" s="81" t="s">
        <v>187</v>
      </c>
      <c r="H2717" s="81" t="s">
        <v>187</v>
      </c>
      <c r="I2717" s="81" t="s">
        <v>187</v>
      </c>
      <c r="J2717" s="81" t="s">
        <v>187</v>
      </c>
      <c r="K2717" s="81" t="s">
        <v>187</v>
      </c>
      <c r="L2717" s="81" t="s">
        <v>187</v>
      </c>
    </row>
    <row r="2718" ht="15.75" customHeight="1">
      <c r="A2718" s="262"/>
      <c r="B2718" s="262"/>
      <c r="C2718" s="263"/>
      <c r="D2718" s="262"/>
      <c r="E2718" s="81" t="s">
        <v>187</v>
      </c>
      <c r="F2718" s="81" t="s">
        <v>187</v>
      </c>
      <c r="G2718" s="81" t="s">
        <v>187</v>
      </c>
      <c r="H2718" s="81" t="s">
        <v>187</v>
      </c>
      <c r="I2718" s="81" t="s">
        <v>187</v>
      </c>
      <c r="J2718" s="81" t="s">
        <v>187</v>
      </c>
      <c r="K2718" s="81" t="s">
        <v>187</v>
      </c>
      <c r="L2718" s="81" t="s">
        <v>187</v>
      </c>
    </row>
    <row r="2719" ht="15.75" customHeight="1">
      <c r="A2719" s="262"/>
      <c r="B2719" s="262"/>
      <c r="C2719" s="263"/>
      <c r="D2719" s="262"/>
      <c r="E2719" s="81" t="s">
        <v>187</v>
      </c>
      <c r="F2719" s="81" t="s">
        <v>187</v>
      </c>
      <c r="G2719" s="81" t="s">
        <v>187</v>
      </c>
      <c r="H2719" s="81" t="s">
        <v>187</v>
      </c>
      <c r="I2719" s="81" t="s">
        <v>187</v>
      </c>
      <c r="J2719" s="81" t="s">
        <v>187</v>
      </c>
      <c r="K2719" s="81" t="s">
        <v>187</v>
      </c>
      <c r="L2719" s="81" t="s">
        <v>187</v>
      </c>
    </row>
    <row r="2720" ht="15.75" customHeight="1">
      <c r="A2720" s="262"/>
      <c r="B2720" s="262"/>
      <c r="C2720" s="263"/>
      <c r="D2720" s="262"/>
      <c r="E2720" s="81" t="s">
        <v>187</v>
      </c>
      <c r="F2720" s="81" t="s">
        <v>187</v>
      </c>
      <c r="G2720" s="81" t="s">
        <v>187</v>
      </c>
      <c r="H2720" s="81" t="s">
        <v>187</v>
      </c>
      <c r="I2720" s="81" t="s">
        <v>187</v>
      </c>
      <c r="J2720" s="81" t="s">
        <v>187</v>
      </c>
      <c r="K2720" s="81" t="s">
        <v>187</v>
      </c>
      <c r="L2720" s="81" t="s">
        <v>187</v>
      </c>
    </row>
    <row r="2721" ht="15.75" customHeight="1">
      <c r="A2721" s="262"/>
      <c r="B2721" s="262"/>
      <c r="C2721" s="263"/>
      <c r="D2721" s="262"/>
      <c r="E2721" s="81" t="s">
        <v>187</v>
      </c>
      <c r="F2721" s="81" t="s">
        <v>187</v>
      </c>
      <c r="G2721" s="81" t="s">
        <v>187</v>
      </c>
      <c r="H2721" s="81" t="s">
        <v>187</v>
      </c>
      <c r="I2721" s="81" t="s">
        <v>187</v>
      </c>
      <c r="J2721" s="81" t="s">
        <v>187</v>
      </c>
      <c r="K2721" s="81" t="s">
        <v>187</v>
      </c>
      <c r="L2721" s="81" t="s">
        <v>187</v>
      </c>
    </row>
    <row r="2722" ht="15.75" customHeight="1">
      <c r="A2722" s="262"/>
      <c r="B2722" s="262"/>
      <c r="C2722" s="263"/>
      <c r="D2722" s="262"/>
      <c r="E2722" s="81" t="s">
        <v>187</v>
      </c>
      <c r="F2722" s="81" t="s">
        <v>187</v>
      </c>
      <c r="G2722" s="81" t="s">
        <v>187</v>
      </c>
      <c r="H2722" s="81" t="s">
        <v>187</v>
      </c>
      <c r="I2722" s="81" t="s">
        <v>187</v>
      </c>
      <c r="J2722" s="81" t="s">
        <v>187</v>
      </c>
      <c r="K2722" s="81" t="s">
        <v>187</v>
      </c>
      <c r="L2722" s="81" t="s">
        <v>187</v>
      </c>
    </row>
    <row r="2723" ht="15.75" customHeight="1">
      <c r="A2723" s="262"/>
      <c r="B2723" s="262"/>
      <c r="C2723" s="263"/>
      <c r="D2723" s="262"/>
      <c r="E2723" s="81" t="s">
        <v>187</v>
      </c>
      <c r="F2723" s="81" t="s">
        <v>187</v>
      </c>
      <c r="G2723" s="81" t="s">
        <v>187</v>
      </c>
      <c r="H2723" s="81" t="s">
        <v>187</v>
      </c>
      <c r="I2723" s="81" t="s">
        <v>187</v>
      </c>
      <c r="J2723" s="81" t="s">
        <v>187</v>
      </c>
      <c r="K2723" s="81" t="s">
        <v>187</v>
      </c>
      <c r="L2723" s="81" t="s">
        <v>187</v>
      </c>
    </row>
    <row r="2724" ht="15.75" customHeight="1">
      <c r="A2724" s="262"/>
      <c r="B2724" s="262"/>
      <c r="C2724" s="263"/>
      <c r="D2724" s="262"/>
      <c r="E2724" s="81" t="s">
        <v>187</v>
      </c>
      <c r="F2724" s="81" t="s">
        <v>187</v>
      </c>
      <c r="G2724" s="81" t="s">
        <v>187</v>
      </c>
      <c r="H2724" s="81" t="s">
        <v>187</v>
      </c>
      <c r="I2724" s="81" t="s">
        <v>187</v>
      </c>
      <c r="J2724" s="81" t="s">
        <v>187</v>
      </c>
      <c r="K2724" s="81" t="s">
        <v>187</v>
      </c>
      <c r="L2724" s="81" t="s">
        <v>187</v>
      </c>
    </row>
    <row r="2725" ht="15.75" customHeight="1">
      <c r="A2725" s="262"/>
      <c r="B2725" s="262"/>
      <c r="C2725" s="263"/>
      <c r="D2725" s="262"/>
      <c r="E2725" s="81" t="s">
        <v>187</v>
      </c>
      <c r="F2725" s="81" t="s">
        <v>187</v>
      </c>
      <c r="G2725" s="81" t="s">
        <v>187</v>
      </c>
      <c r="H2725" s="81" t="s">
        <v>187</v>
      </c>
      <c r="I2725" s="81" t="s">
        <v>187</v>
      </c>
      <c r="J2725" s="81" t="s">
        <v>187</v>
      </c>
      <c r="K2725" s="81" t="s">
        <v>187</v>
      </c>
      <c r="L2725" s="81" t="s">
        <v>187</v>
      </c>
    </row>
    <row r="2726" ht="15.75" customHeight="1">
      <c r="A2726" s="262"/>
      <c r="B2726" s="262"/>
      <c r="C2726" s="263"/>
      <c r="D2726" s="262"/>
      <c r="E2726" s="81" t="s">
        <v>187</v>
      </c>
      <c r="F2726" s="81" t="s">
        <v>187</v>
      </c>
      <c r="G2726" s="81" t="s">
        <v>187</v>
      </c>
      <c r="H2726" s="81" t="s">
        <v>187</v>
      </c>
      <c r="I2726" s="81" t="s">
        <v>187</v>
      </c>
      <c r="J2726" s="81" t="s">
        <v>187</v>
      </c>
      <c r="K2726" s="81" t="s">
        <v>187</v>
      </c>
      <c r="L2726" s="81" t="s">
        <v>187</v>
      </c>
    </row>
    <row r="2727" ht="15.75" customHeight="1">
      <c r="A2727" s="262"/>
      <c r="B2727" s="262"/>
      <c r="C2727" s="263"/>
      <c r="D2727" s="262"/>
      <c r="E2727" s="81" t="s">
        <v>187</v>
      </c>
      <c r="F2727" s="81" t="s">
        <v>187</v>
      </c>
      <c r="G2727" s="81" t="s">
        <v>187</v>
      </c>
      <c r="H2727" s="81" t="s">
        <v>187</v>
      </c>
      <c r="I2727" s="81" t="s">
        <v>187</v>
      </c>
      <c r="J2727" s="81" t="s">
        <v>187</v>
      </c>
      <c r="K2727" s="81" t="s">
        <v>187</v>
      </c>
      <c r="L2727" s="81" t="s">
        <v>187</v>
      </c>
    </row>
    <row r="2728" ht="15.75" customHeight="1">
      <c r="A2728" s="262"/>
      <c r="B2728" s="262"/>
      <c r="C2728" s="263"/>
      <c r="D2728" s="262"/>
      <c r="E2728" s="81" t="s">
        <v>187</v>
      </c>
      <c r="F2728" s="81" t="s">
        <v>187</v>
      </c>
      <c r="G2728" s="81" t="s">
        <v>187</v>
      </c>
      <c r="H2728" s="81" t="s">
        <v>187</v>
      </c>
      <c r="I2728" s="81" t="s">
        <v>187</v>
      </c>
      <c r="J2728" s="81" t="s">
        <v>187</v>
      </c>
      <c r="K2728" s="81" t="s">
        <v>187</v>
      </c>
      <c r="L2728" s="81" t="s">
        <v>187</v>
      </c>
    </row>
    <row r="2729" ht="15.75" customHeight="1">
      <c r="A2729" s="262"/>
      <c r="B2729" s="262"/>
      <c r="C2729" s="263"/>
      <c r="D2729" s="262"/>
      <c r="E2729" s="81" t="s">
        <v>187</v>
      </c>
      <c r="F2729" s="81" t="s">
        <v>187</v>
      </c>
      <c r="G2729" s="81" t="s">
        <v>187</v>
      </c>
      <c r="H2729" s="81" t="s">
        <v>187</v>
      </c>
      <c r="I2729" s="81" t="s">
        <v>187</v>
      </c>
      <c r="J2729" s="81" t="s">
        <v>187</v>
      </c>
      <c r="K2729" s="81" t="s">
        <v>187</v>
      </c>
      <c r="L2729" s="81" t="s">
        <v>187</v>
      </c>
    </row>
    <row r="2730" ht="15.75" customHeight="1">
      <c r="A2730" s="262"/>
      <c r="B2730" s="262"/>
      <c r="C2730" s="263"/>
      <c r="D2730" s="262"/>
      <c r="E2730" s="81" t="s">
        <v>187</v>
      </c>
      <c r="F2730" s="81" t="s">
        <v>187</v>
      </c>
      <c r="G2730" s="81" t="s">
        <v>187</v>
      </c>
      <c r="H2730" s="81" t="s">
        <v>187</v>
      </c>
      <c r="I2730" s="81" t="s">
        <v>187</v>
      </c>
      <c r="J2730" s="81" t="s">
        <v>187</v>
      </c>
      <c r="K2730" s="81" t="s">
        <v>187</v>
      </c>
      <c r="L2730" s="81" t="s">
        <v>187</v>
      </c>
    </row>
    <row r="2731" ht="15.75" customHeight="1">
      <c r="A2731" s="262"/>
      <c r="B2731" s="262"/>
      <c r="C2731" s="263"/>
      <c r="D2731" s="262"/>
      <c r="E2731" s="81" t="s">
        <v>187</v>
      </c>
      <c r="F2731" s="81" t="s">
        <v>187</v>
      </c>
      <c r="G2731" s="81" t="s">
        <v>187</v>
      </c>
      <c r="H2731" s="81" t="s">
        <v>187</v>
      </c>
      <c r="I2731" s="81" t="s">
        <v>187</v>
      </c>
      <c r="J2731" s="81" t="s">
        <v>187</v>
      </c>
      <c r="K2731" s="81" t="s">
        <v>187</v>
      </c>
      <c r="L2731" s="81" t="s">
        <v>187</v>
      </c>
    </row>
    <row r="2732" ht="15.75" customHeight="1">
      <c r="A2732" s="262"/>
      <c r="B2732" s="262"/>
      <c r="C2732" s="263"/>
      <c r="D2732" s="262"/>
      <c r="E2732" s="81" t="s">
        <v>187</v>
      </c>
      <c r="F2732" s="81" t="s">
        <v>187</v>
      </c>
      <c r="G2732" s="81" t="s">
        <v>187</v>
      </c>
      <c r="H2732" s="81" t="s">
        <v>187</v>
      </c>
      <c r="I2732" s="81" t="s">
        <v>187</v>
      </c>
      <c r="J2732" s="81" t="s">
        <v>187</v>
      </c>
      <c r="K2732" s="81" t="s">
        <v>187</v>
      </c>
      <c r="L2732" s="81" t="s">
        <v>187</v>
      </c>
    </row>
    <row r="2733" ht="15.75" customHeight="1">
      <c r="A2733" s="262"/>
      <c r="B2733" s="262"/>
      <c r="C2733" s="263"/>
      <c r="D2733" s="262"/>
      <c r="E2733" s="81" t="s">
        <v>187</v>
      </c>
      <c r="F2733" s="81" t="s">
        <v>187</v>
      </c>
      <c r="G2733" s="81" t="s">
        <v>187</v>
      </c>
      <c r="H2733" s="81" t="s">
        <v>187</v>
      </c>
      <c r="I2733" s="81" t="s">
        <v>187</v>
      </c>
      <c r="J2733" s="81" t="s">
        <v>187</v>
      </c>
      <c r="K2733" s="81" t="s">
        <v>187</v>
      </c>
      <c r="L2733" s="81" t="s">
        <v>187</v>
      </c>
    </row>
    <row r="2734" ht="15.75" customHeight="1">
      <c r="A2734" s="262"/>
      <c r="B2734" s="262"/>
      <c r="C2734" s="263"/>
      <c r="D2734" s="262"/>
      <c r="E2734" s="81" t="s">
        <v>187</v>
      </c>
      <c r="F2734" s="81" t="s">
        <v>187</v>
      </c>
      <c r="G2734" s="81" t="s">
        <v>187</v>
      </c>
      <c r="H2734" s="81" t="s">
        <v>187</v>
      </c>
      <c r="I2734" s="81" t="s">
        <v>187</v>
      </c>
      <c r="J2734" s="81" t="s">
        <v>187</v>
      </c>
      <c r="K2734" s="81" t="s">
        <v>187</v>
      </c>
      <c r="L2734" s="81" t="s">
        <v>187</v>
      </c>
    </row>
    <row r="2735" ht="15.75" customHeight="1">
      <c r="A2735" s="262"/>
      <c r="B2735" s="262"/>
      <c r="C2735" s="263"/>
      <c r="D2735" s="262"/>
      <c r="E2735" s="81" t="s">
        <v>187</v>
      </c>
      <c r="F2735" s="81" t="s">
        <v>187</v>
      </c>
      <c r="G2735" s="81" t="s">
        <v>187</v>
      </c>
      <c r="H2735" s="81" t="s">
        <v>187</v>
      </c>
      <c r="I2735" s="81" t="s">
        <v>187</v>
      </c>
      <c r="J2735" s="81" t="s">
        <v>187</v>
      </c>
      <c r="K2735" s="81" t="s">
        <v>187</v>
      </c>
      <c r="L2735" s="81" t="s">
        <v>187</v>
      </c>
    </row>
    <row r="2736" ht="15.75" customHeight="1">
      <c r="A2736" s="262"/>
      <c r="B2736" s="262"/>
      <c r="C2736" s="263"/>
      <c r="D2736" s="262"/>
      <c r="E2736" s="81" t="s">
        <v>187</v>
      </c>
      <c r="F2736" s="81" t="s">
        <v>187</v>
      </c>
      <c r="G2736" s="81" t="s">
        <v>187</v>
      </c>
      <c r="H2736" s="81" t="s">
        <v>187</v>
      </c>
      <c r="I2736" s="81" t="s">
        <v>187</v>
      </c>
      <c r="J2736" s="81" t="s">
        <v>187</v>
      </c>
      <c r="K2736" s="81" t="s">
        <v>187</v>
      </c>
      <c r="L2736" s="81" t="s">
        <v>187</v>
      </c>
    </row>
    <row r="2737" ht="15.75" customHeight="1">
      <c r="A2737" s="262"/>
      <c r="B2737" s="262"/>
      <c r="C2737" s="263"/>
      <c r="D2737" s="262"/>
      <c r="E2737" s="81" t="s">
        <v>187</v>
      </c>
      <c r="F2737" s="81" t="s">
        <v>187</v>
      </c>
      <c r="G2737" s="81" t="s">
        <v>187</v>
      </c>
      <c r="H2737" s="81" t="s">
        <v>187</v>
      </c>
      <c r="I2737" s="81" t="s">
        <v>187</v>
      </c>
      <c r="J2737" s="81" t="s">
        <v>187</v>
      </c>
      <c r="K2737" s="81" t="s">
        <v>187</v>
      </c>
      <c r="L2737" s="81" t="s">
        <v>187</v>
      </c>
    </row>
    <row r="2738" ht="15.75" customHeight="1">
      <c r="A2738" s="262"/>
      <c r="B2738" s="262"/>
      <c r="C2738" s="263"/>
      <c r="D2738" s="262"/>
      <c r="E2738" s="81" t="s">
        <v>187</v>
      </c>
      <c r="F2738" s="81" t="s">
        <v>187</v>
      </c>
      <c r="G2738" s="81" t="s">
        <v>187</v>
      </c>
      <c r="H2738" s="81" t="s">
        <v>187</v>
      </c>
      <c r="I2738" s="81" t="s">
        <v>187</v>
      </c>
      <c r="J2738" s="81" t="s">
        <v>187</v>
      </c>
      <c r="K2738" s="81" t="s">
        <v>187</v>
      </c>
      <c r="L2738" s="81" t="s">
        <v>187</v>
      </c>
    </row>
    <row r="2739" ht="15.75" customHeight="1">
      <c r="A2739" s="262"/>
      <c r="B2739" s="262"/>
      <c r="C2739" s="263"/>
      <c r="D2739" s="262"/>
      <c r="E2739" s="81" t="s">
        <v>187</v>
      </c>
      <c r="F2739" s="81" t="s">
        <v>187</v>
      </c>
      <c r="G2739" s="81" t="s">
        <v>187</v>
      </c>
      <c r="H2739" s="81" t="s">
        <v>187</v>
      </c>
      <c r="I2739" s="81" t="s">
        <v>187</v>
      </c>
      <c r="J2739" s="81" t="s">
        <v>187</v>
      </c>
      <c r="K2739" s="81" t="s">
        <v>187</v>
      </c>
      <c r="L2739" s="81" t="s">
        <v>187</v>
      </c>
    </row>
    <row r="2740" ht="15.75" customHeight="1">
      <c r="A2740" s="262"/>
      <c r="B2740" s="262"/>
      <c r="C2740" s="263"/>
      <c r="D2740" s="262"/>
      <c r="E2740" s="81" t="s">
        <v>187</v>
      </c>
      <c r="F2740" s="81" t="s">
        <v>187</v>
      </c>
      <c r="G2740" s="81" t="s">
        <v>187</v>
      </c>
      <c r="H2740" s="81" t="s">
        <v>187</v>
      </c>
      <c r="I2740" s="81" t="s">
        <v>187</v>
      </c>
      <c r="J2740" s="81" t="s">
        <v>187</v>
      </c>
      <c r="K2740" s="81" t="s">
        <v>187</v>
      </c>
      <c r="L2740" s="81" t="s">
        <v>187</v>
      </c>
    </row>
    <row r="2741" ht="15.75" customHeight="1">
      <c r="A2741" s="262"/>
      <c r="B2741" s="262"/>
      <c r="C2741" s="263"/>
      <c r="D2741" s="262"/>
      <c r="E2741" s="81" t="s">
        <v>187</v>
      </c>
      <c r="F2741" s="81" t="s">
        <v>187</v>
      </c>
      <c r="G2741" s="81" t="s">
        <v>187</v>
      </c>
      <c r="H2741" s="81" t="s">
        <v>187</v>
      </c>
      <c r="I2741" s="81" t="s">
        <v>187</v>
      </c>
      <c r="J2741" s="81" t="s">
        <v>187</v>
      </c>
      <c r="K2741" s="81" t="s">
        <v>187</v>
      </c>
      <c r="L2741" s="81" t="s">
        <v>187</v>
      </c>
    </row>
    <row r="2742" ht="15.75" customHeight="1">
      <c r="A2742" s="262"/>
      <c r="B2742" s="262"/>
      <c r="C2742" s="263"/>
      <c r="D2742" s="262"/>
      <c r="E2742" s="81" t="s">
        <v>187</v>
      </c>
      <c r="F2742" s="81" t="s">
        <v>187</v>
      </c>
      <c r="G2742" s="81" t="s">
        <v>187</v>
      </c>
      <c r="H2742" s="81" t="s">
        <v>187</v>
      </c>
      <c r="I2742" s="81" t="s">
        <v>187</v>
      </c>
      <c r="J2742" s="81" t="s">
        <v>187</v>
      </c>
      <c r="K2742" s="81" t="s">
        <v>187</v>
      </c>
      <c r="L2742" s="81" t="s">
        <v>187</v>
      </c>
    </row>
    <row r="2743" ht="15.75" customHeight="1">
      <c r="A2743" s="262"/>
      <c r="B2743" s="262"/>
      <c r="C2743" s="263"/>
      <c r="D2743" s="262"/>
      <c r="E2743" s="81" t="s">
        <v>187</v>
      </c>
      <c r="F2743" s="81" t="s">
        <v>187</v>
      </c>
      <c r="G2743" s="81" t="s">
        <v>187</v>
      </c>
      <c r="H2743" s="81" t="s">
        <v>187</v>
      </c>
      <c r="I2743" s="81" t="s">
        <v>187</v>
      </c>
      <c r="J2743" s="81" t="s">
        <v>187</v>
      </c>
      <c r="K2743" s="81" t="s">
        <v>187</v>
      </c>
      <c r="L2743" s="81" t="s">
        <v>187</v>
      </c>
    </row>
    <row r="2744" ht="15.75" customHeight="1">
      <c r="A2744" s="262"/>
      <c r="B2744" s="262"/>
      <c r="C2744" s="263"/>
      <c r="D2744" s="262"/>
      <c r="E2744" s="81" t="s">
        <v>187</v>
      </c>
      <c r="F2744" s="81" t="s">
        <v>187</v>
      </c>
      <c r="G2744" s="81" t="s">
        <v>187</v>
      </c>
      <c r="H2744" s="81" t="s">
        <v>187</v>
      </c>
      <c r="I2744" s="81" t="s">
        <v>187</v>
      </c>
      <c r="J2744" s="81" t="s">
        <v>187</v>
      </c>
      <c r="K2744" s="81" t="s">
        <v>187</v>
      </c>
      <c r="L2744" s="81" t="s">
        <v>187</v>
      </c>
    </row>
    <row r="2745" ht="15.75" customHeight="1">
      <c r="A2745" s="262"/>
      <c r="B2745" s="262"/>
      <c r="C2745" s="263"/>
      <c r="D2745" s="262"/>
      <c r="E2745" s="81" t="s">
        <v>187</v>
      </c>
      <c r="F2745" s="81" t="s">
        <v>187</v>
      </c>
      <c r="G2745" s="81" t="s">
        <v>187</v>
      </c>
      <c r="H2745" s="81" t="s">
        <v>187</v>
      </c>
      <c r="I2745" s="81" t="s">
        <v>187</v>
      </c>
      <c r="J2745" s="81" t="s">
        <v>187</v>
      </c>
      <c r="K2745" s="81" t="s">
        <v>187</v>
      </c>
      <c r="L2745" s="81" t="s">
        <v>187</v>
      </c>
    </row>
    <row r="2746" ht="15.75" customHeight="1">
      <c r="A2746" s="262"/>
      <c r="B2746" s="262"/>
      <c r="C2746" s="263"/>
      <c r="D2746" s="262"/>
      <c r="E2746" s="81" t="s">
        <v>187</v>
      </c>
      <c r="F2746" s="81" t="s">
        <v>187</v>
      </c>
      <c r="G2746" s="81" t="s">
        <v>187</v>
      </c>
      <c r="H2746" s="81" t="s">
        <v>187</v>
      </c>
      <c r="I2746" s="81" t="s">
        <v>187</v>
      </c>
      <c r="J2746" s="81" t="s">
        <v>187</v>
      </c>
      <c r="K2746" s="81" t="s">
        <v>187</v>
      </c>
      <c r="L2746" s="81" t="s">
        <v>187</v>
      </c>
    </row>
    <row r="2747" ht="15.75" customHeight="1">
      <c r="A2747" s="262"/>
      <c r="B2747" s="262"/>
      <c r="C2747" s="263"/>
      <c r="D2747" s="262"/>
      <c r="E2747" s="81" t="s">
        <v>187</v>
      </c>
      <c r="F2747" s="81" t="s">
        <v>187</v>
      </c>
      <c r="G2747" s="81" t="s">
        <v>187</v>
      </c>
      <c r="H2747" s="81" t="s">
        <v>187</v>
      </c>
      <c r="I2747" s="81" t="s">
        <v>187</v>
      </c>
      <c r="J2747" s="81" t="s">
        <v>187</v>
      </c>
      <c r="K2747" s="81" t="s">
        <v>187</v>
      </c>
      <c r="L2747" s="81" t="s">
        <v>187</v>
      </c>
    </row>
    <row r="2748" ht="15.75" customHeight="1">
      <c r="A2748" s="262"/>
      <c r="B2748" s="262"/>
      <c r="C2748" s="263"/>
      <c r="D2748" s="262"/>
      <c r="E2748" s="81" t="s">
        <v>187</v>
      </c>
      <c r="F2748" s="81" t="s">
        <v>187</v>
      </c>
      <c r="G2748" s="81" t="s">
        <v>187</v>
      </c>
      <c r="H2748" s="81" t="s">
        <v>187</v>
      </c>
      <c r="I2748" s="81" t="s">
        <v>187</v>
      </c>
      <c r="J2748" s="81" t="s">
        <v>187</v>
      </c>
      <c r="K2748" s="81" t="s">
        <v>187</v>
      </c>
      <c r="L2748" s="81" t="s">
        <v>187</v>
      </c>
    </row>
    <row r="2749" ht="15.75" customHeight="1">
      <c r="A2749" s="262"/>
      <c r="B2749" s="262"/>
      <c r="C2749" s="263"/>
      <c r="D2749" s="262"/>
      <c r="E2749" s="81" t="s">
        <v>187</v>
      </c>
      <c r="F2749" s="81" t="s">
        <v>187</v>
      </c>
      <c r="G2749" s="81" t="s">
        <v>187</v>
      </c>
      <c r="H2749" s="81" t="s">
        <v>187</v>
      </c>
      <c r="I2749" s="81" t="s">
        <v>187</v>
      </c>
      <c r="J2749" s="81" t="s">
        <v>187</v>
      </c>
      <c r="K2749" s="81" t="s">
        <v>187</v>
      </c>
      <c r="L2749" s="81" t="s">
        <v>187</v>
      </c>
    </row>
    <row r="2750" ht="15.75" customHeight="1">
      <c r="A2750" s="262"/>
      <c r="B2750" s="262"/>
      <c r="C2750" s="263"/>
      <c r="D2750" s="262"/>
      <c r="E2750" s="81" t="s">
        <v>187</v>
      </c>
      <c r="F2750" s="81" t="s">
        <v>187</v>
      </c>
      <c r="G2750" s="81" t="s">
        <v>187</v>
      </c>
      <c r="H2750" s="81" t="s">
        <v>187</v>
      </c>
      <c r="I2750" s="81" t="s">
        <v>187</v>
      </c>
      <c r="J2750" s="81" t="s">
        <v>187</v>
      </c>
      <c r="K2750" s="81" t="s">
        <v>187</v>
      </c>
      <c r="L2750" s="81" t="s">
        <v>187</v>
      </c>
    </row>
    <row r="2751" ht="15.75" customHeight="1">
      <c r="A2751" s="262"/>
      <c r="B2751" s="262"/>
      <c r="C2751" s="263"/>
      <c r="D2751" s="262"/>
      <c r="E2751" s="81" t="s">
        <v>187</v>
      </c>
      <c r="F2751" s="81" t="s">
        <v>187</v>
      </c>
      <c r="G2751" s="81" t="s">
        <v>187</v>
      </c>
      <c r="H2751" s="81" t="s">
        <v>187</v>
      </c>
      <c r="I2751" s="81" t="s">
        <v>187</v>
      </c>
      <c r="J2751" s="81" t="s">
        <v>187</v>
      </c>
      <c r="K2751" s="81" t="s">
        <v>187</v>
      </c>
      <c r="L2751" s="81" t="s">
        <v>187</v>
      </c>
    </row>
    <row r="2752" ht="15.75" customHeight="1">
      <c r="A2752" s="262"/>
      <c r="B2752" s="262"/>
      <c r="C2752" s="263"/>
      <c r="D2752" s="262"/>
      <c r="E2752" s="81" t="s">
        <v>187</v>
      </c>
      <c r="F2752" s="81" t="s">
        <v>187</v>
      </c>
      <c r="G2752" s="81" t="s">
        <v>187</v>
      </c>
      <c r="H2752" s="81" t="s">
        <v>187</v>
      </c>
      <c r="I2752" s="81" t="s">
        <v>187</v>
      </c>
      <c r="J2752" s="81" t="s">
        <v>187</v>
      </c>
      <c r="K2752" s="81" t="s">
        <v>187</v>
      </c>
      <c r="L2752" s="81" t="s">
        <v>187</v>
      </c>
    </row>
    <row r="2753" ht="15.75" customHeight="1">
      <c r="A2753" s="262"/>
      <c r="B2753" s="262"/>
      <c r="C2753" s="263"/>
      <c r="D2753" s="262"/>
      <c r="E2753" s="81" t="s">
        <v>187</v>
      </c>
      <c r="F2753" s="81" t="s">
        <v>187</v>
      </c>
      <c r="G2753" s="81" t="s">
        <v>187</v>
      </c>
      <c r="H2753" s="81" t="s">
        <v>187</v>
      </c>
      <c r="I2753" s="81" t="s">
        <v>187</v>
      </c>
      <c r="J2753" s="81" t="s">
        <v>187</v>
      </c>
      <c r="K2753" s="81" t="s">
        <v>187</v>
      </c>
      <c r="L2753" s="81" t="s">
        <v>187</v>
      </c>
    </row>
    <row r="2754" ht="15.75" customHeight="1">
      <c r="A2754" s="262"/>
      <c r="B2754" s="262"/>
      <c r="C2754" s="263"/>
      <c r="D2754" s="262"/>
      <c r="E2754" s="81" t="s">
        <v>187</v>
      </c>
      <c r="F2754" s="81" t="s">
        <v>187</v>
      </c>
      <c r="G2754" s="81" t="s">
        <v>187</v>
      </c>
      <c r="H2754" s="81" t="s">
        <v>187</v>
      </c>
      <c r="I2754" s="81" t="s">
        <v>187</v>
      </c>
      <c r="J2754" s="81" t="s">
        <v>187</v>
      </c>
      <c r="K2754" s="81" t="s">
        <v>187</v>
      </c>
      <c r="L2754" s="81" t="s">
        <v>187</v>
      </c>
    </row>
    <row r="2755" ht="15.75" customHeight="1">
      <c r="A2755" s="262"/>
      <c r="B2755" s="262"/>
      <c r="C2755" s="263"/>
      <c r="D2755" s="262"/>
      <c r="E2755" s="81" t="s">
        <v>187</v>
      </c>
      <c r="F2755" s="81" t="s">
        <v>187</v>
      </c>
      <c r="G2755" s="81" t="s">
        <v>187</v>
      </c>
      <c r="H2755" s="81" t="s">
        <v>187</v>
      </c>
      <c r="I2755" s="81" t="s">
        <v>187</v>
      </c>
      <c r="J2755" s="81" t="s">
        <v>187</v>
      </c>
      <c r="K2755" s="81" t="s">
        <v>187</v>
      </c>
      <c r="L2755" s="81" t="s">
        <v>187</v>
      </c>
    </row>
    <row r="2756" ht="15.75" customHeight="1">
      <c r="A2756" s="262"/>
      <c r="B2756" s="262"/>
      <c r="C2756" s="263"/>
      <c r="D2756" s="262"/>
      <c r="E2756" s="81" t="s">
        <v>187</v>
      </c>
      <c r="F2756" s="81" t="s">
        <v>187</v>
      </c>
      <c r="G2756" s="81" t="s">
        <v>187</v>
      </c>
      <c r="H2756" s="81" t="s">
        <v>187</v>
      </c>
      <c r="I2756" s="81" t="s">
        <v>187</v>
      </c>
      <c r="J2756" s="81" t="s">
        <v>187</v>
      </c>
      <c r="K2756" s="81" t="s">
        <v>187</v>
      </c>
      <c r="L2756" s="81" t="s">
        <v>187</v>
      </c>
    </row>
    <row r="2757" ht="15.75" customHeight="1">
      <c r="A2757" s="262"/>
      <c r="B2757" s="262"/>
      <c r="C2757" s="263"/>
      <c r="D2757" s="262"/>
      <c r="E2757" s="81" t="s">
        <v>187</v>
      </c>
      <c r="F2757" s="81" t="s">
        <v>187</v>
      </c>
      <c r="G2757" s="81" t="s">
        <v>187</v>
      </c>
      <c r="H2757" s="81" t="s">
        <v>187</v>
      </c>
      <c r="I2757" s="81" t="s">
        <v>187</v>
      </c>
      <c r="J2757" s="81" t="s">
        <v>187</v>
      </c>
      <c r="K2757" s="81" t="s">
        <v>187</v>
      </c>
      <c r="L2757" s="81" t="s">
        <v>187</v>
      </c>
    </row>
    <row r="2758" ht="15.75" customHeight="1">
      <c r="A2758" s="262"/>
      <c r="B2758" s="262"/>
      <c r="C2758" s="263"/>
      <c r="D2758" s="262"/>
      <c r="E2758" s="81" t="s">
        <v>187</v>
      </c>
      <c r="F2758" s="81" t="s">
        <v>187</v>
      </c>
      <c r="G2758" s="81" t="s">
        <v>187</v>
      </c>
      <c r="H2758" s="81" t="s">
        <v>187</v>
      </c>
      <c r="I2758" s="81" t="s">
        <v>187</v>
      </c>
      <c r="J2758" s="81" t="s">
        <v>187</v>
      </c>
      <c r="K2758" s="81" t="s">
        <v>187</v>
      </c>
      <c r="L2758" s="81" t="s">
        <v>187</v>
      </c>
    </row>
    <row r="2759" ht="15.75" customHeight="1">
      <c r="A2759" s="262"/>
      <c r="B2759" s="262"/>
      <c r="C2759" s="263"/>
      <c r="D2759" s="262"/>
      <c r="E2759" s="81" t="s">
        <v>187</v>
      </c>
      <c r="F2759" s="81" t="s">
        <v>187</v>
      </c>
      <c r="G2759" s="81" t="s">
        <v>187</v>
      </c>
      <c r="H2759" s="81" t="s">
        <v>187</v>
      </c>
      <c r="I2759" s="81" t="s">
        <v>187</v>
      </c>
      <c r="J2759" s="81" t="s">
        <v>187</v>
      </c>
      <c r="K2759" s="81" t="s">
        <v>187</v>
      </c>
      <c r="L2759" s="81" t="s">
        <v>187</v>
      </c>
    </row>
    <row r="2760" ht="15.75" customHeight="1">
      <c r="A2760" s="262"/>
      <c r="B2760" s="262"/>
      <c r="C2760" s="263"/>
      <c r="D2760" s="262"/>
      <c r="E2760" s="81" t="s">
        <v>187</v>
      </c>
      <c r="F2760" s="81" t="s">
        <v>187</v>
      </c>
      <c r="G2760" s="81" t="s">
        <v>187</v>
      </c>
      <c r="H2760" s="81" t="s">
        <v>187</v>
      </c>
      <c r="I2760" s="81" t="s">
        <v>187</v>
      </c>
      <c r="J2760" s="81" t="s">
        <v>187</v>
      </c>
      <c r="K2760" s="81" t="s">
        <v>187</v>
      </c>
      <c r="L2760" s="81" t="s">
        <v>187</v>
      </c>
    </row>
    <row r="2761" ht="15.75" customHeight="1">
      <c r="A2761" s="262"/>
      <c r="B2761" s="262"/>
      <c r="C2761" s="263"/>
      <c r="D2761" s="262"/>
      <c r="E2761" s="81" t="s">
        <v>187</v>
      </c>
      <c r="F2761" s="81" t="s">
        <v>187</v>
      </c>
      <c r="G2761" s="81" t="s">
        <v>187</v>
      </c>
      <c r="H2761" s="81" t="s">
        <v>187</v>
      </c>
      <c r="I2761" s="81" t="s">
        <v>187</v>
      </c>
      <c r="J2761" s="81" t="s">
        <v>187</v>
      </c>
      <c r="K2761" s="81" t="s">
        <v>187</v>
      </c>
      <c r="L2761" s="81" t="s">
        <v>187</v>
      </c>
    </row>
    <row r="2762" ht="15.75" customHeight="1">
      <c r="A2762" s="262"/>
      <c r="B2762" s="262"/>
      <c r="C2762" s="263"/>
      <c r="D2762" s="262"/>
      <c r="E2762" s="81" t="s">
        <v>187</v>
      </c>
      <c r="F2762" s="81" t="s">
        <v>187</v>
      </c>
      <c r="G2762" s="81" t="s">
        <v>187</v>
      </c>
      <c r="H2762" s="81" t="s">
        <v>187</v>
      </c>
      <c r="I2762" s="81" t="s">
        <v>187</v>
      </c>
      <c r="J2762" s="81" t="s">
        <v>187</v>
      </c>
      <c r="K2762" s="81" t="s">
        <v>187</v>
      </c>
      <c r="L2762" s="81" t="s">
        <v>187</v>
      </c>
    </row>
    <row r="2763" ht="15.75" customHeight="1">
      <c r="A2763" s="262"/>
      <c r="B2763" s="262"/>
      <c r="C2763" s="263"/>
      <c r="D2763" s="262"/>
      <c r="E2763" s="81" t="s">
        <v>187</v>
      </c>
      <c r="F2763" s="81" t="s">
        <v>187</v>
      </c>
      <c r="G2763" s="81" t="s">
        <v>187</v>
      </c>
      <c r="H2763" s="81" t="s">
        <v>187</v>
      </c>
      <c r="I2763" s="81" t="s">
        <v>187</v>
      </c>
      <c r="J2763" s="81" t="s">
        <v>187</v>
      </c>
      <c r="K2763" s="81" t="s">
        <v>187</v>
      </c>
      <c r="L2763" s="81" t="s">
        <v>187</v>
      </c>
    </row>
    <row r="2764" ht="15.75" customHeight="1">
      <c r="A2764" s="262"/>
      <c r="B2764" s="262"/>
      <c r="C2764" s="263"/>
      <c r="D2764" s="262"/>
      <c r="E2764" s="81" t="s">
        <v>187</v>
      </c>
      <c r="F2764" s="81" t="s">
        <v>187</v>
      </c>
      <c r="G2764" s="81" t="s">
        <v>187</v>
      </c>
      <c r="H2764" s="81" t="s">
        <v>187</v>
      </c>
      <c r="I2764" s="81" t="s">
        <v>187</v>
      </c>
      <c r="J2764" s="81" t="s">
        <v>187</v>
      </c>
      <c r="K2764" s="81" t="s">
        <v>187</v>
      </c>
      <c r="L2764" s="81" t="s">
        <v>187</v>
      </c>
    </row>
    <row r="2765" ht="15.75" customHeight="1">
      <c r="A2765" s="262"/>
      <c r="B2765" s="262"/>
      <c r="C2765" s="263"/>
      <c r="D2765" s="262"/>
      <c r="E2765" s="81" t="s">
        <v>187</v>
      </c>
      <c r="F2765" s="81" t="s">
        <v>187</v>
      </c>
      <c r="G2765" s="81" t="s">
        <v>187</v>
      </c>
      <c r="H2765" s="81" t="s">
        <v>187</v>
      </c>
      <c r="I2765" s="81" t="s">
        <v>187</v>
      </c>
      <c r="J2765" s="81" t="s">
        <v>187</v>
      </c>
      <c r="K2765" s="81" t="s">
        <v>187</v>
      </c>
      <c r="L2765" s="81" t="s">
        <v>187</v>
      </c>
    </row>
    <row r="2766" ht="15.75" customHeight="1">
      <c r="A2766" s="262"/>
      <c r="B2766" s="262"/>
      <c r="C2766" s="263"/>
      <c r="D2766" s="262"/>
      <c r="E2766" s="81" t="s">
        <v>187</v>
      </c>
      <c r="F2766" s="81" t="s">
        <v>187</v>
      </c>
      <c r="G2766" s="81" t="s">
        <v>187</v>
      </c>
      <c r="H2766" s="81" t="s">
        <v>187</v>
      </c>
      <c r="I2766" s="81" t="s">
        <v>187</v>
      </c>
      <c r="J2766" s="81" t="s">
        <v>187</v>
      </c>
      <c r="K2766" s="81" t="s">
        <v>187</v>
      </c>
      <c r="L2766" s="81" t="s">
        <v>187</v>
      </c>
    </row>
    <row r="2767" ht="15.75" customHeight="1">
      <c r="A2767" s="262"/>
      <c r="B2767" s="262"/>
      <c r="C2767" s="263"/>
      <c r="D2767" s="262"/>
      <c r="E2767" s="81" t="s">
        <v>187</v>
      </c>
      <c r="F2767" s="81" t="s">
        <v>187</v>
      </c>
      <c r="G2767" s="81" t="s">
        <v>187</v>
      </c>
      <c r="H2767" s="81" t="s">
        <v>187</v>
      </c>
      <c r="I2767" s="81" t="s">
        <v>187</v>
      </c>
      <c r="J2767" s="81" t="s">
        <v>187</v>
      </c>
      <c r="K2767" s="81" t="s">
        <v>187</v>
      </c>
      <c r="L2767" s="81" t="s">
        <v>187</v>
      </c>
    </row>
    <row r="2768" ht="15.75" customHeight="1">
      <c r="A2768" s="262"/>
      <c r="B2768" s="262"/>
      <c r="C2768" s="263"/>
      <c r="D2768" s="262"/>
      <c r="E2768" s="81" t="s">
        <v>187</v>
      </c>
      <c r="F2768" s="81" t="s">
        <v>187</v>
      </c>
      <c r="G2768" s="81" t="s">
        <v>187</v>
      </c>
      <c r="H2768" s="81" t="s">
        <v>187</v>
      </c>
      <c r="I2768" s="81" t="s">
        <v>187</v>
      </c>
      <c r="J2768" s="81" t="s">
        <v>187</v>
      </c>
      <c r="K2768" s="81" t="s">
        <v>187</v>
      </c>
      <c r="L2768" s="81" t="s">
        <v>187</v>
      </c>
    </row>
    <row r="2769" ht="15.75" customHeight="1">
      <c r="A2769" s="262"/>
      <c r="B2769" s="262"/>
      <c r="C2769" s="263"/>
      <c r="D2769" s="262"/>
      <c r="E2769" s="81" t="s">
        <v>187</v>
      </c>
      <c r="F2769" s="81" t="s">
        <v>187</v>
      </c>
      <c r="G2769" s="81" t="s">
        <v>187</v>
      </c>
      <c r="H2769" s="81" t="s">
        <v>187</v>
      </c>
      <c r="I2769" s="81" t="s">
        <v>187</v>
      </c>
      <c r="J2769" s="81" t="s">
        <v>187</v>
      </c>
      <c r="K2769" s="81" t="s">
        <v>187</v>
      </c>
      <c r="L2769" s="81" t="s">
        <v>187</v>
      </c>
    </row>
    <row r="2770" ht="15.75" customHeight="1">
      <c r="A2770" s="262"/>
      <c r="B2770" s="262"/>
      <c r="C2770" s="263"/>
      <c r="D2770" s="262"/>
      <c r="E2770" s="81" t="s">
        <v>187</v>
      </c>
      <c r="F2770" s="81" t="s">
        <v>187</v>
      </c>
      <c r="G2770" s="81" t="s">
        <v>187</v>
      </c>
      <c r="H2770" s="81" t="s">
        <v>187</v>
      </c>
      <c r="I2770" s="81" t="s">
        <v>187</v>
      </c>
      <c r="J2770" s="81" t="s">
        <v>187</v>
      </c>
      <c r="K2770" s="81" t="s">
        <v>187</v>
      </c>
      <c r="L2770" s="81" t="s">
        <v>187</v>
      </c>
    </row>
    <row r="2771" ht="15.75" customHeight="1">
      <c r="A2771" s="262"/>
      <c r="B2771" s="262"/>
      <c r="C2771" s="263"/>
      <c r="D2771" s="262"/>
      <c r="E2771" s="81" t="s">
        <v>187</v>
      </c>
      <c r="F2771" s="81" t="s">
        <v>187</v>
      </c>
      <c r="G2771" s="81" t="s">
        <v>187</v>
      </c>
      <c r="H2771" s="81" t="s">
        <v>187</v>
      </c>
      <c r="I2771" s="81" t="s">
        <v>187</v>
      </c>
      <c r="J2771" s="81" t="s">
        <v>187</v>
      </c>
      <c r="K2771" s="81" t="s">
        <v>187</v>
      </c>
      <c r="L2771" s="81" t="s">
        <v>187</v>
      </c>
    </row>
    <row r="2772" ht="15.75" customHeight="1">
      <c r="A2772" s="262"/>
      <c r="B2772" s="262"/>
      <c r="C2772" s="263"/>
      <c r="D2772" s="262"/>
      <c r="E2772" s="81" t="s">
        <v>187</v>
      </c>
      <c r="F2772" s="81" t="s">
        <v>187</v>
      </c>
      <c r="G2772" s="81" t="s">
        <v>187</v>
      </c>
      <c r="H2772" s="81" t="s">
        <v>187</v>
      </c>
      <c r="I2772" s="81" t="s">
        <v>187</v>
      </c>
      <c r="J2772" s="81" t="s">
        <v>187</v>
      </c>
      <c r="K2772" s="81" t="s">
        <v>187</v>
      </c>
      <c r="L2772" s="81" t="s">
        <v>187</v>
      </c>
    </row>
    <row r="2773" ht="15.75" customHeight="1">
      <c r="A2773" s="262"/>
      <c r="B2773" s="262"/>
      <c r="C2773" s="263"/>
      <c r="D2773" s="262"/>
      <c r="E2773" s="81" t="s">
        <v>187</v>
      </c>
      <c r="F2773" s="81" t="s">
        <v>187</v>
      </c>
      <c r="G2773" s="81" t="s">
        <v>187</v>
      </c>
      <c r="H2773" s="81" t="s">
        <v>187</v>
      </c>
      <c r="I2773" s="81" t="s">
        <v>187</v>
      </c>
      <c r="J2773" s="81" t="s">
        <v>187</v>
      </c>
      <c r="K2773" s="81" t="s">
        <v>187</v>
      </c>
      <c r="L2773" s="81" t="s">
        <v>187</v>
      </c>
    </row>
    <row r="2774" ht="15.75" customHeight="1">
      <c r="A2774" s="262"/>
      <c r="B2774" s="262"/>
      <c r="C2774" s="263"/>
      <c r="D2774" s="262"/>
      <c r="E2774" s="81" t="s">
        <v>187</v>
      </c>
      <c r="F2774" s="81" t="s">
        <v>187</v>
      </c>
      <c r="G2774" s="81" t="s">
        <v>187</v>
      </c>
      <c r="H2774" s="81" t="s">
        <v>187</v>
      </c>
      <c r="I2774" s="81" t="s">
        <v>187</v>
      </c>
      <c r="J2774" s="81" t="s">
        <v>187</v>
      </c>
      <c r="K2774" s="81" t="s">
        <v>187</v>
      </c>
      <c r="L2774" s="81" t="s">
        <v>187</v>
      </c>
    </row>
    <row r="2775" ht="15.75" customHeight="1">
      <c r="A2775" s="262"/>
      <c r="B2775" s="262"/>
      <c r="C2775" s="263"/>
      <c r="D2775" s="262"/>
      <c r="E2775" s="81" t="s">
        <v>187</v>
      </c>
      <c r="F2775" s="81" t="s">
        <v>187</v>
      </c>
      <c r="G2775" s="81" t="s">
        <v>187</v>
      </c>
      <c r="H2775" s="81" t="s">
        <v>187</v>
      </c>
      <c r="I2775" s="81" t="s">
        <v>187</v>
      </c>
      <c r="J2775" s="81" t="s">
        <v>187</v>
      </c>
      <c r="K2775" s="81" t="s">
        <v>187</v>
      </c>
      <c r="L2775" s="81" t="s">
        <v>187</v>
      </c>
    </row>
    <row r="2776" ht="15.75" customHeight="1">
      <c r="A2776" s="262"/>
      <c r="B2776" s="262"/>
      <c r="C2776" s="263"/>
      <c r="D2776" s="262"/>
      <c r="E2776" s="81" t="s">
        <v>187</v>
      </c>
      <c r="F2776" s="81" t="s">
        <v>187</v>
      </c>
      <c r="G2776" s="81" t="s">
        <v>187</v>
      </c>
      <c r="H2776" s="81" t="s">
        <v>187</v>
      </c>
      <c r="I2776" s="81" t="s">
        <v>187</v>
      </c>
      <c r="J2776" s="81" t="s">
        <v>187</v>
      </c>
      <c r="K2776" s="81" t="s">
        <v>187</v>
      </c>
      <c r="L2776" s="81" t="s">
        <v>187</v>
      </c>
    </row>
    <row r="2777" ht="15.75" customHeight="1">
      <c r="A2777" s="262"/>
      <c r="B2777" s="262"/>
      <c r="C2777" s="263"/>
      <c r="D2777" s="262"/>
      <c r="E2777" s="81" t="s">
        <v>187</v>
      </c>
      <c r="F2777" s="81" t="s">
        <v>187</v>
      </c>
      <c r="G2777" s="81" t="s">
        <v>187</v>
      </c>
      <c r="H2777" s="81" t="s">
        <v>187</v>
      </c>
      <c r="I2777" s="81" t="s">
        <v>187</v>
      </c>
      <c r="J2777" s="81" t="s">
        <v>187</v>
      </c>
      <c r="K2777" s="81" t="s">
        <v>187</v>
      </c>
      <c r="L2777" s="81" t="s">
        <v>187</v>
      </c>
    </row>
    <row r="2778" ht="15.75" customHeight="1">
      <c r="A2778" s="262"/>
      <c r="B2778" s="262"/>
      <c r="C2778" s="263"/>
      <c r="D2778" s="262"/>
      <c r="E2778" s="81" t="s">
        <v>187</v>
      </c>
      <c r="F2778" s="81" t="s">
        <v>187</v>
      </c>
      <c r="G2778" s="81" t="s">
        <v>187</v>
      </c>
      <c r="H2778" s="81" t="s">
        <v>187</v>
      </c>
      <c r="I2778" s="81" t="s">
        <v>187</v>
      </c>
      <c r="J2778" s="81" t="s">
        <v>187</v>
      </c>
      <c r="K2778" s="81" t="s">
        <v>187</v>
      </c>
      <c r="L2778" s="81" t="s">
        <v>187</v>
      </c>
    </row>
    <row r="2779" ht="15.75" customHeight="1">
      <c r="A2779" s="262"/>
      <c r="B2779" s="262"/>
      <c r="C2779" s="263"/>
      <c r="D2779" s="262"/>
      <c r="E2779" s="81" t="s">
        <v>187</v>
      </c>
      <c r="F2779" s="81" t="s">
        <v>187</v>
      </c>
      <c r="G2779" s="81" t="s">
        <v>187</v>
      </c>
      <c r="H2779" s="81" t="s">
        <v>187</v>
      </c>
      <c r="I2779" s="81" t="s">
        <v>187</v>
      </c>
      <c r="J2779" s="81" t="s">
        <v>187</v>
      </c>
      <c r="K2779" s="81" t="s">
        <v>187</v>
      </c>
      <c r="L2779" s="81" t="s">
        <v>187</v>
      </c>
    </row>
    <row r="2780" ht="15.75" customHeight="1">
      <c r="A2780" s="262"/>
      <c r="B2780" s="262"/>
      <c r="C2780" s="263"/>
      <c r="D2780" s="262"/>
      <c r="E2780" s="81" t="s">
        <v>187</v>
      </c>
      <c r="F2780" s="81" t="s">
        <v>187</v>
      </c>
      <c r="G2780" s="81" t="s">
        <v>187</v>
      </c>
      <c r="H2780" s="81" t="s">
        <v>187</v>
      </c>
      <c r="I2780" s="81" t="s">
        <v>187</v>
      </c>
      <c r="J2780" s="81" t="s">
        <v>187</v>
      </c>
      <c r="K2780" s="81" t="s">
        <v>187</v>
      </c>
      <c r="L2780" s="81" t="s">
        <v>187</v>
      </c>
    </row>
    <row r="2781" ht="15.75" customHeight="1">
      <c r="A2781" s="262"/>
      <c r="B2781" s="262"/>
      <c r="C2781" s="263"/>
      <c r="D2781" s="262"/>
      <c r="E2781" s="81" t="s">
        <v>187</v>
      </c>
      <c r="F2781" s="81" t="s">
        <v>187</v>
      </c>
      <c r="G2781" s="81" t="s">
        <v>187</v>
      </c>
      <c r="H2781" s="81" t="s">
        <v>187</v>
      </c>
      <c r="I2781" s="81" t="s">
        <v>187</v>
      </c>
      <c r="J2781" s="81" t="s">
        <v>187</v>
      </c>
      <c r="K2781" s="81" t="s">
        <v>187</v>
      </c>
      <c r="L2781" s="81" t="s">
        <v>187</v>
      </c>
    </row>
    <row r="2782" ht="15.75" customHeight="1">
      <c r="A2782" s="262"/>
      <c r="B2782" s="262"/>
      <c r="C2782" s="263"/>
      <c r="D2782" s="262"/>
      <c r="E2782" s="81" t="s">
        <v>187</v>
      </c>
      <c r="F2782" s="81" t="s">
        <v>187</v>
      </c>
      <c r="G2782" s="81" t="s">
        <v>187</v>
      </c>
      <c r="H2782" s="81" t="s">
        <v>187</v>
      </c>
      <c r="I2782" s="81" t="s">
        <v>187</v>
      </c>
      <c r="J2782" s="81" t="s">
        <v>187</v>
      </c>
      <c r="K2782" s="81" t="s">
        <v>187</v>
      </c>
      <c r="L2782" s="81" t="s">
        <v>187</v>
      </c>
    </row>
    <row r="2783" ht="15.75" customHeight="1">
      <c r="A2783" s="262"/>
      <c r="B2783" s="262"/>
      <c r="C2783" s="263"/>
      <c r="D2783" s="262"/>
      <c r="E2783" s="81" t="s">
        <v>187</v>
      </c>
      <c r="F2783" s="81" t="s">
        <v>187</v>
      </c>
      <c r="G2783" s="81" t="s">
        <v>187</v>
      </c>
      <c r="H2783" s="81" t="s">
        <v>187</v>
      </c>
      <c r="I2783" s="81" t="s">
        <v>187</v>
      </c>
      <c r="J2783" s="81" t="s">
        <v>187</v>
      </c>
      <c r="K2783" s="81" t="s">
        <v>187</v>
      </c>
      <c r="L2783" s="81" t="s">
        <v>187</v>
      </c>
    </row>
    <row r="2784" ht="15.75" customHeight="1">
      <c r="A2784" s="262"/>
      <c r="B2784" s="262"/>
      <c r="C2784" s="263"/>
      <c r="D2784" s="262"/>
      <c r="E2784" s="81" t="s">
        <v>187</v>
      </c>
      <c r="F2784" s="81" t="s">
        <v>187</v>
      </c>
      <c r="G2784" s="81" t="s">
        <v>187</v>
      </c>
      <c r="H2784" s="81" t="s">
        <v>187</v>
      </c>
      <c r="I2784" s="81" t="s">
        <v>187</v>
      </c>
      <c r="J2784" s="81" t="s">
        <v>187</v>
      </c>
      <c r="K2784" s="81" t="s">
        <v>187</v>
      </c>
      <c r="L2784" s="81" t="s">
        <v>187</v>
      </c>
    </row>
    <row r="2785" ht="15.75" customHeight="1">
      <c r="A2785" s="262"/>
      <c r="B2785" s="262"/>
      <c r="C2785" s="263"/>
      <c r="D2785" s="262"/>
      <c r="E2785" s="81" t="s">
        <v>187</v>
      </c>
      <c r="F2785" s="81" t="s">
        <v>187</v>
      </c>
      <c r="G2785" s="81" t="s">
        <v>187</v>
      </c>
      <c r="H2785" s="81" t="s">
        <v>187</v>
      </c>
      <c r="I2785" s="81" t="s">
        <v>187</v>
      </c>
      <c r="J2785" s="81" t="s">
        <v>187</v>
      </c>
      <c r="K2785" s="81" t="s">
        <v>187</v>
      </c>
      <c r="L2785" s="81" t="s">
        <v>187</v>
      </c>
    </row>
    <row r="2786" ht="15.75" customHeight="1">
      <c r="A2786" s="262"/>
      <c r="B2786" s="262"/>
      <c r="C2786" s="263"/>
      <c r="D2786" s="262"/>
      <c r="E2786" s="81" t="s">
        <v>187</v>
      </c>
      <c r="F2786" s="81" t="s">
        <v>187</v>
      </c>
      <c r="G2786" s="81" t="s">
        <v>187</v>
      </c>
      <c r="H2786" s="81" t="s">
        <v>187</v>
      </c>
      <c r="I2786" s="81" t="s">
        <v>187</v>
      </c>
      <c r="J2786" s="81" t="s">
        <v>187</v>
      </c>
      <c r="K2786" s="81" t="s">
        <v>187</v>
      </c>
      <c r="L2786" s="81" t="s">
        <v>187</v>
      </c>
    </row>
    <row r="2787" ht="15.75" customHeight="1">
      <c r="A2787" s="262"/>
      <c r="B2787" s="262"/>
      <c r="C2787" s="263"/>
      <c r="D2787" s="262"/>
      <c r="E2787" s="81" t="s">
        <v>187</v>
      </c>
      <c r="F2787" s="81" t="s">
        <v>187</v>
      </c>
      <c r="G2787" s="81" t="s">
        <v>187</v>
      </c>
      <c r="H2787" s="81" t="s">
        <v>187</v>
      </c>
      <c r="I2787" s="81" t="s">
        <v>187</v>
      </c>
      <c r="J2787" s="81" t="s">
        <v>187</v>
      </c>
      <c r="K2787" s="81" t="s">
        <v>187</v>
      </c>
      <c r="L2787" s="81" t="s">
        <v>187</v>
      </c>
    </row>
    <row r="2788" ht="15.75" customHeight="1">
      <c r="A2788" s="262"/>
      <c r="B2788" s="262"/>
      <c r="C2788" s="263"/>
      <c r="D2788" s="262"/>
      <c r="E2788" s="81" t="s">
        <v>187</v>
      </c>
      <c r="F2788" s="81" t="s">
        <v>187</v>
      </c>
      <c r="G2788" s="81" t="s">
        <v>187</v>
      </c>
      <c r="H2788" s="81" t="s">
        <v>187</v>
      </c>
      <c r="I2788" s="81" t="s">
        <v>187</v>
      </c>
      <c r="J2788" s="81" t="s">
        <v>187</v>
      </c>
      <c r="K2788" s="81" t="s">
        <v>187</v>
      </c>
      <c r="L2788" s="81" t="s">
        <v>187</v>
      </c>
    </row>
    <row r="2789" ht="15.75" customHeight="1">
      <c r="A2789" s="262"/>
      <c r="B2789" s="262"/>
      <c r="C2789" s="263"/>
      <c r="D2789" s="262"/>
      <c r="E2789" s="81" t="s">
        <v>187</v>
      </c>
      <c r="F2789" s="81" t="s">
        <v>187</v>
      </c>
      <c r="G2789" s="81" t="s">
        <v>187</v>
      </c>
      <c r="H2789" s="81" t="s">
        <v>187</v>
      </c>
      <c r="I2789" s="81" t="s">
        <v>187</v>
      </c>
      <c r="J2789" s="81" t="s">
        <v>187</v>
      </c>
      <c r="K2789" s="81" t="s">
        <v>187</v>
      </c>
      <c r="L2789" s="81" t="s">
        <v>187</v>
      </c>
    </row>
    <row r="2790" ht="15.75" customHeight="1">
      <c r="A2790" s="262"/>
      <c r="B2790" s="262"/>
      <c r="C2790" s="263"/>
      <c r="D2790" s="262"/>
      <c r="E2790" s="81" t="s">
        <v>187</v>
      </c>
      <c r="F2790" s="81" t="s">
        <v>187</v>
      </c>
      <c r="G2790" s="81" t="s">
        <v>187</v>
      </c>
      <c r="H2790" s="81" t="s">
        <v>187</v>
      </c>
      <c r="I2790" s="81" t="s">
        <v>187</v>
      </c>
      <c r="J2790" s="81" t="s">
        <v>187</v>
      </c>
      <c r="K2790" s="81" t="s">
        <v>187</v>
      </c>
      <c r="L2790" s="81" t="s">
        <v>187</v>
      </c>
    </row>
    <row r="2791" ht="15.75" customHeight="1">
      <c r="A2791" s="262"/>
      <c r="B2791" s="262"/>
      <c r="C2791" s="263"/>
      <c r="D2791" s="262"/>
      <c r="E2791" s="81" t="s">
        <v>187</v>
      </c>
      <c r="F2791" s="81" t="s">
        <v>187</v>
      </c>
      <c r="G2791" s="81" t="s">
        <v>187</v>
      </c>
      <c r="H2791" s="81" t="s">
        <v>187</v>
      </c>
      <c r="I2791" s="81" t="s">
        <v>187</v>
      </c>
      <c r="J2791" s="81" t="s">
        <v>187</v>
      </c>
      <c r="K2791" s="81" t="s">
        <v>187</v>
      </c>
      <c r="L2791" s="81" t="s">
        <v>187</v>
      </c>
    </row>
    <row r="2792" ht="15.75" customHeight="1">
      <c r="A2792" s="262"/>
      <c r="B2792" s="262"/>
      <c r="C2792" s="263"/>
      <c r="D2792" s="262"/>
      <c r="E2792" s="81" t="s">
        <v>187</v>
      </c>
      <c r="F2792" s="81" t="s">
        <v>187</v>
      </c>
      <c r="G2792" s="81" t="s">
        <v>187</v>
      </c>
      <c r="H2792" s="81" t="s">
        <v>187</v>
      </c>
      <c r="I2792" s="81" t="s">
        <v>187</v>
      </c>
      <c r="J2792" s="81" t="s">
        <v>187</v>
      </c>
      <c r="K2792" s="81" t="s">
        <v>187</v>
      </c>
      <c r="L2792" s="81" t="s">
        <v>187</v>
      </c>
    </row>
    <row r="2793" ht="15.75" customHeight="1">
      <c r="A2793" s="262"/>
      <c r="B2793" s="262"/>
      <c r="C2793" s="263"/>
      <c r="D2793" s="262"/>
      <c r="E2793" s="81" t="s">
        <v>187</v>
      </c>
      <c r="F2793" s="81" t="s">
        <v>187</v>
      </c>
      <c r="G2793" s="81" t="s">
        <v>187</v>
      </c>
      <c r="H2793" s="81" t="s">
        <v>187</v>
      </c>
      <c r="I2793" s="81" t="s">
        <v>187</v>
      </c>
      <c r="J2793" s="81" t="s">
        <v>187</v>
      </c>
      <c r="K2793" s="81" t="s">
        <v>187</v>
      </c>
      <c r="L2793" s="81" t="s">
        <v>187</v>
      </c>
    </row>
    <row r="2794" ht="15.75" customHeight="1">
      <c r="A2794" s="262"/>
      <c r="B2794" s="262"/>
      <c r="C2794" s="263"/>
      <c r="D2794" s="262"/>
      <c r="E2794" s="81" t="s">
        <v>187</v>
      </c>
      <c r="F2794" s="81" t="s">
        <v>187</v>
      </c>
      <c r="G2794" s="81" t="s">
        <v>187</v>
      </c>
      <c r="H2794" s="81" t="s">
        <v>187</v>
      </c>
      <c r="I2794" s="81" t="s">
        <v>187</v>
      </c>
      <c r="J2794" s="81" t="s">
        <v>187</v>
      </c>
      <c r="K2794" s="81" t="s">
        <v>187</v>
      </c>
      <c r="L2794" s="81" t="s">
        <v>187</v>
      </c>
    </row>
    <row r="2795" ht="15.75" customHeight="1">
      <c r="A2795" s="262"/>
      <c r="B2795" s="262"/>
      <c r="C2795" s="263"/>
      <c r="D2795" s="262"/>
      <c r="E2795" s="81" t="s">
        <v>187</v>
      </c>
      <c r="F2795" s="81" t="s">
        <v>187</v>
      </c>
      <c r="G2795" s="81" t="s">
        <v>187</v>
      </c>
      <c r="H2795" s="81" t="s">
        <v>187</v>
      </c>
      <c r="I2795" s="81" t="s">
        <v>187</v>
      </c>
      <c r="J2795" s="81" t="s">
        <v>187</v>
      </c>
      <c r="K2795" s="81" t="s">
        <v>187</v>
      </c>
      <c r="L2795" s="81" t="s">
        <v>187</v>
      </c>
    </row>
    <row r="2796" ht="15.75" customHeight="1">
      <c r="A2796" s="262"/>
      <c r="B2796" s="262"/>
      <c r="C2796" s="263"/>
      <c r="D2796" s="262"/>
      <c r="E2796" s="81" t="s">
        <v>187</v>
      </c>
      <c r="F2796" s="81" t="s">
        <v>187</v>
      </c>
      <c r="G2796" s="81" t="s">
        <v>187</v>
      </c>
      <c r="H2796" s="81" t="s">
        <v>187</v>
      </c>
      <c r="I2796" s="81" t="s">
        <v>187</v>
      </c>
      <c r="J2796" s="81" t="s">
        <v>187</v>
      </c>
      <c r="K2796" s="81" t="s">
        <v>187</v>
      </c>
      <c r="L2796" s="81" t="s">
        <v>187</v>
      </c>
    </row>
    <row r="2797" ht="15.75" customHeight="1">
      <c r="A2797" s="262"/>
      <c r="B2797" s="262"/>
      <c r="C2797" s="263"/>
      <c r="D2797" s="262"/>
      <c r="E2797" s="81" t="s">
        <v>187</v>
      </c>
      <c r="F2797" s="81" t="s">
        <v>187</v>
      </c>
      <c r="G2797" s="81" t="s">
        <v>187</v>
      </c>
      <c r="H2797" s="81" t="s">
        <v>187</v>
      </c>
      <c r="I2797" s="81" t="s">
        <v>187</v>
      </c>
      <c r="J2797" s="81" t="s">
        <v>187</v>
      </c>
      <c r="K2797" s="81" t="s">
        <v>187</v>
      </c>
      <c r="L2797" s="81" t="s">
        <v>187</v>
      </c>
    </row>
    <row r="2798" ht="15.75" customHeight="1">
      <c r="A2798" s="262"/>
      <c r="B2798" s="262"/>
      <c r="C2798" s="263"/>
      <c r="D2798" s="262"/>
      <c r="E2798" s="81" t="s">
        <v>187</v>
      </c>
      <c r="F2798" s="81" t="s">
        <v>187</v>
      </c>
      <c r="G2798" s="81" t="s">
        <v>187</v>
      </c>
      <c r="H2798" s="81" t="s">
        <v>187</v>
      </c>
      <c r="I2798" s="81" t="s">
        <v>187</v>
      </c>
      <c r="J2798" s="81" t="s">
        <v>187</v>
      </c>
      <c r="K2798" s="81" t="s">
        <v>187</v>
      </c>
      <c r="L2798" s="81" t="s">
        <v>187</v>
      </c>
    </row>
    <row r="2799" ht="15.75" customHeight="1">
      <c r="A2799" s="262"/>
      <c r="B2799" s="262"/>
      <c r="C2799" s="263"/>
      <c r="D2799" s="262"/>
      <c r="E2799" s="81" t="s">
        <v>187</v>
      </c>
      <c r="F2799" s="81" t="s">
        <v>187</v>
      </c>
      <c r="G2799" s="81" t="s">
        <v>187</v>
      </c>
      <c r="H2799" s="81" t="s">
        <v>187</v>
      </c>
      <c r="I2799" s="81" t="s">
        <v>187</v>
      </c>
      <c r="J2799" s="81" t="s">
        <v>187</v>
      </c>
      <c r="K2799" s="81" t="s">
        <v>187</v>
      </c>
      <c r="L2799" s="81" t="s">
        <v>187</v>
      </c>
    </row>
    <row r="2800" ht="15.75" customHeight="1">
      <c r="A2800" s="262"/>
      <c r="B2800" s="262"/>
      <c r="C2800" s="263"/>
      <c r="D2800" s="262"/>
      <c r="E2800" s="81" t="s">
        <v>187</v>
      </c>
      <c r="F2800" s="81" t="s">
        <v>187</v>
      </c>
      <c r="G2800" s="81" t="s">
        <v>187</v>
      </c>
      <c r="H2800" s="81" t="s">
        <v>187</v>
      </c>
      <c r="I2800" s="81" t="s">
        <v>187</v>
      </c>
      <c r="J2800" s="81" t="s">
        <v>187</v>
      </c>
      <c r="K2800" s="81" t="s">
        <v>187</v>
      </c>
      <c r="L2800" s="81" t="s">
        <v>187</v>
      </c>
    </row>
    <row r="2801" ht="15.75" customHeight="1">
      <c r="A2801" s="262"/>
      <c r="B2801" s="262"/>
      <c r="C2801" s="263"/>
      <c r="D2801" s="262"/>
      <c r="E2801" s="81" t="s">
        <v>187</v>
      </c>
      <c r="F2801" s="81" t="s">
        <v>187</v>
      </c>
      <c r="G2801" s="81" t="s">
        <v>187</v>
      </c>
      <c r="H2801" s="81" t="s">
        <v>187</v>
      </c>
      <c r="I2801" s="81" t="s">
        <v>187</v>
      </c>
      <c r="J2801" s="81" t="s">
        <v>187</v>
      </c>
      <c r="K2801" s="81" t="s">
        <v>187</v>
      </c>
      <c r="L2801" s="81" t="s">
        <v>187</v>
      </c>
    </row>
    <row r="2802" ht="15.75" customHeight="1">
      <c r="A2802" s="262"/>
      <c r="B2802" s="262"/>
      <c r="C2802" s="263"/>
      <c r="D2802" s="262"/>
      <c r="E2802" s="81" t="s">
        <v>187</v>
      </c>
      <c r="F2802" s="81" t="s">
        <v>187</v>
      </c>
      <c r="G2802" s="81" t="s">
        <v>187</v>
      </c>
      <c r="H2802" s="81" t="s">
        <v>187</v>
      </c>
      <c r="I2802" s="81" t="s">
        <v>187</v>
      </c>
      <c r="J2802" s="81" t="s">
        <v>187</v>
      </c>
      <c r="K2802" s="81" t="s">
        <v>187</v>
      </c>
      <c r="L2802" s="81" t="s">
        <v>187</v>
      </c>
    </row>
    <row r="2803" ht="15.75" customHeight="1">
      <c r="A2803" s="262"/>
      <c r="B2803" s="262"/>
      <c r="C2803" s="263"/>
      <c r="D2803" s="262"/>
      <c r="E2803" s="81" t="s">
        <v>187</v>
      </c>
      <c r="F2803" s="81" t="s">
        <v>187</v>
      </c>
      <c r="G2803" s="81" t="s">
        <v>187</v>
      </c>
      <c r="H2803" s="81" t="s">
        <v>187</v>
      </c>
      <c r="I2803" s="81" t="s">
        <v>187</v>
      </c>
      <c r="J2803" s="81" t="s">
        <v>187</v>
      </c>
      <c r="K2803" s="81" t="s">
        <v>187</v>
      </c>
      <c r="L2803" s="81" t="s">
        <v>187</v>
      </c>
    </row>
    <row r="2804" ht="15.75" customHeight="1">
      <c r="A2804" s="262"/>
      <c r="B2804" s="262"/>
      <c r="C2804" s="263"/>
      <c r="D2804" s="262"/>
      <c r="E2804" s="81" t="s">
        <v>187</v>
      </c>
      <c r="F2804" s="81" t="s">
        <v>187</v>
      </c>
      <c r="G2804" s="81" t="s">
        <v>187</v>
      </c>
      <c r="H2804" s="81" t="s">
        <v>187</v>
      </c>
      <c r="I2804" s="81" t="s">
        <v>187</v>
      </c>
      <c r="J2804" s="81" t="s">
        <v>187</v>
      </c>
      <c r="K2804" s="81" t="s">
        <v>187</v>
      </c>
      <c r="L2804" s="81" t="s">
        <v>187</v>
      </c>
    </row>
    <row r="2805" ht="15.75" customHeight="1">
      <c r="A2805" s="262"/>
      <c r="B2805" s="262"/>
      <c r="C2805" s="263"/>
      <c r="D2805" s="262"/>
      <c r="E2805" s="81" t="s">
        <v>187</v>
      </c>
      <c r="F2805" s="81" t="s">
        <v>187</v>
      </c>
      <c r="G2805" s="81" t="s">
        <v>187</v>
      </c>
      <c r="H2805" s="81" t="s">
        <v>187</v>
      </c>
      <c r="I2805" s="81" t="s">
        <v>187</v>
      </c>
      <c r="J2805" s="81" t="s">
        <v>187</v>
      </c>
      <c r="K2805" s="81" t="s">
        <v>187</v>
      </c>
      <c r="L2805" s="81" t="s">
        <v>187</v>
      </c>
    </row>
    <row r="2806" ht="15.75" customHeight="1">
      <c r="A2806" s="262"/>
      <c r="B2806" s="262"/>
      <c r="C2806" s="263"/>
      <c r="D2806" s="262"/>
      <c r="E2806" s="81" t="s">
        <v>187</v>
      </c>
      <c r="F2806" s="81" t="s">
        <v>187</v>
      </c>
      <c r="G2806" s="81" t="s">
        <v>187</v>
      </c>
      <c r="H2806" s="81" t="s">
        <v>187</v>
      </c>
      <c r="I2806" s="81" t="s">
        <v>187</v>
      </c>
      <c r="J2806" s="81" t="s">
        <v>187</v>
      </c>
      <c r="K2806" s="81" t="s">
        <v>187</v>
      </c>
      <c r="L2806" s="81" t="s">
        <v>187</v>
      </c>
    </row>
    <row r="2807" ht="15.75" customHeight="1">
      <c r="A2807" s="262"/>
      <c r="B2807" s="262"/>
      <c r="C2807" s="263"/>
      <c r="D2807" s="262"/>
      <c r="E2807" s="81" t="s">
        <v>187</v>
      </c>
      <c r="F2807" s="81" t="s">
        <v>187</v>
      </c>
      <c r="G2807" s="81" t="s">
        <v>187</v>
      </c>
      <c r="H2807" s="81" t="s">
        <v>187</v>
      </c>
      <c r="I2807" s="81" t="s">
        <v>187</v>
      </c>
      <c r="J2807" s="81" t="s">
        <v>187</v>
      </c>
      <c r="K2807" s="81" t="s">
        <v>187</v>
      </c>
      <c r="L2807" s="81" t="s">
        <v>187</v>
      </c>
    </row>
    <row r="2808" ht="15.75" customHeight="1">
      <c r="A2808" s="262"/>
      <c r="B2808" s="262"/>
      <c r="C2808" s="263"/>
      <c r="D2808" s="262"/>
      <c r="E2808" s="81" t="s">
        <v>187</v>
      </c>
      <c r="F2808" s="81" t="s">
        <v>187</v>
      </c>
      <c r="G2808" s="81" t="s">
        <v>187</v>
      </c>
      <c r="H2808" s="81" t="s">
        <v>187</v>
      </c>
      <c r="I2808" s="81" t="s">
        <v>187</v>
      </c>
      <c r="J2808" s="81" t="s">
        <v>187</v>
      </c>
      <c r="K2808" s="81" t="s">
        <v>187</v>
      </c>
      <c r="L2808" s="81" t="s">
        <v>187</v>
      </c>
    </row>
    <row r="2809" ht="15.75" customHeight="1">
      <c r="A2809" s="262"/>
      <c r="B2809" s="262"/>
      <c r="C2809" s="263"/>
      <c r="D2809" s="262"/>
      <c r="E2809" s="81" t="s">
        <v>187</v>
      </c>
      <c r="F2809" s="81" t="s">
        <v>187</v>
      </c>
      <c r="G2809" s="81" t="s">
        <v>187</v>
      </c>
      <c r="H2809" s="81" t="s">
        <v>187</v>
      </c>
      <c r="I2809" s="81" t="s">
        <v>187</v>
      </c>
      <c r="J2809" s="81" t="s">
        <v>187</v>
      </c>
      <c r="K2809" s="81" t="s">
        <v>187</v>
      </c>
      <c r="L2809" s="81" t="s">
        <v>187</v>
      </c>
    </row>
    <row r="2810" ht="15.75" customHeight="1">
      <c r="A2810" s="262"/>
      <c r="B2810" s="262"/>
      <c r="C2810" s="263"/>
      <c r="D2810" s="262"/>
      <c r="E2810" s="81" t="s">
        <v>187</v>
      </c>
      <c r="F2810" s="81" t="s">
        <v>187</v>
      </c>
      <c r="G2810" s="81" t="s">
        <v>187</v>
      </c>
      <c r="H2810" s="81" t="s">
        <v>187</v>
      </c>
      <c r="I2810" s="81" t="s">
        <v>187</v>
      </c>
      <c r="J2810" s="81" t="s">
        <v>187</v>
      </c>
      <c r="K2810" s="81" t="s">
        <v>187</v>
      </c>
      <c r="L2810" s="81" t="s">
        <v>187</v>
      </c>
    </row>
    <row r="2811" ht="15.75" customHeight="1">
      <c r="A2811" s="262"/>
      <c r="B2811" s="262"/>
      <c r="C2811" s="263"/>
      <c r="D2811" s="262"/>
      <c r="E2811" s="81" t="s">
        <v>187</v>
      </c>
      <c r="F2811" s="81" t="s">
        <v>187</v>
      </c>
      <c r="G2811" s="81" t="s">
        <v>187</v>
      </c>
      <c r="H2811" s="81" t="s">
        <v>187</v>
      </c>
      <c r="I2811" s="81" t="s">
        <v>187</v>
      </c>
      <c r="J2811" s="81" t="s">
        <v>187</v>
      </c>
      <c r="K2811" s="81" t="s">
        <v>187</v>
      </c>
      <c r="L2811" s="81" t="s">
        <v>187</v>
      </c>
    </row>
    <row r="2812" ht="15.75" customHeight="1">
      <c r="A2812" s="262"/>
      <c r="B2812" s="262"/>
      <c r="C2812" s="263"/>
      <c r="D2812" s="262"/>
      <c r="E2812" s="81" t="s">
        <v>187</v>
      </c>
      <c r="F2812" s="81" t="s">
        <v>187</v>
      </c>
      <c r="G2812" s="81" t="s">
        <v>187</v>
      </c>
      <c r="H2812" s="81" t="s">
        <v>187</v>
      </c>
      <c r="I2812" s="81" t="s">
        <v>187</v>
      </c>
      <c r="J2812" s="81" t="s">
        <v>187</v>
      </c>
      <c r="K2812" s="81" t="s">
        <v>187</v>
      </c>
      <c r="L2812" s="81" t="s">
        <v>187</v>
      </c>
    </row>
    <row r="2813" ht="15.75" customHeight="1">
      <c r="A2813" s="262"/>
      <c r="B2813" s="262"/>
      <c r="C2813" s="263"/>
      <c r="D2813" s="262"/>
      <c r="E2813" s="81" t="s">
        <v>187</v>
      </c>
      <c r="F2813" s="81" t="s">
        <v>187</v>
      </c>
      <c r="G2813" s="81" t="s">
        <v>187</v>
      </c>
      <c r="H2813" s="81" t="s">
        <v>187</v>
      </c>
      <c r="I2813" s="81" t="s">
        <v>187</v>
      </c>
      <c r="J2813" s="81" t="s">
        <v>187</v>
      </c>
      <c r="K2813" s="81" t="s">
        <v>187</v>
      </c>
      <c r="L2813" s="81" t="s">
        <v>187</v>
      </c>
    </row>
    <row r="2814" ht="15.75" customHeight="1">
      <c r="A2814" s="262"/>
      <c r="B2814" s="262"/>
      <c r="C2814" s="263"/>
      <c r="D2814" s="262"/>
      <c r="E2814" s="81" t="s">
        <v>187</v>
      </c>
      <c r="F2814" s="81" t="s">
        <v>187</v>
      </c>
      <c r="G2814" s="81" t="s">
        <v>187</v>
      </c>
      <c r="H2814" s="81" t="s">
        <v>187</v>
      </c>
      <c r="I2814" s="81" t="s">
        <v>187</v>
      </c>
      <c r="J2814" s="81" t="s">
        <v>187</v>
      </c>
      <c r="K2814" s="81" t="s">
        <v>187</v>
      </c>
      <c r="L2814" s="81" t="s">
        <v>187</v>
      </c>
    </row>
    <row r="2815" ht="15.75" customHeight="1">
      <c r="A2815" s="262"/>
      <c r="B2815" s="262"/>
      <c r="C2815" s="263"/>
      <c r="D2815" s="262"/>
      <c r="E2815" s="81" t="s">
        <v>187</v>
      </c>
      <c r="F2815" s="81" t="s">
        <v>187</v>
      </c>
      <c r="G2815" s="81" t="s">
        <v>187</v>
      </c>
      <c r="H2815" s="81" t="s">
        <v>187</v>
      </c>
      <c r="I2815" s="81" t="s">
        <v>187</v>
      </c>
      <c r="J2815" s="81" t="s">
        <v>187</v>
      </c>
      <c r="K2815" s="81" t="s">
        <v>187</v>
      </c>
      <c r="L2815" s="81" t="s">
        <v>187</v>
      </c>
    </row>
    <row r="2816" ht="15.75" customHeight="1">
      <c r="A2816" s="262"/>
      <c r="B2816" s="262"/>
      <c r="C2816" s="263"/>
      <c r="D2816" s="262"/>
      <c r="E2816" s="81" t="s">
        <v>187</v>
      </c>
      <c r="F2816" s="81" t="s">
        <v>187</v>
      </c>
      <c r="G2816" s="81" t="s">
        <v>187</v>
      </c>
      <c r="H2816" s="81" t="s">
        <v>187</v>
      </c>
      <c r="I2816" s="81" t="s">
        <v>187</v>
      </c>
      <c r="J2816" s="81" t="s">
        <v>187</v>
      </c>
      <c r="K2816" s="81" t="s">
        <v>187</v>
      </c>
      <c r="L2816" s="81" t="s">
        <v>187</v>
      </c>
    </row>
    <row r="2817" ht="15.75" customHeight="1">
      <c r="A2817" s="262"/>
      <c r="B2817" s="262"/>
      <c r="C2817" s="263"/>
      <c r="D2817" s="262"/>
      <c r="E2817" s="81" t="s">
        <v>187</v>
      </c>
      <c r="F2817" s="81" t="s">
        <v>187</v>
      </c>
      <c r="G2817" s="81" t="s">
        <v>187</v>
      </c>
      <c r="H2817" s="81" t="s">
        <v>187</v>
      </c>
      <c r="I2817" s="81" t="s">
        <v>187</v>
      </c>
      <c r="J2817" s="81" t="s">
        <v>187</v>
      </c>
      <c r="K2817" s="81" t="s">
        <v>187</v>
      </c>
      <c r="L2817" s="81" t="s">
        <v>187</v>
      </c>
    </row>
    <row r="2818" ht="15.75" customHeight="1">
      <c r="A2818" s="262"/>
      <c r="B2818" s="262"/>
      <c r="C2818" s="263"/>
      <c r="D2818" s="262"/>
      <c r="E2818" s="81" t="s">
        <v>187</v>
      </c>
      <c r="F2818" s="81" t="s">
        <v>187</v>
      </c>
      <c r="G2818" s="81" t="s">
        <v>187</v>
      </c>
      <c r="H2818" s="81" t="s">
        <v>187</v>
      </c>
      <c r="I2818" s="81" t="s">
        <v>187</v>
      </c>
      <c r="J2818" s="81" t="s">
        <v>187</v>
      </c>
      <c r="K2818" s="81" t="s">
        <v>187</v>
      </c>
      <c r="L2818" s="81" t="s">
        <v>187</v>
      </c>
    </row>
    <row r="2819" ht="15.75" customHeight="1">
      <c r="A2819" s="262"/>
      <c r="B2819" s="262"/>
      <c r="C2819" s="263"/>
      <c r="D2819" s="262"/>
      <c r="E2819" s="81" t="s">
        <v>187</v>
      </c>
      <c r="F2819" s="81" t="s">
        <v>187</v>
      </c>
      <c r="G2819" s="81" t="s">
        <v>187</v>
      </c>
      <c r="H2819" s="81" t="s">
        <v>187</v>
      </c>
      <c r="I2819" s="81" t="s">
        <v>187</v>
      </c>
      <c r="J2819" s="81" t="s">
        <v>187</v>
      </c>
      <c r="K2819" s="81" t="s">
        <v>187</v>
      </c>
      <c r="L2819" s="81" t="s">
        <v>187</v>
      </c>
    </row>
    <row r="2820" ht="15.75" customHeight="1">
      <c r="A2820" s="262"/>
      <c r="B2820" s="262"/>
      <c r="C2820" s="263"/>
      <c r="D2820" s="262"/>
      <c r="E2820" s="81" t="s">
        <v>187</v>
      </c>
      <c r="F2820" s="81" t="s">
        <v>187</v>
      </c>
      <c r="G2820" s="81" t="s">
        <v>187</v>
      </c>
      <c r="H2820" s="81" t="s">
        <v>187</v>
      </c>
      <c r="I2820" s="81" t="s">
        <v>187</v>
      </c>
      <c r="J2820" s="81" t="s">
        <v>187</v>
      </c>
      <c r="K2820" s="81" t="s">
        <v>187</v>
      </c>
      <c r="L2820" s="81" t="s">
        <v>187</v>
      </c>
    </row>
    <row r="2821" ht="15.75" customHeight="1">
      <c r="A2821" s="262"/>
      <c r="B2821" s="262"/>
      <c r="C2821" s="263"/>
      <c r="D2821" s="262"/>
      <c r="E2821" s="81" t="s">
        <v>187</v>
      </c>
      <c r="F2821" s="81" t="s">
        <v>187</v>
      </c>
      <c r="G2821" s="81" t="s">
        <v>187</v>
      </c>
      <c r="H2821" s="81" t="s">
        <v>187</v>
      </c>
      <c r="I2821" s="81" t="s">
        <v>187</v>
      </c>
      <c r="J2821" s="81" t="s">
        <v>187</v>
      </c>
      <c r="K2821" s="81" t="s">
        <v>187</v>
      </c>
      <c r="L2821" s="81" t="s">
        <v>187</v>
      </c>
    </row>
    <row r="2822" ht="15.75" customHeight="1">
      <c r="A2822" s="262"/>
      <c r="B2822" s="262"/>
      <c r="C2822" s="263"/>
      <c r="D2822" s="262"/>
      <c r="E2822" s="81" t="s">
        <v>187</v>
      </c>
      <c r="F2822" s="81" t="s">
        <v>187</v>
      </c>
      <c r="G2822" s="81" t="s">
        <v>187</v>
      </c>
      <c r="H2822" s="81" t="s">
        <v>187</v>
      </c>
      <c r="I2822" s="81" t="s">
        <v>187</v>
      </c>
      <c r="J2822" s="81" t="s">
        <v>187</v>
      </c>
      <c r="K2822" s="81" t="s">
        <v>187</v>
      </c>
      <c r="L2822" s="81" t="s">
        <v>187</v>
      </c>
    </row>
    <row r="2823" ht="15.75" customHeight="1">
      <c r="A2823" s="262"/>
      <c r="B2823" s="262"/>
      <c r="C2823" s="263"/>
      <c r="D2823" s="262"/>
      <c r="E2823" s="81" t="s">
        <v>187</v>
      </c>
      <c r="F2823" s="81" t="s">
        <v>187</v>
      </c>
      <c r="G2823" s="81" t="s">
        <v>187</v>
      </c>
      <c r="H2823" s="81" t="s">
        <v>187</v>
      </c>
      <c r="I2823" s="81" t="s">
        <v>187</v>
      </c>
      <c r="J2823" s="81" t="s">
        <v>187</v>
      </c>
      <c r="K2823" s="81" t="s">
        <v>187</v>
      </c>
      <c r="L2823" s="81" t="s">
        <v>187</v>
      </c>
    </row>
    <row r="2824" ht="15.75" customHeight="1">
      <c r="A2824" s="262"/>
      <c r="B2824" s="262"/>
      <c r="C2824" s="263"/>
      <c r="D2824" s="262"/>
      <c r="E2824" s="81" t="s">
        <v>187</v>
      </c>
      <c r="F2824" s="81" t="s">
        <v>187</v>
      </c>
      <c r="G2824" s="81" t="s">
        <v>187</v>
      </c>
      <c r="H2824" s="81" t="s">
        <v>187</v>
      </c>
      <c r="I2824" s="81" t="s">
        <v>187</v>
      </c>
      <c r="J2824" s="81" t="s">
        <v>187</v>
      </c>
      <c r="K2824" s="81" t="s">
        <v>187</v>
      </c>
      <c r="L2824" s="81" t="s">
        <v>187</v>
      </c>
    </row>
    <row r="2825" ht="15.75" customHeight="1">
      <c r="A2825" s="262"/>
      <c r="B2825" s="262"/>
      <c r="C2825" s="263"/>
      <c r="D2825" s="262"/>
      <c r="E2825" s="81" t="s">
        <v>187</v>
      </c>
      <c r="F2825" s="81" t="s">
        <v>187</v>
      </c>
      <c r="G2825" s="81" t="s">
        <v>187</v>
      </c>
      <c r="H2825" s="81" t="s">
        <v>187</v>
      </c>
      <c r="I2825" s="81" t="s">
        <v>187</v>
      </c>
      <c r="J2825" s="81" t="s">
        <v>187</v>
      </c>
      <c r="K2825" s="81" t="s">
        <v>187</v>
      </c>
      <c r="L2825" s="81" t="s">
        <v>187</v>
      </c>
    </row>
    <row r="2826" ht="15.75" customHeight="1">
      <c r="A2826" s="262"/>
      <c r="B2826" s="262"/>
      <c r="C2826" s="263"/>
      <c r="D2826" s="262"/>
      <c r="E2826" s="81" t="s">
        <v>187</v>
      </c>
      <c r="F2826" s="81" t="s">
        <v>187</v>
      </c>
      <c r="G2826" s="81" t="s">
        <v>187</v>
      </c>
      <c r="H2826" s="81" t="s">
        <v>187</v>
      </c>
      <c r="I2826" s="81" t="s">
        <v>187</v>
      </c>
      <c r="J2826" s="81" t="s">
        <v>187</v>
      </c>
      <c r="K2826" s="81" t="s">
        <v>187</v>
      </c>
      <c r="L2826" s="81" t="s">
        <v>187</v>
      </c>
    </row>
    <row r="2827" ht="15.75" customHeight="1">
      <c r="A2827" s="262"/>
      <c r="B2827" s="262"/>
      <c r="C2827" s="263"/>
      <c r="D2827" s="262"/>
      <c r="E2827" s="81" t="s">
        <v>187</v>
      </c>
      <c r="F2827" s="81" t="s">
        <v>187</v>
      </c>
      <c r="G2827" s="81" t="s">
        <v>187</v>
      </c>
      <c r="H2827" s="81" t="s">
        <v>187</v>
      </c>
      <c r="I2827" s="81" t="s">
        <v>187</v>
      </c>
      <c r="J2827" s="81" t="s">
        <v>187</v>
      </c>
      <c r="K2827" s="81" t="s">
        <v>187</v>
      </c>
      <c r="L2827" s="81" t="s">
        <v>187</v>
      </c>
    </row>
    <row r="2828" ht="15.75" customHeight="1">
      <c r="A2828" s="262"/>
      <c r="B2828" s="262"/>
      <c r="C2828" s="263"/>
      <c r="D2828" s="262"/>
      <c r="E2828" s="81" t="s">
        <v>187</v>
      </c>
      <c r="F2828" s="81" t="s">
        <v>187</v>
      </c>
      <c r="G2828" s="81" t="s">
        <v>187</v>
      </c>
      <c r="H2828" s="81" t="s">
        <v>187</v>
      </c>
      <c r="I2828" s="81" t="s">
        <v>187</v>
      </c>
      <c r="J2828" s="81" t="s">
        <v>187</v>
      </c>
      <c r="K2828" s="81" t="s">
        <v>187</v>
      </c>
      <c r="L2828" s="81" t="s">
        <v>187</v>
      </c>
    </row>
    <row r="2829" ht="15.75" customHeight="1">
      <c r="A2829" s="262"/>
      <c r="B2829" s="262"/>
      <c r="C2829" s="263"/>
      <c r="D2829" s="262"/>
      <c r="E2829" s="81" t="s">
        <v>187</v>
      </c>
      <c r="F2829" s="81" t="s">
        <v>187</v>
      </c>
      <c r="G2829" s="81" t="s">
        <v>187</v>
      </c>
      <c r="H2829" s="81" t="s">
        <v>187</v>
      </c>
      <c r="I2829" s="81" t="s">
        <v>187</v>
      </c>
      <c r="J2829" s="81" t="s">
        <v>187</v>
      </c>
      <c r="K2829" s="81" t="s">
        <v>187</v>
      </c>
      <c r="L2829" s="81" t="s">
        <v>187</v>
      </c>
    </row>
    <row r="2830" ht="15.75" customHeight="1">
      <c r="A2830" s="262"/>
      <c r="B2830" s="262"/>
      <c r="C2830" s="263"/>
      <c r="D2830" s="262"/>
      <c r="E2830" s="81" t="s">
        <v>187</v>
      </c>
      <c r="F2830" s="81" t="s">
        <v>187</v>
      </c>
      <c r="G2830" s="81" t="s">
        <v>187</v>
      </c>
      <c r="H2830" s="81" t="s">
        <v>187</v>
      </c>
      <c r="I2830" s="81" t="s">
        <v>187</v>
      </c>
      <c r="J2830" s="81" t="s">
        <v>187</v>
      </c>
      <c r="K2830" s="81" t="s">
        <v>187</v>
      </c>
      <c r="L2830" s="81" t="s">
        <v>187</v>
      </c>
    </row>
    <row r="2831" ht="15.75" customHeight="1">
      <c r="A2831" s="262"/>
      <c r="B2831" s="262"/>
      <c r="C2831" s="263"/>
      <c r="D2831" s="262"/>
      <c r="E2831" s="81" t="s">
        <v>187</v>
      </c>
      <c r="F2831" s="81" t="s">
        <v>187</v>
      </c>
      <c r="G2831" s="81" t="s">
        <v>187</v>
      </c>
      <c r="H2831" s="81" t="s">
        <v>187</v>
      </c>
      <c r="I2831" s="81" t="s">
        <v>187</v>
      </c>
      <c r="J2831" s="81" t="s">
        <v>187</v>
      </c>
      <c r="K2831" s="81" t="s">
        <v>187</v>
      </c>
      <c r="L2831" s="81" t="s">
        <v>187</v>
      </c>
    </row>
    <row r="2832" ht="15.75" customHeight="1">
      <c r="A2832" s="262"/>
      <c r="B2832" s="262"/>
      <c r="C2832" s="263"/>
      <c r="D2832" s="262"/>
      <c r="E2832" s="81" t="s">
        <v>187</v>
      </c>
      <c r="F2832" s="81" t="s">
        <v>187</v>
      </c>
      <c r="G2832" s="81" t="s">
        <v>187</v>
      </c>
      <c r="H2832" s="81" t="s">
        <v>187</v>
      </c>
      <c r="I2832" s="81" t="s">
        <v>187</v>
      </c>
      <c r="J2832" s="81" t="s">
        <v>187</v>
      </c>
      <c r="K2832" s="81" t="s">
        <v>187</v>
      </c>
      <c r="L2832" s="81" t="s">
        <v>187</v>
      </c>
    </row>
    <row r="2833" ht="15.75" customHeight="1">
      <c r="A2833" s="262"/>
      <c r="B2833" s="262"/>
      <c r="C2833" s="263"/>
      <c r="D2833" s="262"/>
      <c r="E2833" s="81" t="s">
        <v>187</v>
      </c>
      <c r="F2833" s="81" t="s">
        <v>187</v>
      </c>
      <c r="G2833" s="81" t="s">
        <v>187</v>
      </c>
      <c r="H2833" s="81" t="s">
        <v>187</v>
      </c>
      <c r="I2833" s="81" t="s">
        <v>187</v>
      </c>
      <c r="J2833" s="81" t="s">
        <v>187</v>
      </c>
      <c r="K2833" s="81" t="s">
        <v>187</v>
      </c>
      <c r="L2833" s="81" t="s">
        <v>187</v>
      </c>
    </row>
    <row r="2834" ht="15.75" customHeight="1">
      <c r="A2834" s="262"/>
      <c r="B2834" s="262"/>
      <c r="C2834" s="263"/>
      <c r="D2834" s="262"/>
      <c r="E2834" s="81" t="s">
        <v>187</v>
      </c>
      <c r="F2834" s="81" t="s">
        <v>187</v>
      </c>
      <c r="G2834" s="81" t="s">
        <v>187</v>
      </c>
      <c r="H2834" s="81" t="s">
        <v>187</v>
      </c>
      <c r="I2834" s="81" t="s">
        <v>187</v>
      </c>
      <c r="J2834" s="81" t="s">
        <v>187</v>
      </c>
      <c r="K2834" s="81" t="s">
        <v>187</v>
      </c>
      <c r="L2834" s="81" t="s">
        <v>187</v>
      </c>
    </row>
    <row r="2835" ht="15.75" customHeight="1">
      <c r="A2835" s="262"/>
      <c r="B2835" s="262"/>
      <c r="C2835" s="263"/>
      <c r="D2835" s="262"/>
      <c r="E2835" s="81" t="s">
        <v>187</v>
      </c>
      <c r="F2835" s="81" t="s">
        <v>187</v>
      </c>
      <c r="G2835" s="81" t="s">
        <v>187</v>
      </c>
      <c r="H2835" s="81" t="s">
        <v>187</v>
      </c>
      <c r="I2835" s="81" t="s">
        <v>187</v>
      </c>
      <c r="J2835" s="81" t="s">
        <v>187</v>
      </c>
      <c r="K2835" s="81" t="s">
        <v>187</v>
      </c>
      <c r="L2835" s="81" t="s">
        <v>187</v>
      </c>
    </row>
    <row r="2836" ht="15.75" customHeight="1">
      <c r="A2836" s="262"/>
      <c r="B2836" s="262"/>
      <c r="C2836" s="263"/>
      <c r="D2836" s="262"/>
      <c r="E2836" s="81" t="s">
        <v>187</v>
      </c>
      <c r="F2836" s="81" t="s">
        <v>187</v>
      </c>
      <c r="G2836" s="81" t="s">
        <v>187</v>
      </c>
      <c r="H2836" s="81" t="s">
        <v>187</v>
      </c>
      <c r="I2836" s="81" t="s">
        <v>187</v>
      </c>
      <c r="J2836" s="81" t="s">
        <v>187</v>
      </c>
      <c r="K2836" s="81" t="s">
        <v>187</v>
      </c>
      <c r="L2836" s="81" t="s">
        <v>187</v>
      </c>
    </row>
    <row r="2837" ht="15.75" customHeight="1">
      <c r="A2837" s="262"/>
      <c r="B2837" s="262"/>
      <c r="C2837" s="263"/>
      <c r="D2837" s="262"/>
      <c r="E2837" s="81" t="s">
        <v>187</v>
      </c>
      <c r="F2837" s="81" t="s">
        <v>187</v>
      </c>
      <c r="G2837" s="81" t="s">
        <v>187</v>
      </c>
      <c r="H2837" s="81" t="s">
        <v>187</v>
      </c>
      <c r="I2837" s="81" t="s">
        <v>187</v>
      </c>
      <c r="J2837" s="81" t="s">
        <v>187</v>
      </c>
      <c r="K2837" s="81" t="s">
        <v>187</v>
      </c>
      <c r="L2837" s="81" t="s">
        <v>187</v>
      </c>
    </row>
    <row r="2838" ht="15.75" customHeight="1">
      <c r="A2838" s="262"/>
      <c r="B2838" s="262"/>
      <c r="C2838" s="263"/>
      <c r="D2838" s="262"/>
      <c r="E2838" s="81" t="s">
        <v>187</v>
      </c>
      <c r="F2838" s="81" t="s">
        <v>187</v>
      </c>
      <c r="G2838" s="81" t="s">
        <v>187</v>
      </c>
      <c r="H2838" s="81" t="s">
        <v>187</v>
      </c>
      <c r="I2838" s="81" t="s">
        <v>187</v>
      </c>
      <c r="J2838" s="81" t="s">
        <v>187</v>
      </c>
      <c r="K2838" s="81" t="s">
        <v>187</v>
      </c>
      <c r="L2838" s="81" t="s">
        <v>187</v>
      </c>
    </row>
    <row r="2839" ht="15.75" customHeight="1">
      <c r="A2839" s="262"/>
      <c r="B2839" s="262"/>
      <c r="C2839" s="263"/>
      <c r="D2839" s="262"/>
      <c r="E2839" s="81" t="s">
        <v>187</v>
      </c>
      <c r="F2839" s="81" t="s">
        <v>187</v>
      </c>
      <c r="G2839" s="81" t="s">
        <v>187</v>
      </c>
      <c r="H2839" s="81" t="s">
        <v>187</v>
      </c>
      <c r="I2839" s="81" t="s">
        <v>187</v>
      </c>
      <c r="J2839" s="81" t="s">
        <v>187</v>
      </c>
      <c r="K2839" s="81" t="s">
        <v>187</v>
      </c>
      <c r="L2839" s="81" t="s">
        <v>187</v>
      </c>
    </row>
    <row r="2840" ht="15.75" customHeight="1">
      <c r="A2840" s="262"/>
      <c r="B2840" s="262"/>
      <c r="C2840" s="263"/>
      <c r="D2840" s="262"/>
      <c r="E2840" s="81" t="s">
        <v>187</v>
      </c>
      <c r="F2840" s="81" t="s">
        <v>187</v>
      </c>
      <c r="G2840" s="81" t="s">
        <v>187</v>
      </c>
      <c r="H2840" s="81" t="s">
        <v>187</v>
      </c>
      <c r="I2840" s="81" t="s">
        <v>187</v>
      </c>
      <c r="J2840" s="81" t="s">
        <v>187</v>
      </c>
      <c r="K2840" s="81" t="s">
        <v>187</v>
      </c>
      <c r="L2840" s="81" t="s">
        <v>187</v>
      </c>
    </row>
    <row r="2841" ht="15.75" customHeight="1">
      <c r="A2841" s="262"/>
      <c r="B2841" s="262"/>
      <c r="C2841" s="263"/>
      <c r="D2841" s="262"/>
      <c r="E2841" s="81" t="s">
        <v>187</v>
      </c>
      <c r="F2841" s="81" t="s">
        <v>187</v>
      </c>
      <c r="G2841" s="81" t="s">
        <v>187</v>
      </c>
      <c r="H2841" s="81" t="s">
        <v>187</v>
      </c>
      <c r="I2841" s="81" t="s">
        <v>187</v>
      </c>
      <c r="J2841" s="81" t="s">
        <v>187</v>
      </c>
      <c r="K2841" s="81" t="s">
        <v>187</v>
      </c>
      <c r="L2841" s="81" t="s">
        <v>187</v>
      </c>
    </row>
    <row r="2842" ht="15.75" customHeight="1">
      <c r="A2842" s="262"/>
      <c r="B2842" s="262"/>
      <c r="C2842" s="263"/>
      <c r="D2842" s="262"/>
      <c r="E2842" s="81" t="s">
        <v>187</v>
      </c>
      <c r="F2842" s="81" t="s">
        <v>187</v>
      </c>
      <c r="G2842" s="81" t="s">
        <v>187</v>
      </c>
      <c r="H2842" s="81" t="s">
        <v>187</v>
      </c>
      <c r="I2842" s="81" t="s">
        <v>187</v>
      </c>
      <c r="J2842" s="81" t="s">
        <v>187</v>
      </c>
      <c r="K2842" s="81" t="s">
        <v>187</v>
      </c>
      <c r="L2842" s="81" t="s">
        <v>187</v>
      </c>
    </row>
    <row r="2843" ht="15.75" customHeight="1">
      <c r="A2843" s="262"/>
      <c r="B2843" s="262"/>
      <c r="C2843" s="263"/>
      <c r="D2843" s="262"/>
      <c r="E2843" s="81" t="s">
        <v>187</v>
      </c>
      <c r="F2843" s="81" t="s">
        <v>187</v>
      </c>
      <c r="G2843" s="81" t="s">
        <v>187</v>
      </c>
      <c r="H2843" s="81" t="s">
        <v>187</v>
      </c>
      <c r="I2843" s="81" t="s">
        <v>187</v>
      </c>
      <c r="J2843" s="81" t="s">
        <v>187</v>
      </c>
      <c r="K2843" s="81" t="s">
        <v>187</v>
      </c>
      <c r="L2843" s="81" t="s">
        <v>187</v>
      </c>
    </row>
    <row r="2844" ht="15.75" customHeight="1">
      <c r="A2844" s="262"/>
      <c r="B2844" s="262"/>
      <c r="C2844" s="263"/>
      <c r="D2844" s="262"/>
      <c r="E2844" s="81" t="s">
        <v>187</v>
      </c>
      <c r="F2844" s="81" t="s">
        <v>187</v>
      </c>
      <c r="G2844" s="81" t="s">
        <v>187</v>
      </c>
      <c r="H2844" s="81" t="s">
        <v>187</v>
      </c>
      <c r="I2844" s="81" t="s">
        <v>187</v>
      </c>
      <c r="J2844" s="81" t="s">
        <v>187</v>
      </c>
      <c r="K2844" s="81" t="s">
        <v>187</v>
      </c>
      <c r="L2844" s="81" t="s">
        <v>187</v>
      </c>
    </row>
    <row r="2845" ht="15.75" customHeight="1">
      <c r="A2845" s="262"/>
      <c r="B2845" s="262"/>
      <c r="C2845" s="263"/>
      <c r="D2845" s="262"/>
      <c r="E2845" s="81" t="s">
        <v>187</v>
      </c>
      <c r="F2845" s="81" t="s">
        <v>187</v>
      </c>
      <c r="G2845" s="81" t="s">
        <v>187</v>
      </c>
      <c r="H2845" s="81" t="s">
        <v>187</v>
      </c>
      <c r="I2845" s="81" t="s">
        <v>187</v>
      </c>
      <c r="J2845" s="81" t="s">
        <v>187</v>
      </c>
      <c r="K2845" s="81" t="s">
        <v>187</v>
      </c>
      <c r="L2845" s="81" t="s">
        <v>187</v>
      </c>
    </row>
    <row r="2846" ht="15.75" customHeight="1">
      <c r="A2846" s="262"/>
      <c r="B2846" s="262"/>
      <c r="C2846" s="263"/>
      <c r="D2846" s="262"/>
      <c r="E2846" s="81" t="s">
        <v>187</v>
      </c>
      <c r="F2846" s="81" t="s">
        <v>187</v>
      </c>
      <c r="G2846" s="81" t="s">
        <v>187</v>
      </c>
      <c r="H2846" s="81" t="s">
        <v>187</v>
      </c>
      <c r="I2846" s="81" t="s">
        <v>187</v>
      </c>
      <c r="J2846" s="81" t="s">
        <v>187</v>
      </c>
      <c r="K2846" s="81" t="s">
        <v>187</v>
      </c>
      <c r="L2846" s="81" t="s">
        <v>187</v>
      </c>
    </row>
    <row r="2847" ht="15.75" customHeight="1">
      <c r="A2847" s="262"/>
      <c r="B2847" s="262"/>
      <c r="C2847" s="263"/>
      <c r="D2847" s="262"/>
      <c r="E2847" s="81" t="s">
        <v>187</v>
      </c>
      <c r="F2847" s="81" t="s">
        <v>187</v>
      </c>
      <c r="G2847" s="81" t="s">
        <v>187</v>
      </c>
      <c r="H2847" s="81" t="s">
        <v>187</v>
      </c>
      <c r="I2847" s="81" t="s">
        <v>187</v>
      </c>
      <c r="J2847" s="81" t="s">
        <v>187</v>
      </c>
      <c r="K2847" s="81" t="s">
        <v>187</v>
      </c>
      <c r="L2847" s="81" t="s">
        <v>187</v>
      </c>
    </row>
    <row r="2848" ht="15.75" customHeight="1">
      <c r="A2848" s="262"/>
      <c r="B2848" s="262"/>
      <c r="C2848" s="263"/>
      <c r="D2848" s="262"/>
      <c r="E2848" s="81" t="s">
        <v>187</v>
      </c>
      <c r="F2848" s="81" t="s">
        <v>187</v>
      </c>
      <c r="G2848" s="81" t="s">
        <v>187</v>
      </c>
      <c r="H2848" s="81" t="s">
        <v>187</v>
      </c>
      <c r="I2848" s="81" t="s">
        <v>187</v>
      </c>
      <c r="J2848" s="81" t="s">
        <v>187</v>
      </c>
      <c r="K2848" s="81" t="s">
        <v>187</v>
      </c>
      <c r="L2848" s="81" t="s">
        <v>187</v>
      </c>
    </row>
    <row r="2849" ht="15.75" customHeight="1">
      <c r="A2849" s="262"/>
      <c r="B2849" s="262"/>
      <c r="C2849" s="263"/>
      <c r="D2849" s="262"/>
      <c r="E2849" s="81" t="s">
        <v>187</v>
      </c>
      <c r="F2849" s="81" t="s">
        <v>187</v>
      </c>
      <c r="G2849" s="81" t="s">
        <v>187</v>
      </c>
      <c r="H2849" s="81" t="s">
        <v>187</v>
      </c>
      <c r="I2849" s="81" t="s">
        <v>187</v>
      </c>
      <c r="J2849" s="81" t="s">
        <v>187</v>
      </c>
      <c r="K2849" s="81" t="s">
        <v>187</v>
      </c>
      <c r="L2849" s="81" t="s">
        <v>187</v>
      </c>
    </row>
    <row r="2850" ht="15.75" customHeight="1">
      <c r="A2850" s="262"/>
      <c r="B2850" s="262"/>
      <c r="C2850" s="263"/>
      <c r="D2850" s="262"/>
      <c r="E2850" s="81" t="s">
        <v>187</v>
      </c>
      <c r="F2850" s="81" t="s">
        <v>187</v>
      </c>
      <c r="G2850" s="81" t="s">
        <v>187</v>
      </c>
      <c r="H2850" s="81" t="s">
        <v>187</v>
      </c>
      <c r="I2850" s="81" t="s">
        <v>187</v>
      </c>
      <c r="J2850" s="81" t="s">
        <v>187</v>
      </c>
      <c r="K2850" s="81" t="s">
        <v>187</v>
      </c>
      <c r="L2850" s="81" t="s">
        <v>187</v>
      </c>
    </row>
    <row r="2851" ht="15.75" customHeight="1">
      <c r="A2851" s="262"/>
      <c r="B2851" s="262"/>
      <c r="C2851" s="263"/>
      <c r="D2851" s="262"/>
      <c r="E2851" s="81" t="s">
        <v>187</v>
      </c>
      <c r="F2851" s="81" t="s">
        <v>187</v>
      </c>
      <c r="G2851" s="81" t="s">
        <v>187</v>
      </c>
      <c r="H2851" s="81" t="s">
        <v>187</v>
      </c>
      <c r="I2851" s="81" t="s">
        <v>187</v>
      </c>
      <c r="J2851" s="81" t="s">
        <v>187</v>
      </c>
      <c r="K2851" s="81" t="s">
        <v>187</v>
      </c>
      <c r="L2851" s="81" t="s">
        <v>187</v>
      </c>
    </row>
    <row r="2852" ht="15.75" customHeight="1">
      <c r="A2852" s="262"/>
      <c r="B2852" s="262"/>
      <c r="C2852" s="263"/>
      <c r="D2852" s="262"/>
      <c r="E2852" s="81" t="s">
        <v>187</v>
      </c>
      <c r="F2852" s="81" t="s">
        <v>187</v>
      </c>
      <c r="G2852" s="81" t="s">
        <v>187</v>
      </c>
      <c r="H2852" s="81" t="s">
        <v>187</v>
      </c>
      <c r="I2852" s="81" t="s">
        <v>187</v>
      </c>
      <c r="J2852" s="81" t="s">
        <v>187</v>
      </c>
      <c r="K2852" s="81" t="s">
        <v>187</v>
      </c>
      <c r="L2852" s="81" t="s">
        <v>187</v>
      </c>
    </row>
    <row r="2853" ht="15.75" customHeight="1">
      <c r="A2853" s="262"/>
      <c r="B2853" s="262"/>
      <c r="C2853" s="263"/>
      <c r="D2853" s="262"/>
      <c r="E2853" s="81" t="s">
        <v>187</v>
      </c>
      <c r="F2853" s="81" t="s">
        <v>187</v>
      </c>
      <c r="G2853" s="81" t="s">
        <v>187</v>
      </c>
      <c r="H2853" s="81" t="s">
        <v>187</v>
      </c>
      <c r="I2853" s="81" t="s">
        <v>187</v>
      </c>
      <c r="J2853" s="81" t="s">
        <v>187</v>
      </c>
      <c r="K2853" s="81" t="s">
        <v>187</v>
      </c>
      <c r="L2853" s="81" t="s">
        <v>187</v>
      </c>
    </row>
    <row r="2854" ht="15.75" customHeight="1">
      <c r="A2854" s="262"/>
      <c r="B2854" s="262"/>
      <c r="C2854" s="263"/>
      <c r="D2854" s="262"/>
      <c r="E2854" s="81" t="s">
        <v>187</v>
      </c>
      <c r="F2854" s="81" t="s">
        <v>187</v>
      </c>
      <c r="G2854" s="81" t="s">
        <v>187</v>
      </c>
      <c r="H2854" s="81" t="s">
        <v>187</v>
      </c>
      <c r="I2854" s="81" t="s">
        <v>187</v>
      </c>
      <c r="J2854" s="81" t="s">
        <v>187</v>
      </c>
      <c r="K2854" s="81" t="s">
        <v>187</v>
      </c>
      <c r="L2854" s="81" t="s">
        <v>187</v>
      </c>
    </row>
    <row r="2855" ht="15.75" customHeight="1">
      <c r="A2855" s="262"/>
      <c r="B2855" s="262"/>
      <c r="C2855" s="263"/>
      <c r="D2855" s="262"/>
      <c r="E2855" s="81" t="s">
        <v>187</v>
      </c>
      <c r="F2855" s="81" t="s">
        <v>187</v>
      </c>
      <c r="G2855" s="81" t="s">
        <v>187</v>
      </c>
      <c r="H2855" s="81" t="s">
        <v>187</v>
      </c>
      <c r="I2855" s="81" t="s">
        <v>187</v>
      </c>
      <c r="J2855" s="81" t="s">
        <v>187</v>
      </c>
      <c r="K2855" s="81" t="s">
        <v>187</v>
      </c>
      <c r="L2855" s="81" t="s">
        <v>187</v>
      </c>
    </row>
    <row r="2856" ht="15.75" customHeight="1">
      <c r="A2856" s="262"/>
      <c r="B2856" s="262"/>
      <c r="C2856" s="263"/>
      <c r="D2856" s="262"/>
      <c r="E2856" s="81" t="s">
        <v>187</v>
      </c>
      <c r="F2856" s="81" t="s">
        <v>187</v>
      </c>
      <c r="G2856" s="81" t="s">
        <v>187</v>
      </c>
      <c r="H2856" s="81" t="s">
        <v>187</v>
      </c>
      <c r="I2856" s="81" t="s">
        <v>187</v>
      </c>
      <c r="J2856" s="81" t="s">
        <v>187</v>
      </c>
      <c r="K2856" s="81" t="s">
        <v>187</v>
      </c>
      <c r="L2856" s="81" t="s">
        <v>187</v>
      </c>
    </row>
    <row r="2857" ht="15.75" customHeight="1">
      <c r="A2857" s="262"/>
      <c r="B2857" s="262"/>
      <c r="C2857" s="263"/>
      <c r="D2857" s="262"/>
      <c r="E2857" s="81" t="s">
        <v>187</v>
      </c>
      <c r="F2857" s="81" t="s">
        <v>187</v>
      </c>
      <c r="G2857" s="81" t="s">
        <v>187</v>
      </c>
      <c r="H2857" s="81" t="s">
        <v>187</v>
      </c>
      <c r="I2857" s="81" t="s">
        <v>187</v>
      </c>
      <c r="J2857" s="81" t="s">
        <v>187</v>
      </c>
      <c r="K2857" s="81" t="s">
        <v>187</v>
      </c>
      <c r="L2857" s="81" t="s">
        <v>187</v>
      </c>
    </row>
    <row r="2858" ht="15.75" customHeight="1">
      <c r="A2858" s="262"/>
      <c r="B2858" s="262"/>
      <c r="C2858" s="263"/>
      <c r="D2858" s="262"/>
      <c r="E2858" s="81" t="s">
        <v>187</v>
      </c>
      <c r="F2858" s="81" t="s">
        <v>187</v>
      </c>
      <c r="G2858" s="81" t="s">
        <v>187</v>
      </c>
      <c r="H2858" s="81" t="s">
        <v>187</v>
      </c>
      <c r="I2858" s="81" t="s">
        <v>187</v>
      </c>
      <c r="J2858" s="81" t="s">
        <v>187</v>
      </c>
      <c r="K2858" s="81" t="s">
        <v>187</v>
      </c>
      <c r="L2858" s="81" t="s">
        <v>187</v>
      </c>
    </row>
    <row r="2859" ht="15.75" customHeight="1">
      <c r="A2859" s="262"/>
      <c r="B2859" s="262"/>
      <c r="C2859" s="263"/>
      <c r="D2859" s="262"/>
      <c r="E2859" s="81" t="s">
        <v>187</v>
      </c>
      <c r="F2859" s="81" t="s">
        <v>187</v>
      </c>
      <c r="G2859" s="81" t="s">
        <v>187</v>
      </c>
      <c r="H2859" s="81" t="s">
        <v>187</v>
      </c>
      <c r="I2859" s="81" t="s">
        <v>187</v>
      </c>
      <c r="J2859" s="81" t="s">
        <v>187</v>
      </c>
      <c r="K2859" s="81" t="s">
        <v>187</v>
      </c>
      <c r="L2859" s="81" t="s">
        <v>187</v>
      </c>
    </row>
    <row r="2860" ht="15.75" customHeight="1">
      <c r="A2860" s="262"/>
      <c r="B2860" s="262"/>
      <c r="C2860" s="263"/>
      <c r="D2860" s="262"/>
      <c r="E2860" s="81" t="s">
        <v>187</v>
      </c>
      <c r="F2860" s="81" t="s">
        <v>187</v>
      </c>
      <c r="G2860" s="81" t="s">
        <v>187</v>
      </c>
      <c r="H2860" s="81" t="s">
        <v>187</v>
      </c>
      <c r="I2860" s="81" t="s">
        <v>187</v>
      </c>
      <c r="J2860" s="81" t="s">
        <v>187</v>
      </c>
      <c r="K2860" s="81" t="s">
        <v>187</v>
      </c>
      <c r="L2860" s="81" t="s">
        <v>187</v>
      </c>
    </row>
    <row r="2861" ht="15.75" customHeight="1">
      <c r="A2861" s="262"/>
      <c r="B2861" s="262"/>
      <c r="C2861" s="263"/>
      <c r="D2861" s="262"/>
      <c r="E2861" s="81" t="s">
        <v>187</v>
      </c>
      <c r="F2861" s="81" t="s">
        <v>187</v>
      </c>
      <c r="G2861" s="81" t="s">
        <v>187</v>
      </c>
      <c r="H2861" s="81" t="s">
        <v>187</v>
      </c>
      <c r="I2861" s="81" t="s">
        <v>187</v>
      </c>
      <c r="J2861" s="81" t="s">
        <v>187</v>
      </c>
      <c r="K2861" s="81" t="s">
        <v>187</v>
      </c>
      <c r="L2861" s="81" t="s">
        <v>187</v>
      </c>
    </row>
    <row r="2862" ht="15.75" customHeight="1">
      <c r="A2862" s="262"/>
      <c r="B2862" s="262"/>
      <c r="C2862" s="263"/>
      <c r="D2862" s="262"/>
      <c r="E2862" s="81" t="s">
        <v>187</v>
      </c>
      <c r="F2862" s="81" t="s">
        <v>187</v>
      </c>
      <c r="G2862" s="81" t="s">
        <v>187</v>
      </c>
      <c r="H2862" s="81" t="s">
        <v>187</v>
      </c>
      <c r="I2862" s="81" t="s">
        <v>187</v>
      </c>
      <c r="J2862" s="81" t="s">
        <v>187</v>
      </c>
      <c r="K2862" s="81" t="s">
        <v>187</v>
      </c>
      <c r="L2862" s="81" t="s">
        <v>187</v>
      </c>
    </row>
    <row r="2863" ht="15.75" customHeight="1">
      <c r="A2863" s="262"/>
      <c r="B2863" s="262"/>
      <c r="C2863" s="263"/>
      <c r="D2863" s="262"/>
      <c r="E2863" s="81" t="s">
        <v>187</v>
      </c>
      <c r="F2863" s="81" t="s">
        <v>187</v>
      </c>
      <c r="G2863" s="81" t="s">
        <v>187</v>
      </c>
      <c r="H2863" s="81" t="s">
        <v>187</v>
      </c>
      <c r="I2863" s="81" t="s">
        <v>187</v>
      </c>
      <c r="J2863" s="81" t="s">
        <v>187</v>
      </c>
      <c r="K2863" s="81" t="s">
        <v>187</v>
      </c>
      <c r="L2863" s="81" t="s">
        <v>187</v>
      </c>
    </row>
    <row r="2864" ht="15.75" customHeight="1">
      <c r="A2864" s="262"/>
      <c r="B2864" s="262"/>
      <c r="C2864" s="263"/>
      <c r="D2864" s="262"/>
      <c r="E2864" s="81" t="s">
        <v>187</v>
      </c>
      <c r="F2864" s="81" t="s">
        <v>187</v>
      </c>
      <c r="G2864" s="81" t="s">
        <v>187</v>
      </c>
      <c r="H2864" s="81" t="s">
        <v>187</v>
      </c>
      <c r="I2864" s="81" t="s">
        <v>187</v>
      </c>
      <c r="J2864" s="81" t="s">
        <v>187</v>
      </c>
      <c r="K2864" s="81" t="s">
        <v>187</v>
      </c>
      <c r="L2864" s="81" t="s">
        <v>187</v>
      </c>
    </row>
    <row r="2865" ht="15.75" customHeight="1">
      <c r="A2865" s="262"/>
      <c r="B2865" s="262"/>
      <c r="C2865" s="263"/>
      <c r="D2865" s="262"/>
      <c r="E2865" s="81" t="s">
        <v>187</v>
      </c>
      <c r="F2865" s="81" t="s">
        <v>187</v>
      </c>
      <c r="G2865" s="81" t="s">
        <v>187</v>
      </c>
      <c r="H2865" s="81" t="s">
        <v>187</v>
      </c>
      <c r="I2865" s="81" t="s">
        <v>187</v>
      </c>
      <c r="J2865" s="81" t="s">
        <v>187</v>
      </c>
      <c r="K2865" s="81" t="s">
        <v>187</v>
      </c>
      <c r="L2865" s="81" t="s">
        <v>187</v>
      </c>
    </row>
    <row r="2866" ht="15.75" customHeight="1">
      <c r="A2866" s="262"/>
      <c r="B2866" s="262"/>
      <c r="C2866" s="263"/>
      <c r="D2866" s="262"/>
      <c r="E2866" s="81" t="s">
        <v>187</v>
      </c>
      <c r="F2866" s="81" t="s">
        <v>187</v>
      </c>
      <c r="G2866" s="81" t="s">
        <v>187</v>
      </c>
      <c r="H2866" s="81" t="s">
        <v>187</v>
      </c>
      <c r="I2866" s="81" t="s">
        <v>187</v>
      </c>
      <c r="J2866" s="81" t="s">
        <v>187</v>
      </c>
      <c r="K2866" s="81" t="s">
        <v>187</v>
      </c>
      <c r="L2866" s="81" t="s">
        <v>187</v>
      </c>
    </row>
    <row r="2867" ht="15.75" customHeight="1">
      <c r="A2867" s="262"/>
      <c r="B2867" s="262"/>
      <c r="C2867" s="263"/>
      <c r="D2867" s="262"/>
      <c r="E2867" s="81" t="s">
        <v>187</v>
      </c>
      <c r="F2867" s="81" t="s">
        <v>187</v>
      </c>
      <c r="G2867" s="81" t="s">
        <v>187</v>
      </c>
      <c r="H2867" s="81" t="s">
        <v>187</v>
      </c>
      <c r="I2867" s="81" t="s">
        <v>187</v>
      </c>
      <c r="J2867" s="81" t="s">
        <v>187</v>
      </c>
      <c r="K2867" s="81" t="s">
        <v>187</v>
      </c>
      <c r="L2867" s="81" t="s">
        <v>187</v>
      </c>
    </row>
    <row r="2868" ht="15.75" customHeight="1">
      <c r="A2868" s="262"/>
      <c r="B2868" s="262"/>
      <c r="C2868" s="263"/>
      <c r="D2868" s="262"/>
      <c r="E2868" s="81" t="s">
        <v>187</v>
      </c>
      <c r="F2868" s="81" t="s">
        <v>187</v>
      </c>
      <c r="G2868" s="81" t="s">
        <v>187</v>
      </c>
      <c r="H2868" s="81" t="s">
        <v>187</v>
      </c>
      <c r="I2868" s="81" t="s">
        <v>187</v>
      </c>
      <c r="J2868" s="81" t="s">
        <v>187</v>
      </c>
      <c r="K2868" s="81" t="s">
        <v>187</v>
      </c>
      <c r="L2868" s="81" t="s">
        <v>187</v>
      </c>
    </row>
    <row r="2869" ht="15.75" customHeight="1">
      <c r="A2869" s="262"/>
      <c r="B2869" s="262"/>
      <c r="C2869" s="263"/>
      <c r="D2869" s="262"/>
      <c r="E2869" s="81" t="s">
        <v>187</v>
      </c>
      <c r="F2869" s="81" t="s">
        <v>187</v>
      </c>
      <c r="G2869" s="81" t="s">
        <v>187</v>
      </c>
      <c r="H2869" s="81" t="s">
        <v>187</v>
      </c>
      <c r="I2869" s="81" t="s">
        <v>187</v>
      </c>
      <c r="J2869" s="81" t="s">
        <v>187</v>
      </c>
      <c r="K2869" s="81" t="s">
        <v>187</v>
      </c>
      <c r="L2869" s="81" t="s">
        <v>187</v>
      </c>
    </row>
    <row r="2870" ht="15.75" customHeight="1">
      <c r="A2870" s="262"/>
      <c r="B2870" s="262"/>
      <c r="C2870" s="263"/>
      <c r="D2870" s="262"/>
      <c r="E2870" s="81" t="s">
        <v>187</v>
      </c>
      <c r="F2870" s="81" t="s">
        <v>187</v>
      </c>
      <c r="G2870" s="81" t="s">
        <v>187</v>
      </c>
      <c r="H2870" s="81" t="s">
        <v>187</v>
      </c>
      <c r="I2870" s="81" t="s">
        <v>187</v>
      </c>
      <c r="J2870" s="81" t="s">
        <v>187</v>
      </c>
      <c r="K2870" s="81" t="s">
        <v>187</v>
      </c>
      <c r="L2870" s="81" t="s">
        <v>187</v>
      </c>
    </row>
    <row r="2871" ht="15.75" customHeight="1">
      <c r="A2871" s="262"/>
      <c r="B2871" s="262"/>
      <c r="C2871" s="263"/>
      <c r="D2871" s="262"/>
      <c r="E2871" s="81" t="s">
        <v>187</v>
      </c>
      <c r="F2871" s="81" t="s">
        <v>187</v>
      </c>
      <c r="G2871" s="81" t="s">
        <v>187</v>
      </c>
      <c r="H2871" s="81" t="s">
        <v>187</v>
      </c>
      <c r="I2871" s="81" t="s">
        <v>187</v>
      </c>
      <c r="J2871" s="81" t="s">
        <v>187</v>
      </c>
      <c r="K2871" s="81" t="s">
        <v>187</v>
      </c>
      <c r="L2871" s="81" t="s">
        <v>187</v>
      </c>
    </row>
    <row r="2872" ht="15.75" customHeight="1">
      <c r="A2872" s="262"/>
      <c r="B2872" s="262"/>
      <c r="C2872" s="263"/>
      <c r="D2872" s="262"/>
      <c r="E2872" s="81" t="s">
        <v>187</v>
      </c>
      <c r="F2872" s="81" t="s">
        <v>187</v>
      </c>
      <c r="G2872" s="81" t="s">
        <v>187</v>
      </c>
      <c r="H2872" s="81" t="s">
        <v>187</v>
      </c>
      <c r="I2872" s="81" t="s">
        <v>187</v>
      </c>
      <c r="J2872" s="81" t="s">
        <v>187</v>
      </c>
      <c r="K2872" s="81" t="s">
        <v>187</v>
      </c>
      <c r="L2872" s="81" t="s">
        <v>187</v>
      </c>
    </row>
    <row r="2873" ht="15.75" customHeight="1">
      <c r="A2873" s="262"/>
      <c r="B2873" s="262"/>
      <c r="C2873" s="263"/>
      <c r="D2873" s="262"/>
      <c r="E2873" s="81" t="s">
        <v>187</v>
      </c>
      <c r="F2873" s="81" t="s">
        <v>187</v>
      </c>
      <c r="G2873" s="81" t="s">
        <v>187</v>
      </c>
      <c r="H2873" s="81" t="s">
        <v>187</v>
      </c>
      <c r="I2873" s="81" t="s">
        <v>187</v>
      </c>
      <c r="J2873" s="81" t="s">
        <v>187</v>
      </c>
      <c r="K2873" s="81" t="s">
        <v>187</v>
      </c>
      <c r="L2873" s="81" t="s">
        <v>187</v>
      </c>
    </row>
    <row r="2874" ht="15.75" customHeight="1">
      <c r="A2874" s="262"/>
      <c r="B2874" s="262"/>
      <c r="C2874" s="263"/>
      <c r="D2874" s="262"/>
      <c r="E2874" s="81" t="s">
        <v>187</v>
      </c>
      <c r="F2874" s="81" t="s">
        <v>187</v>
      </c>
      <c r="G2874" s="81" t="s">
        <v>187</v>
      </c>
      <c r="H2874" s="81" t="s">
        <v>187</v>
      </c>
      <c r="I2874" s="81" t="s">
        <v>187</v>
      </c>
      <c r="J2874" s="81" t="s">
        <v>187</v>
      </c>
      <c r="K2874" s="81" t="s">
        <v>187</v>
      </c>
      <c r="L2874" s="81" t="s">
        <v>187</v>
      </c>
    </row>
    <row r="2875" ht="15.75" customHeight="1">
      <c r="A2875" s="262"/>
      <c r="B2875" s="262"/>
      <c r="C2875" s="263"/>
      <c r="D2875" s="262"/>
      <c r="E2875" s="81" t="s">
        <v>187</v>
      </c>
      <c r="F2875" s="81" t="s">
        <v>187</v>
      </c>
      <c r="G2875" s="81" t="s">
        <v>187</v>
      </c>
      <c r="H2875" s="81" t="s">
        <v>187</v>
      </c>
      <c r="I2875" s="81" t="s">
        <v>187</v>
      </c>
      <c r="J2875" s="81" t="s">
        <v>187</v>
      </c>
      <c r="K2875" s="81" t="s">
        <v>187</v>
      </c>
      <c r="L2875" s="81" t="s">
        <v>187</v>
      </c>
    </row>
    <row r="2876" ht="15.75" customHeight="1">
      <c r="A2876" s="262"/>
      <c r="B2876" s="262"/>
      <c r="C2876" s="263"/>
      <c r="D2876" s="262"/>
      <c r="E2876" s="81" t="s">
        <v>187</v>
      </c>
      <c r="F2876" s="81" t="s">
        <v>187</v>
      </c>
      <c r="G2876" s="81" t="s">
        <v>187</v>
      </c>
      <c r="H2876" s="81" t="s">
        <v>187</v>
      </c>
      <c r="I2876" s="81" t="s">
        <v>187</v>
      </c>
      <c r="J2876" s="81" t="s">
        <v>187</v>
      </c>
      <c r="K2876" s="81" t="s">
        <v>187</v>
      </c>
      <c r="L2876" s="81" t="s">
        <v>187</v>
      </c>
    </row>
    <row r="2877" ht="15.75" customHeight="1">
      <c r="A2877" s="262"/>
      <c r="B2877" s="262"/>
      <c r="C2877" s="263"/>
      <c r="D2877" s="262"/>
      <c r="E2877" s="81" t="s">
        <v>187</v>
      </c>
      <c r="F2877" s="81" t="s">
        <v>187</v>
      </c>
      <c r="G2877" s="81" t="s">
        <v>187</v>
      </c>
      <c r="H2877" s="81" t="s">
        <v>187</v>
      </c>
      <c r="I2877" s="81" t="s">
        <v>187</v>
      </c>
      <c r="J2877" s="81" t="s">
        <v>187</v>
      </c>
      <c r="K2877" s="81" t="s">
        <v>187</v>
      </c>
      <c r="L2877" s="81" t="s">
        <v>187</v>
      </c>
    </row>
    <row r="2878" ht="15.75" customHeight="1">
      <c r="A2878" s="262"/>
      <c r="B2878" s="262"/>
      <c r="C2878" s="263"/>
      <c r="D2878" s="262"/>
      <c r="E2878" s="81" t="s">
        <v>187</v>
      </c>
      <c r="F2878" s="81" t="s">
        <v>187</v>
      </c>
      <c r="G2878" s="81" t="s">
        <v>187</v>
      </c>
      <c r="H2878" s="81" t="s">
        <v>187</v>
      </c>
      <c r="I2878" s="81" t="s">
        <v>187</v>
      </c>
      <c r="J2878" s="81" t="s">
        <v>187</v>
      </c>
      <c r="K2878" s="81" t="s">
        <v>187</v>
      </c>
      <c r="L2878" s="81" t="s">
        <v>187</v>
      </c>
    </row>
    <row r="2879" ht="15.75" customHeight="1">
      <c r="A2879" s="262"/>
      <c r="B2879" s="262"/>
      <c r="C2879" s="263"/>
      <c r="D2879" s="262"/>
      <c r="E2879" s="81" t="s">
        <v>187</v>
      </c>
      <c r="F2879" s="81" t="s">
        <v>187</v>
      </c>
      <c r="G2879" s="81" t="s">
        <v>187</v>
      </c>
      <c r="H2879" s="81" t="s">
        <v>187</v>
      </c>
      <c r="I2879" s="81" t="s">
        <v>187</v>
      </c>
      <c r="J2879" s="81" t="s">
        <v>187</v>
      </c>
      <c r="K2879" s="81" t="s">
        <v>187</v>
      </c>
      <c r="L2879" s="81" t="s">
        <v>187</v>
      </c>
    </row>
    <row r="2880" ht="15.75" customHeight="1">
      <c r="A2880" s="262"/>
      <c r="B2880" s="262"/>
      <c r="C2880" s="263"/>
      <c r="D2880" s="262"/>
      <c r="E2880" s="81" t="s">
        <v>187</v>
      </c>
      <c r="F2880" s="81" t="s">
        <v>187</v>
      </c>
      <c r="G2880" s="81" t="s">
        <v>187</v>
      </c>
      <c r="H2880" s="81" t="s">
        <v>187</v>
      </c>
      <c r="I2880" s="81" t="s">
        <v>187</v>
      </c>
      <c r="J2880" s="81" t="s">
        <v>187</v>
      </c>
      <c r="K2880" s="81" t="s">
        <v>187</v>
      </c>
      <c r="L2880" s="81" t="s">
        <v>187</v>
      </c>
    </row>
    <row r="2881" ht="15.75" customHeight="1">
      <c r="A2881" s="262"/>
      <c r="B2881" s="262"/>
      <c r="C2881" s="263"/>
      <c r="D2881" s="262"/>
      <c r="E2881" s="81" t="s">
        <v>187</v>
      </c>
      <c r="F2881" s="81" t="s">
        <v>187</v>
      </c>
      <c r="G2881" s="81" t="s">
        <v>187</v>
      </c>
      <c r="H2881" s="81" t="s">
        <v>187</v>
      </c>
      <c r="I2881" s="81" t="s">
        <v>187</v>
      </c>
      <c r="J2881" s="81" t="s">
        <v>187</v>
      </c>
      <c r="K2881" s="81" t="s">
        <v>187</v>
      </c>
      <c r="L2881" s="81" t="s">
        <v>187</v>
      </c>
    </row>
    <row r="2882" ht="15.75" customHeight="1">
      <c r="A2882" s="262"/>
      <c r="B2882" s="262"/>
      <c r="C2882" s="263"/>
      <c r="D2882" s="262"/>
      <c r="E2882" s="81" t="s">
        <v>187</v>
      </c>
      <c r="F2882" s="81" t="s">
        <v>187</v>
      </c>
      <c r="G2882" s="81" t="s">
        <v>187</v>
      </c>
      <c r="H2882" s="81" t="s">
        <v>187</v>
      </c>
      <c r="I2882" s="81" t="s">
        <v>187</v>
      </c>
      <c r="J2882" s="81" t="s">
        <v>187</v>
      </c>
      <c r="K2882" s="81" t="s">
        <v>187</v>
      </c>
      <c r="L2882" s="81" t="s">
        <v>187</v>
      </c>
    </row>
    <row r="2883" ht="15.75" customHeight="1">
      <c r="A2883" s="262"/>
      <c r="B2883" s="262"/>
      <c r="C2883" s="263"/>
      <c r="D2883" s="262"/>
      <c r="E2883" s="81" t="s">
        <v>187</v>
      </c>
      <c r="F2883" s="81" t="s">
        <v>187</v>
      </c>
      <c r="G2883" s="81" t="s">
        <v>187</v>
      </c>
      <c r="H2883" s="81" t="s">
        <v>187</v>
      </c>
      <c r="I2883" s="81" t="s">
        <v>187</v>
      </c>
      <c r="J2883" s="81" t="s">
        <v>187</v>
      </c>
      <c r="K2883" s="81" t="s">
        <v>187</v>
      </c>
      <c r="L2883" s="81" t="s">
        <v>187</v>
      </c>
    </row>
    <row r="2884" ht="15.75" customHeight="1">
      <c r="A2884" s="262"/>
      <c r="B2884" s="262"/>
      <c r="C2884" s="263"/>
      <c r="D2884" s="262"/>
      <c r="E2884" s="81" t="s">
        <v>187</v>
      </c>
      <c r="F2884" s="81" t="s">
        <v>187</v>
      </c>
      <c r="G2884" s="81" t="s">
        <v>187</v>
      </c>
      <c r="H2884" s="81" t="s">
        <v>187</v>
      </c>
      <c r="I2884" s="81" t="s">
        <v>187</v>
      </c>
      <c r="J2884" s="81" t="s">
        <v>187</v>
      </c>
      <c r="K2884" s="81" t="s">
        <v>187</v>
      </c>
      <c r="L2884" s="81" t="s">
        <v>187</v>
      </c>
    </row>
    <row r="2885" ht="15.75" customHeight="1">
      <c r="A2885" s="262"/>
      <c r="B2885" s="262"/>
      <c r="C2885" s="263"/>
      <c r="D2885" s="262"/>
      <c r="E2885" s="81" t="s">
        <v>187</v>
      </c>
      <c r="F2885" s="81" t="s">
        <v>187</v>
      </c>
      <c r="G2885" s="81" t="s">
        <v>187</v>
      </c>
      <c r="H2885" s="81" t="s">
        <v>187</v>
      </c>
      <c r="I2885" s="81" t="s">
        <v>187</v>
      </c>
      <c r="J2885" s="81" t="s">
        <v>187</v>
      </c>
      <c r="K2885" s="81" t="s">
        <v>187</v>
      </c>
      <c r="L2885" s="81" t="s">
        <v>187</v>
      </c>
    </row>
    <row r="2886" ht="15.75" customHeight="1">
      <c r="A2886" s="262"/>
      <c r="B2886" s="262"/>
      <c r="C2886" s="263"/>
      <c r="D2886" s="262"/>
      <c r="E2886" s="81" t="s">
        <v>187</v>
      </c>
      <c r="F2886" s="81" t="s">
        <v>187</v>
      </c>
      <c r="G2886" s="81" t="s">
        <v>187</v>
      </c>
      <c r="H2886" s="81" t="s">
        <v>187</v>
      </c>
      <c r="I2886" s="81" t="s">
        <v>187</v>
      </c>
      <c r="J2886" s="81" t="s">
        <v>187</v>
      </c>
      <c r="K2886" s="81" t="s">
        <v>187</v>
      </c>
      <c r="L2886" s="81" t="s">
        <v>187</v>
      </c>
    </row>
    <row r="2887" ht="15.75" customHeight="1">
      <c r="A2887" s="262"/>
      <c r="B2887" s="262"/>
      <c r="C2887" s="263"/>
      <c r="D2887" s="262"/>
      <c r="E2887" s="81" t="s">
        <v>187</v>
      </c>
      <c r="F2887" s="81" t="s">
        <v>187</v>
      </c>
      <c r="G2887" s="81" t="s">
        <v>187</v>
      </c>
      <c r="H2887" s="81" t="s">
        <v>187</v>
      </c>
      <c r="I2887" s="81" t="s">
        <v>187</v>
      </c>
      <c r="J2887" s="81" t="s">
        <v>187</v>
      </c>
      <c r="K2887" s="81" t="s">
        <v>187</v>
      </c>
      <c r="L2887" s="81" t="s">
        <v>187</v>
      </c>
    </row>
    <row r="2888" ht="15.75" customHeight="1">
      <c r="A2888" s="262"/>
      <c r="B2888" s="262"/>
      <c r="C2888" s="263"/>
      <c r="D2888" s="262"/>
      <c r="E2888" s="81" t="s">
        <v>187</v>
      </c>
      <c r="F2888" s="81" t="s">
        <v>187</v>
      </c>
      <c r="G2888" s="81" t="s">
        <v>187</v>
      </c>
      <c r="H2888" s="81" t="s">
        <v>187</v>
      </c>
      <c r="I2888" s="81" t="s">
        <v>187</v>
      </c>
      <c r="J2888" s="81" t="s">
        <v>187</v>
      </c>
      <c r="K2888" s="81" t="s">
        <v>187</v>
      </c>
      <c r="L2888" s="81" t="s">
        <v>187</v>
      </c>
    </row>
    <row r="2889" ht="15.75" customHeight="1">
      <c r="A2889" s="262"/>
      <c r="B2889" s="262"/>
      <c r="C2889" s="263"/>
      <c r="D2889" s="262"/>
      <c r="E2889" s="81" t="s">
        <v>187</v>
      </c>
      <c r="F2889" s="81" t="s">
        <v>187</v>
      </c>
      <c r="G2889" s="81" t="s">
        <v>187</v>
      </c>
      <c r="H2889" s="81" t="s">
        <v>187</v>
      </c>
      <c r="I2889" s="81" t="s">
        <v>187</v>
      </c>
      <c r="J2889" s="81" t="s">
        <v>187</v>
      </c>
      <c r="K2889" s="81" t="s">
        <v>187</v>
      </c>
      <c r="L2889" s="81" t="s">
        <v>187</v>
      </c>
    </row>
    <row r="2890" ht="15.75" customHeight="1">
      <c r="A2890" s="262"/>
      <c r="B2890" s="262"/>
      <c r="C2890" s="263"/>
      <c r="D2890" s="262"/>
      <c r="E2890" s="81" t="s">
        <v>187</v>
      </c>
      <c r="F2890" s="81" t="s">
        <v>187</v>
      </c>
      <c r="G2890" s="81" t="s">
        <v>187</v>
      </c>
      <c r="H2890" s="81" t="s">
        <v>187</v>
      </c>
      <c r="I2890" s="81" t="s">
        <v>187</v>
      </c>
      <c r="J2890" s="81" t="s">
        <v>187</v>
      </c>
      <c r="K2890" s="81" t="s">
        <v>187</v>
      </c>
      <c r="L2890" s="81" t="s">
        <v>187</v>
      </c>
    </row>
    <row r="2891" ht="15.75" customHeight="1">
      <c r="A2891" s="262"/>
      <c r="B2891" s="262"/>
      <c r="C2891" s="263"/>
      <c r="D2891" s="262"/>
      <c r="E2891" s="81" t="s">
        <v>187</v>
      </c>
      <c r="F2891" s="81" t="s">
        <v>187</v>
      </c>
      <c r="G2891" s="81" t="s">
        <v>187</v>
      </c>
      <c r="H2891" s="81" t="s">
        <v>187</v>
      </c>
      <c r="I2891" s="81" t="s">
        <v>187</v>
      </c>
      <c r="J2891" s="81" t="s">
        <v>187</v>
      </c>
      <c r="K2891" s="81" t="s">
        <v>187</v>
      </c>
      <c r="L2891" s="81" t="s">
        <v>187</v>
      </c>
    </row>
    <row r="2892" ht="15.75" customHeight="1">
      <c r="A2892" s="262"/>
      <c r="B2892" s="262"/>
      <c r="C2892" s="263"/>
      <c r="D2892" s="262"/>
      <c r="E2892" s="81" t="s">
        <v>187</v>
      </c>
      <c r="F2892" s="81" t="s">
        <v>187</v>
      </c>
      <c r="G2892" s="81" t="s">
        <v>187</v>
      </c>
      <c r="H2892" s="81" t="s">
        <v>187</v>
      </c>
      <c r="I2892" s="81" t="s">
        <v>187</v>
      </c>
      <c r="J2892" s="81" t="s">
        <v>187</v>
      </c>
      <c r="K2892" s="81" t="s">
        <v>187</v>
      </c>
      <c r="L2892" s="81" t="s">
        <v>187</v>
      </c>
    </row>
    <row r="2893" ht="15.75" customHeight="1">
      <c r="A2893" s="262"/>
      <c r="B2893" s="262"/>
      <c r="C2893" s="263"/>
      <c r="D2893" s="262"/>
      <c r="E2893" s="81" t="s">
        <v>187</v>
      </c>
      <c r="F2893" s="81" t="s">
        <v>187</v>
      </c>
      <c r="G2893" s="81" t="s">
        <v>187</v>
      </c>
      <c r="H2893" s="81" t="s">
        <v>187</v>
      </c>
      <c r="I2893" s="81" t="s">
        <v>187</v>
      </c>
      <c r="J2893" s="81" t="s">
        <v>187</v>
      </c>
      <c r="K2893" s="81" t="s">
        <v>187</v>
      </c>
      <c r="L2893" s="81" t="s">
        <v>187</v>
      </c>
    </row>
    <row r="2894" ht="15.75" customHeight="1">
      <c r="A2894" s="262"/>
      <c r="B2894" s="262"/>
      <c r="C2894" s="263"/>
      <c r="D2894" s="262"/>
      <c r="E2894" s="81" t="s">
        <v>187</v>
      </c>
      <c r="F2894" s="81" t="s">
        <v>187</v>
      </c>
      <c r="G2894" s="81" t="s">
        <v>187</v>
      </c>
      <c r="H2894" s="81" t="s">
        <v>187</v>
      </c>
      <c r="I2894" s="81" t="s">
        <v>187</v>
      </c>
      <c r="J2894" s="81" t="s">
        <v>187</v>
      </c>
      <c r="K2894" s="81" t="s">
        <v>187</v>
      </c>
      <c r="L2894" s="81" t="s">
        <v>187</v>
      </c>
    </row>
    <row r="2895" ht="15.75" customHeight="1">
      <c r="A2895" s="262"/>
      <c r="B2895" s="262"/>
      <c r="C2895" s="263"/>
      <c r="D2895" s="262"/>
      <c r="E2895" s="81" t="s">
        <v>187</v>
      </c>
      <c r="F2895" s="81" t="s">
        <v>187</v>
      </c>
      <c r="G2895" s="81" t="s">
        <v>187</v>
      </c>
      <c r="H2895" s="81" t="s">
        <v>187</v>
      </c>
      <c r="I2895" s="81" t="s">
        <v>187</v>
      </c>
      <c r="J2895" s="81" t="s">
        <v>187</v>
      </c>
      <c r="K2895" s="81" t="s">
        <v>187</v>
      </c>
      <c r="L2895" s="81" t="s">
        <v>187</v>
      </c>
    </row>
    <row r="2896" ht="15.75" customHeight="1">
      <c r="A2896" s="262"/>
      <c r="B2896" s="262"/>
      <c r="C2896" s="263"/>
      <c r="D2896" s="262"/>
      <c r="E2896" s="81" t="s">
        <v>187</v>
      </c>
      <c r="F2896" s="81" t="s">
        <v>187</v>
      </c>
      <c r="G2896" s="81" t="s">
        <v>187</v>
      </c>
      <c r="H2896" s="81" t="s">
        <v>187</v>
      </c>
      <c r="I2896" s="81" t="s">
        <v>187</v>
      </c>
      <c r="J2896" s="81" t="s">
        <v>187</v>
      </c>
      <c r="K2896" s="81" t="s">
        <v>187</v>
      </c>
      <c r="L2896" s="81" t="s">
        <v>187</v>
      </c>
    </row>
    <row r="2897" ht="15.75" customHeight="1">
      <c r="A2897" s="262"/>
      <c r="B2897" s="262"/>
      <c r="C2897" s="263"/>
      <c r="D2897" s="262"/>
      <c r="E2897" s="81" t="s">
        <v>187</v>
      </c>
      <c r="F2897" s="81" t="s">
        <v>187</v>
      </c>
      <c r="G2897" s="81" t="s">
        <v>187</v>
      </c>
      <c r="H2897" s="81" t="s">
        <v>187</v>
      </c>
      <c r="I2897" s="81" t="s">
        <v>187</v>
      </c>
      <c r="J2897" s="81" t="s">
        <v>187</v>
      </c>
      <c r="K2897" s="81" t="s">
        <v>187</v>
      </c>
      <c r="L2897" s="81" t="s">
        <v>187</v>
      </c>
    </row>
    <row r="2898" ht="15.75" customHeight="1">
      <c r="A2898" s="262"/>
      <c r="B2898" s="262"/>
      <c r="C2898" s="263"/>
      <c r="D2898" s="262"/>
      <c r="E2898" s="81" t="s">
        <v>187</v>
      </c>
      <c r="F2898" s="81" t="s">
        <v>187</v>
      </c>
      <c r="G2898" s="81" t="s">
        <v>187</v>
      </c>
      <c r="H2898" s="81" t="s">
        <v>187</v>
      </c>
      <c r="I2898" s="81" t="s">
        <v>187</v>
      </c>
      <c r="J2898" s="81" t="s">
        <v>187</v>
      </c>
      <c r="K2898" s="81" t="s">
        <v>187</v>
      </c>
      <c r="L2898" s="81" t="s">
        <v>187</v>
      </c>
    </row>
    <row r="2899" ht="15.75" customHeight="1">
      <c r="A2899" s="262"/>
      <c r="B2899" s="262"/>
      <c r="C2899" s="263"/>
      <c r="D2899" s="262"/>
      <c r="E2899" s="81" t="s">
        <v>187</v>
      </c>
      <c r="F2899" s="81" t="s">
        <v>187</v>
      </c>
      <c r="G2899" s="81" t="s">
        <v>187</v>
      </c>
      <c r="H2899" s="81" t="s">
        <v>187</v>
      </c>
      <c r="I2899" s="81" t="s">
        <v>187</v>
      </c>
      <c r="J2899" s="81" t="s">
        <v>187</v>
      </c>
      <c r="K2899" s="81" t="s">
        <v>187</v>
      </c>
      <c r="L2899" s="81" t="s">
        <v>187</v>
      </c>
    </row>
    <row r="2900" ht="15.75" customHeight="1">
      <c r="A2900" s="262"/>
      <c r="B2900" s="262"/>
      <c r="C2900" s="263"/>
      <c r="D2900" s="262"/>
      <c r="E2900" s="81" t="s">
        <v>187</v>
      </c>
      <c r="F2900" s="81" t="s">
        <v>187</v>
      </c>
      <c r="G2900" s="81" t="s">
        <v>187</v>
      </c>
      <c r="H2900" s="81" t="s">
        <v>187</v>
      </c>
      <c r="I2900" s="81" t="s">
        <v>187</v>
      </c>
      <c r="J2900" s="81" t="s">
        <v>187</v>
      </c>
      <c r="K2900" s="81" t="s">
        <v>187</v>
      </c>
      <c r="L2900" s="81" t="s">
        <v>187</v>
      </c>
    </row>
    <row r="2901" ht="15.75" customHeight="1">
      <c r="A2901" s="262"/>
      <c r="B2901" s="262"/>
      <c r="C2901" s="263"/>
      <c r="D2901" s="262"/>
      <c r="E2901" s="81" t="s">
        <v>187</v>
      </c>
      <c r="F2901" s="81" t="s">
        <v>187</v>
      </c>
      <c r="G2901" s="81" t="s">
        <v>187</v>
      </c>
      <c r="H2901" s="81" t="s">
        <v>187</v>
      </c>
      <c r="I2901" s="81" t="s">
        <v>187</v>
      </c>
      <c r="J2901" s="81" t="s">
        <v>187</v>
      </c>
      <c r="K2901" s="81" t="s">
        <v>187</v>
      </c>
      <c r="L2901" s="81" t="s">
        <v>187</v>
      </c>
    </row>
    <row r="2902" ht="15.75" customHeight="1">
      <c r="A2902" s="262"/>
      <c r="B2902" s="262"/>
      <c r="C2902" s="263"/>
      <c r="D2902" s="262"/>
      <c r="E2902" s="81" t="s">
        <v>187</v>
      </c>
      <c r="F2902" s="81" t="s">
        <v>187</v>
      </c>
      <c r="G2902" s="81" t="s">
        <v>187</v>
      </c>
      <c r="H2902" s="81" t="s">
        <v>187</v>
      </c>
      <c r="I2902" s="81" t="s">
        <v>187</v>
      </c>
      <c r="J2902" s="81" t="s">
        <v>187</v>
      </c>
      <c r="K2902" s="81" t="s">
        <v>187</v>
      </c>
      <c r="L2902" s="81" t="s">
        <v>187</v>
      </c>
    </row>
    <row r="2903" ht="15.75" customHeight="1">
      <c r="A2903" s="262"/>
      <c r="B2903" s="262"/>
      <c r="C2903" s="263"/>
      <c r="D2903" s="262"/>
      <c r="E2903" s="81" t="s">
        <v>187</v>
      </c>
      <c r="F2903" s="81" t="s">
        <v>187</v>
      </c>
      <c r="G2903" s="81" t="s">
        <v>187</v>
      </c>
      <c r="H2903" s="81" t="s">
        <v>187</v>
      </c>
      <c r="I2903" s="81" t="s">
        <v>187</v>
      </c>
      <c r="J2903" s="81" t="s">
        <v>187</v>
      </c>
      <c r="K2903" s="81" t="s">
        <v>187</v>
      </c>
      <c r="L2903" s="81" t="s">
        <v>187</v>
      </c>
    </row>
    <row r="2904" ht="15.75" customHeight="1">
      <c r="A2904" s="262"/>
      <c r="B2904" s="262"/>
      <c r="C2904" s="263"/>
      <c r="D2904" s="262"/>
      <c r="E2904" s="81" t="s">
        <v>187</v>
      </c>
      <c r="F2904" s="81" t="s">
        <v>187</v>
      </c>
      <c r="G2904" s="81" t="s">
        <v>187</v>
      </c>
      <c r="H2904" s="81" t="s">
        <v>187</v>
      </c>
      <c r="I2904" s="81" t="s">
        <v>187</v>
      </c>
      <c r="J2904" s="81" t="s">
        <v>187</v>
      </c>
      <c r="K2904" s="81" t="s">
        <v>187</v>
      </c>
      <c r="L2904" s="81" t="s">
        <v>187</v>
      </c>
    </row>
    <row r="2905" ht="15.75" customHeight="1">
      <c r="A2905" s="262"/>
      <c r="B2905" s="262"/>
      <c r="C2905" s="263"/>
      <c r="D2905" s="262"/>
      <c r="E2905" s="81" t="s">
        <v>187</v>
      </c>
      <c r="F2905" s="81" t="s">
        <v>187</v>
      </c>
      <c r="G2905" s="81" t="s">
        <v>187</v>
      </c>
      <c r="H2905" s="81" t="s">
        <v>187</v>
      </c>
      <c r="I2905" s="81" t="s">
        <v>187</v>
      </c>
      <c r="J2905" s="81" t="s">
        <v>187</v>
      </c>
      <c r="K2905" s="81" t="s">
        <v>187</v>
      </c>
      <c r="L2905" s="81" t="s">
        <v>187</v>
      </c>
    </row>
    <row r="2906" ht="15.75" customHeight="1">
      <c r="A2906" s="262"/>
      <c r="B2906" s="262"/>
      <c r="C2906" s="263"/>
      <c r="D2906" s="262"/>
      <c r="E2906" s="81" t="s">
        <v>187</v>
      </c>
      <c r="F2906" s="81" t="s">
        <v>187</v>
      </c>
      <c r="G2906" s="81" t="s">
        <v>187</v>
      </c>
      <c r="H2906" s="81" t="s">
        <v>187</v>
      </c>
      <c r="I2906" s="81" t="s">
        <v>187</v>
      </c>
      <c r="J2906" s="81" t="s">
        <v>187</v>
      </c>
      <c r="K2906" s="81" t="s">
        <v>187</v>
      </c>
      <c r="L2906" s="81" t="s">
        <v>187</v>
      </c>
    </row>
    <row r="2907" ht="15.75" customHeight="1">
      <c r="A2907" s="262"/>
      <c r="B2907" s="262"/>
      <c r="C2907" s="263"/>
      <c r="D2907" s="262"/>
      <c r="E2907" s="81" t="s">
        <v>187</v>
      </c>
      <c r="F2907" s="81" t="s">
        <v>187</v>
      </c>
      <c r="G2907" s="81" t="s">
        <v>187</v>
      </c>
      <c r="H2907" s="81" t="s">
        <v>187</v>
      </c>
      <c r="I2907" s="81" t="s">
        <v>187</v>
      </c>
      <c r="J2907" s="81" t="s">
        <v>187</v>
      </c>
      <c r="K2907" s="81" t="s">
        <v>187</v>
      </c>
      <c r="L2907" s="81" t="s">
        <v>187</v>
      </c>
    </row>
    <row r="2908" ht="15.75" customHeight="1">
      <c r="A2908" s="262"/>
      <c r="B2908" s="262"/>
      <c r="C2908" s="263"/>
      <c r="D2908" s="262"/>
      <c r="E2908" s="81" t="s">
        <v>187</v>
      </c>
      <c r="F2908" s="81" t="s">
        <v>187</v>
      </c>
      <c r="G2908" s="81" t="s">
        <v>187</v>
      </c>
      <c r="H2908" s="81" t="s">
        <v>187</v>
      </c>
      <c r="I2908" s="81" t="s">
        <v>187</v>
      </c>
      <c r="J2908" s="81" t="s">
        <v>187</v>
      </c>
      <c r="K2908" s="81" t="s">
        <v>187</v>
      </c>
      <c r="L2908" s="81" t="s">
        <v>187</v>
      </c>
    </row>
    <row r="2909" ht="15.75" customHeight="1">
      <c r="A2909" s="262"/>
      <c r="B2909" s="262"/>
      <c r="C2909" s="263"/>
      <c r="D2909" s="262"/>
      <c r="E2909" s="81" t="s">
        <v>187</v>
      </c>
      <c r="F2909" s="81" t="s">
        <v>187</v>
      </c>
      <c r="G2909" s="81" t="s">
        <v>187</v>
      </c>
      <c r="H2909" s="81" t="s">
        <v>187</v>
      </c>
      <c r="I2909" s="81" t="s">
        <v>187</v>
      </c>
      <c r="J2909" s="81" t="s">
        <v>187</v>
      </c>
      <c r="K2909" s="81" t="s">
        <v>187</v>
      </c>
      <c r="L2909" s="81" t="s">
        <v>187</v>
      </c>
    </row>
    <row r="2910" ht="15.75" customHeight="1">
      <c r="A2910" s="262"/>
      <c r="B2910" s="262"/>
      <c r="C2910" s="263"/>
      <c r="D2910" s="262"/>
      <c r="E2910" s="81" t="s">
        <v>187</v>
      </c>
      <c r="F2910" s="81" t="s">
        <v>187</v>
      </c>
      <c r="G2910" s="81" t="s">
        <v>187</v>
      </c>
      <c r="H2910" s="81" t="s">
        <v>187</v>
      </c>
      <c r="I2910" s="81" t="s">
        <v>187</v>
      </c>
      <c r="J2910" s="81" t="s">
        <v>187</v>
      </c>
      <c r="K2910" s="81" t="s">
        <v>187</v>
      </c>
      <c r="L2910" s="81" t="s">
        <v>187</v>
      </c>
    </row>
    <row r="2911" ht="15.75" customHeight="1">
      <c r="A2911" s="262"/>
      <c r="B2911" s="262"/>
      <c r="C2911" s="263"/>
      <c r="D2911" s="262"/>
      <c r="E2911" s="81" t="s">
        <v>187</v>
      </c>
      <c r="F2911" s="81" t="s">
        <v>187</v>
      </c>
      <c r="G2911" s="81" t="s">
        <v>187</v>
      </c>
      <c r="H2911" s="81" t="s">
        <v>187</v>
      </c>
      <c r="I2911" s="81" t="s">
        <v>187</v>
      </c>
      <c r="J2911" s="81" t="s">
        <v>187</v>
      </c>
      <c r="K2911" s="81" t="s">
        <v>187</v>
      </c>
      <c r="L2911" s="81" t="s">
        <v>187</v>
      </c>
    </row>
    <row r="2912" ht="15.75" customHeight="1">
      <c r="A2912" s="262"/>
      <c r="B2912" s="262"/>
      <c r="C2912" s="263"/>
      <c r="D2912" s="262"/>
      <c r="E2912" s="81" t="s">
        <v>187</v>
      </c>
      <c r="F2912" s="81" t="s">
        <v>187</v>
      </c>
      <c r="G2912" s="81" t="s">
        <v>187</v>
      </c>
      <c r="H2912" s="81" t="s">
        <v>187</v>
      </c>
      <c r="I2912" s="81" t="s">
        <v>187</v>
      </c>
      <c r="J2912" s="81" t="s">
        <v>187</v>
      </c>
      <c r="K2912" s="81" t="s">
        <v>187</v>
      </c>
      <c r="L2912" s="81" t="s">
        <v>187</v>
      </c>
    </row>
    <row r="2913" ht="15.75" customHeight="1">
      <c r="A2913" s="262"/>
      <c r="B2913" s="262"/>
      <c r="C2913" s="263"/>
      <c r="D2913" s="262"/>
      <c r="E2913" s="81" t="s">
        <v>187</v>
      </c>
      <c r="F2913" s="81" t="s">
        <v>187</v>
      </c>
      <c r="G2913" s="81" t="s">
        <v>187</v>
      </c>
      <c r="H2913" s="81" t="s">
        <v>187</v>
      </c>
      <c r="I2913" s="81" t="s">
        <v>187</v>
      </c>
      <c r="J2913" s="81" t="s">
        <v>187</v>
      </c>
      <c r="K2913" s="81" t="s">
        <v>187</v>
      </c>
      <c r="L2913" s="81" t="s">
        <v>187</v>
      </c>
    </row>
    <row r="2914" ht="15.75" customHeight="1">
      <c r="A2914" s="262"/>
      <c r="B2914" s="262"/>
      <c r="C2914" s="263"/>
      <c r="D2914" s="262"/>
      <c r="E2914" s="81" t="s">
        <v>187</v>
      </c>
      <c r="F2914" s="81" t="s">
        <v>187</v>
      </c>
      <c r="G2914" s="81" t="s">
        <v>187</v>
      </c>
      <c r="H2914" s="81" t="s">
        <v>187</v>
      </c>
      <c r="I2914" s="81" t="s">
        <v>187</v>
      </c>
      <c r="J2914" s="81" t="s">
        <v>187</v>
      </c>
      <c r="K2914" s="81" t="s">
        <v>187</v>
      </c>
      <c r="L2914" s="81" t="s">
        <v>187</v>
      </c>
    </row>
    <row r="2915" ht="15.75" customHeight="1">
      <c r="A2915" s="262"/>
      <c r="B2915" s="262"/>
      <c r="C2915" s="263"/>
      <c r="D2915" s="262"/>
      <c r="E2915" s="81" t="s">
        <v>187</v>
      </c>
      <c r="F2915" s="81" t="s">
        <v>187</v>
      </c>
      <c r="G2915" s="81" t="s">
        <v>187</v>
      </c>
      <c r="H2915" s="81" t="s">
        <v>187</v>
      </c>
      <c r="I2915" s="81" t="s">
        <v>187</v>
      </c>
      <c r="J2915" s="81" t="s">
        <v>187</v>
      </c>
      <c r="K2915" s="81" t="s">
        <v>187</v>
      </c>
      <c r="L2915" s="81" t="s">
        <v>187</v>
      </c>
    </row>
    <row r="2916" ht="15.75" customHeight="1">
      <c r="A2916" s="262"/>
      <c r="B2916" s="262"/>
      <c r="C2916" s="263"/>
      <c r="D2916" s="262"/>
      <c r="E2916" s="81" t="s">
        <v>187</v>
      </c>
      <c r="F2916" s="81" t="s">
        <v>187</v>
      </c>
      <c r="G2916" s="81" t="s">
        <v>187</v>
      </c>
      <c r="H2916" s="81" t="s">
        <v>187</v>
      </c>
      <c r="I2916" s="81" t="s">
        <v>187</v>
      </c>
      <c r="J2916" s="81" t="s">
        <v>187</v>
      </c>
      <c r="K2916" s="81" t="s">
        <v>187</v>
      </c>
      <c r="L2916" s="81" t="s">
        <v>187</v>
      </c>
    </row>
    <row r="2917" ht="15.75" customHeight="1">
      <c r="A2917" s="262"/>
      <c r="B2917" s="262"/>
      <c r="C2917" s="263"/>
      <c r="D2917" s="262"/>
      <c r="E2917" s="81" t="s">
        <v>187</v>
      </c>
      <c r="F2917" s="81" t="s">
        <v>187</v>
      </c>
      <c r="G2917" s="81" t="s">
        <v>187</v>
      </c>
      <c r="H2917" s="81" t="s">
        <v>187</v>
      </c>
      <c r="I2917" s="81" t="s">
        <v>187</v>
      </c>
      <c r="J2917" s="81" t="s">
        <v>187</v>
      </c>
      <c r="K2917" s="81" t="s">
        <v>187</v>
      </c>
      <c r="L2917" s="81" t="s">
        <v>187</v>
      </c>
    </row>
    <row r="2918" ht="15.75" customHeight="1">
      <c r="A2918" s="262"/>
      <c r="B2918" s="262"/>
      <c r="C2918" s="263"/>
      <c r="D2918" s="262"/>
      <c r="E2918" s="81" t="s">
        <v>187</v>
      </c>
      <c r="F2918" s="81" t="s">
        <v>187</v>
      </c>
      <c r="G2918" s="81" t="s">
        <v>187</v>
      </c>
      <c r="H2918" s="81" t="s">
        <v>187</v>
      </c>
      <c r="I2918" s="81" t="s">
        <v>187</v>
      </c>
      <c r="J2918" s="81" t="s">
        <v>187</v>
      </c>
      <c r="K2918" s="81" t="s">
        <v>187</v>
      </c>
      <c r="L2918" s="81" t="s">
        <v>187</v>
      </c>
    </row>
    <row r="2919" ht="15.75" customHeight="1">
      <c r="A2919" s="262"/>
      <c r="B2919" s="262"/>
      <c r="C2919" s="263"/>
      <c r="D2919" s="262"/>
      <c r="E2919" s="81" t="s">
        <v>187</v>
      </c>
      <c r="F2919" s="81" t="s">
        <v>187</v>
      </c>
      <c r="G2919" s="81" t="s">
        <v>187</v>
      </c>
      <c r="H2919" s="81" t="s">
        <v>187</v>
      </c>
      <c r="I2919" s="81" t="s">
        <v>187</v>
      </c>
      <c r="J2919" s="81" t="s">
        <v>187</v>
      </c>
      <c r="K2919" s="81" t="s">
        <v>187</v>
      </c>
      <c r="L2919" s="81" t="s">
        <v>187</v>
      </c>
    </row>
    <row r="2920" ht="15.75" customHeight="1">
      <c r="A2920" s="262"/>
      <c r="B2920" s="262"/>
      <c r="C2920" s="263"/>
      <c r="D2920" s="262"/>
      <c r="E2920" s="81" t="s">
        <v>187</v>
      </c>
      <c r="F2920" s="81" t="s">
        <v>187</v>
      </c>
      <c r="G2920" s="81" t="s">
        <v>187</v>
      </c>
      <c r="H2920" s="81" t="s">
        <v>187</v>
      </c>
      <c r="I2920" s="81" t="s">
        <v>187</v>
      </c>
      <c r="J2920" s="81" t="s">
        <v>187</v>
      </c>
      <c r="K2920" s="81" t="s">
        <v>187</v>
      </c>
      <c r="L2920" s="81" t="s">
        <v>187</v>
      </c>
    </row>
    <row r="2921" ht="15.75" customHeight="1">
      <c r="A2921" s="262"/>
      <c r="B2921" s="262"/>
      <c r="C2921" s="263"/>
      <c r="D2921" s="262"/>
      <c r="E2921" s="81" t="s">
        <v>187</v>
      </c>
      <c r="F2921" s="81" t="s">
        <v>187</v>
      </c>
      <c r="G2921" s="81" t="s">
        <v>187</v>
      </c>
      <c r="H2921" s="81" t="s">
        <v>187</v>
      </c>
      <c r="I2921" s="81" t="s">
        <v>187</v>
      </c>
      <c r="J2921" s="81" t="s">
        <v>187</v>
      </c>
      <c r="K2921" s="81" t="s">
        <v>187</v>
      </c>
      <c r="L2921" s="81" t="s">
        <v>187</v>
      </c>
    </row>
    <row r="2922" ht="15.75" customHeight="1">
      <c r="A2922" s="262"/>
      <c r="B2922" s="262"/>
      <c r="C2922" s="263"/>
      <c r="D2922" s="262"/>
      <c r="E2922" s="81" t="s">
        <v>187</v>
      </c>
      <c r="F2922" s="81" t="s">
        <v>187</v>
      </c>
      <c r="G2922" s="81" t="s">
        <v>187</v>
      </c>
      <c r="H2922" s="81" t="s">
        <v>187</v>
      </c>
      <c r="I2922" s="81" t="s">
        <v>187</v>
      </c>
      <c r="J2922" s="81" t="s">
        <v>187</v>
      </c>
      <c r="K2922" s="81" t="s">
        <v>187</v>
      </c>
      <c r="L2922" s="81" t="s">
        <v>187</v>
      </c>
    </row>
    <row r="2923" ht="15.75" customHeight="1">
      <c r="A2923" s="262"/>
      <c r="B2923" s="262"/>
      <c r="C2923" s="263"/>
      <c r="D2923" s="262"/>
      <c r="E2923" s="81" t="s">
        <v>187</v>
      </c>
      <c r="F2923" s="81" t="s">
        <v>187</v>
      </c>
      <c r="G2923" s="81" t="s">
        <v>187</v>
      </c>
      <c r="H2923" s="81" t="s">
        <v>187</v>
      </c>
      <c r="I2923" s="81" t="s">
        <v>187</v>
      </c>
      <c r="J2923" s="81" t="s">
        <v>187</v>
      </c>
      <c r="K2923" s="81" t="s">
        <v>187</v>
      </c>
      <c r="L2923" s="81" t="s">
        <v>187</v>
      </c>
    </row>
    <row r="2924" ht="15.75" customHeight="1">
      <c r="A2924" s="262"/>
      <c r="B2924" s="262"/>
      <c r="C2924" s="263"/>
      <c r="D2924" s="262"/>
      <c r="E2924" s="81" t="s">
        <v>187</v>
      </c>
      <c r="F2924" s="81" t="s">
        <v>187</v>
      </c>
      <c r="G2924" s="81" t="s">
        <v>187</v>
      </c>
      <c r="H2924" s="81" t="s">
        <v>187</v>
      </c>
      <c r="I2924" s="81" t="s">
        <v>187</v>
      </c>
      <c r="J2924" s="81" t="s">
        <v>187</v>
      </c>
      <c r="K2924" s="81" t="s">
        <v>187</v>
      </c>
      <c r="L2924" s="81" t="s">
        <v>187</v>
      </c>
    </row>
    <row r="2925" ht="15.75" customHeight="1">
      <c r="A2925" s="262"/>
      <c r="B2925" s="262"/>
      <c r="C2925" s="263"/>
      <c r="D2925" s="262"/>
      <c r="E2925" s="81" t="s">
        <v>187</v>
      </c>
      <c r="F2925" s="81" t="s">
        <v>187</v>
      </c>
      <c r="G2925" s="81" t="s">
        <v>187</v>
      </c>
      <c r="H2925" s="81" t="s">
        <v>187</v>
      </c>
      <c r="I2925" s="81" t="s">
        <v>187</v>
      </c>
      <c r="J2925" s="81" t="s">
        <v>187</v>
      </c>
      <c r="K2925" s="81" t="s">
        <v>187</v>
      </c>
      <c r="L2925" s="81" t="s">
        <v>187</v>
      </c>
    </row>
    <row r="2926" ht="15.75" customHeight="1">
      <c r="A2926" s="262"/>
      <c r="B2926" s="262"/>
      <c r="C2926" s="263"/>
      <c r="D2926" s="262"/>
      <c r="E2926" s="81" t="s">
        <v>187</v>
      </c>
      <c r="F2926" s="81" t="s">
        <v>187</v>
      </c>
      <c r="G2926" s="81" t="s">
        <v>187</v>
      </c>
      <c r="H2926" s="81" t="s">
        <v>187</v>
      </c>
      <c r="I2926" s="81" t="s">
        <v>187</v>
      </c>
      <c r="J2926" s="81" t="s">
        <v>187</v>
      </c>
      <c r="K2926" s="81" t="s">
        <v>187</v>
      </c>
      <c r="L2926" s="81" t="s">
        <v>187</v>
      </c>
    </row>
    <row r="2927" ht="15.75" customHeight="1">
      <c r="A2927" s="262"/>
      <c r="B2927" s="262"/>
      <c r="C2927" s="263"/>
      <c r="D2927" s="262"/>
      <c r="E2927" s="81" t="s">
        <v>187</v>
      </c>
      <c r="F2927" s="81" t="s">
        <v>187</v>
      </c>
      <c r="G2927" s="81" t="s">
        <v>187</v>
      </c>
      <c r="H2927" s="81" t="s">
        <v>187</v>
      </c>
      <c r="I2927" s="81" t="s">
        <v>187</v>
      </c>
      <c r="J2927" s="81" t="s">
        <v>187</v>
      </c>
      <c r="K2927" s="81" t="s">
        <v>187</v>
      </c>
      <c r="L2927" s="81" t="s">
        <v>187</v>
      </c>
    </row>
    <row r="2928" ht="15.75" customHeight="1">
      <c r="A2928" s="262"/>
      <c r="B2928" s="262"/>
      <c r="C2928" s="263"/>
      <c r="D2928" s="262"/>
      <c r="E2928" s="81" t="s">
        <v>187</v>
      </c>
      <c r="F2928" s="81" t="s">
        <v>187</v>
      </c>
      <c r="G2928" s="81" t="s">
        <v>187</v>
      </c>
      <c r="H2928" s="81" t="s">
        <v>187</v>
      </c>
      <c r="I2928" s="81" t="s">
        <v>187</v>
      </c>
      <c r="J2928" s="81" t="s">
        <v>187</v>
      </c>
      <c r="K2928" s="81" t="s">
        <v>187</v>
      </c>
      <c r="L2928" s="81" t="s">
        <v>187</v>
      </c>
    </row>
    <row r="2929" ht="15.75" customHeight="1">
      <c r="A2929" s="262"/>
      <c r="B2929" s="262"/>
      <c r="C2929" s="263"/>
      <c r="D2929" s="262"/>
      <c r="E2929" s="81" t="s">
        <v>187</v>
      </c>
      <c r="F2929" s="81" t="s">
        <v>187</v>
      </c>
      <c r="G2929" s="81" t="s">
        <v>187</v>
      </c>
      <c r="H2929" s="81" t="s">
        <v>187</v>
      </c>
      <c r="I2929" s="81" t="s">
        <v>187</v>
      </c>
      <c r="J2929" s="81" t="s">
        <v>187</v>
      </c>
      <c r="K2929" s="81" t="s">
        <v>187</v>
      </c>
      <c r="L2929" s="81" t="s">
        <v>187</v>
      </c>
    </row>
    <row r="2930" ht="15.75" customHeight="1">
      <c r="A2930" s="262"/>
      <c r="B2930" s="262"/>
      <c r="C2930" s="263"/>
      <c r="D2930" s="262"/>
      <c r="E2930" s="81" t="s">
        <v>187</v>
      </c>
      <c r="F2930" s="81" t="s">
        <v>187</v>
      </c>
      <c r="G2930" s="81" t="s">
        <v>187</v>
      </c>
      <c r="H2930" s="81" t="s">
        <v>187</v>
      </c>
      <c r="I2930" s="81" t="s">
        <v>187</v>
      </c>
      <c r="J2930" s="81" t="s">
        <v>187</v>
      </c>
      <c r="K2930" s="81" t="s">
        <v>187</v>
      </c>
      <c r="L2930" s="81" t="s">
        <v>187</v>
      </c>
    </row>
    <row r="2931" ht="15.75" customHeight="1">
      <c r="A2931" s="262"/>
      <c r="B2931" s="262"/>
      <c r="C2931" s="263"/>
      <c r="D2931" s="262"/>
      <c r="E2931" s="81" t="s">
        <v>187</v>
      </c>
      <c r="F2931" s="81" t="s">
        <v>187</v>
      </c>
      <c r="G2931" s="81" t="s">
        <v>187</v>
      </c>
      <c r="H2931" s="81" t="s">
        <v>187</v>
      </c>
      <c r="I2931" s="81" t="s">
        <v>187</v>
      </c>
      <c r="J2931" s="81" t="s">
        <v>187</v>
      </c>
      <c r="K2931" s="81" t="s">
        <v>187</v>
      </c>
      <c r="L2931" s="81" t="s">
        <v>187</v>
      </c>
    </row>
    <row r="2932" ht="15.75" customHeight="1">
      <c r="A2932" s="262"/>
      <c r="B2932" s="262"/>
      <c r="C2932" s="263"/>
      <c r="D2932" s="262"/>
      <c r="E2932" s="81" t="s">
        <v>187</v>
      </c>
      <c r="F2932" s="81" t="s">
        <v>187</v>
      </c>
      <c r="G2932" s="81" t="s">
        <v>187</v>
      </c>
      <c r="H2932" s="81" t="s">
        <v>187</v>
      </c>
      <c r="I2932" s="81" t="s">
        <v>187</v>
      </c>
      <c r="J2932" s="81" t="s">
        <v>187</v>
      </c>
      <c r="K2932" s="81" t="s">
        <v>187</v>
      </c>
      <c r="L2932" s="81" t="s">
        <v>187</v>
      </c>
    </row>
    <row r="2933" ht="15.75" customHeight="1">
      <c r="A2933" s="262"/>
      <c r="B2933" s="262"/>
      <c r="C2933" s="263"/>
      <c r="D2933" s="262"/>
      <c r="E2933" s="81" t="s">
        <v>187</v>
      </c>
      <c r="F2933" s="81" t="s">
        <v>187</v>
      </c>
      <c r="G2933" s="81" t="s">
        <v>187</v>
      </c>
      <c r="H2933" s="81" t="s">
        <v>187</v>
      </c>
      <c r="I2933" s="81" t="s">
        <v>187</v>
      </c>
      <c r="J2933" s="81" t="s">
        <v>187</v>
      </c>
      <c r="K2933" s="81" t="s">
        <v>187</v>
      </c>
      <c r="L2933" s="81" t="s">
        <v>187</v>
      </c>
    </row>
    <row r="2934" ht="15.75" customHeight="1">
      <c r="A2934" s="262"/>
      <c r="B2934" s="262"/>
      <c r="C2934" s="263"/>
      <c r="D2934" s="262"/>
      <c r="E2934" s="81" t="s">
        <v>187</v>
      </c>
      <c r="F2934" s="81" t="s">
        <v>187</v>
      </c>
      <c r="G2934" s="81" t="s">
        <v>187</v>
      </c>
      <c r="H2934" s="81" t="s">
        <v>187</v>
      </c>
      <c r="I2934" s="81" t="s">
        <v>187</v>
      </c>
      <c r="J2934" s="81" t="s">
        <v>187</v>
      </c>
      <c r="K2934" s="81" t="s">
        <v>187</v>
      </c>
      <c r="L2934" s="81" t="s">
        <v>187</v>
      </c>
    </row>
    <row r="2935" ht="15.75" customHeight="1">
      <c r="A2935" s="262"/>
      <c r="B2935" s="262"/>
      <c r="C2935" s="263"/>
      <c r="D2935" s="262"/>
      <c r="E2935" s="81" t="s">
        <v>187</v>
      </c>
      <c r="F2935" s="81" t="s">
        <v>187</v>
      </c>
      <c r="G2935" s="81" t="s">
        <v>187</v>
      </c>
      <c r="H2935" s="81" t="s">
        <v>187</v>
      </c>
      <c r="I2935" s="81" t="s">
        <v>187</v>
      </c>
      <c r="J2935" s="81" t="s">
        <v>187</v>
      </c>
      <c r="K2935" s="81" t="s">
        <v>187</v>
      </c>
      <c r="L2935" s="81" t="s">
        <v>187</v>
      </c>
    </row>
    <row r="2936" ht="15.75" customHeight="1">
      <c r="A2936" s="262"/>
      <c r="B2936" s="262"/>
      <c r="C2936" s="263"/>
      <c r="D2936" s="262"/>
      <c r="E2936" s="81" t="s">
        <v>187</v>
      </c>
      <c r="F2936" s="81" t="s">
        <v>187</v>
      </c>
      <c r="G2936" s="81" t="s">
        <v>187</v>
      </c>
      <c r="H2936" s="81" t="s">
        <v>187</v>
      </c>
      <c r="I2936" s="81" t="s">
        <v>187</v>
      </c>
      <c r="J2936" s="81" t="s">
        <v>187</v>
      </c>
      <c r="K2936" s="81" t="s">
        <v>187</v>
      </c>
      <c r="L2936" s="81" t="s">
        <v>187</v>
      </c>
    </row>
    <row r="2937" ht="15.75" customHeight="1">
      <c r="A2937" s="262"/>
      <c r="B2937" s="262"/>
      <c r="C2937" s="263"/>
      <c r="D2937" s="262"/>
      <c r="E2937" s="81" t="s">
        <v>187</v>
      </c>
      <c r="F2937" s="81" t="s">
        <v>187</v>
      </c>
      <c r="G2937" s="81" t="s">
        <v>187</v>
      </c>
      <c r="H2937" s="81" t="s">
        <v>187</v>
      </c>
      <c r="I2937" s="81" t="s">
        <v>187</v>
      </c>
      <c r="J2937" s="81" t="s">
        <v>187</v>
      </c>
      <c r="K2937" s="81" t="s">
        <v>187</v>
      </c>
      <c r="L2937" s="81" t="s">
        <v>187</v>
      </c>
    </row>
    <row r="2938" ht="15.75" customHeight="1">
      <c r="A2938" s="262"/>
      <c r="B2938" s="262"/>
      <c r="C2938" s="263"/>
      <c r="D2938" s="262"/>
      <c r="E2938" s="81" t="s">
        <v>187</v>
      </c>
      <c r="F2938" s="81" t="s">
        <v>187</v>
      </c>
      <c r="G2938" s="81" t="s">
        <v>187</v>
      </c>
      <c r="H2938" s="81" t="s">
        <v>187</v>
      </c>
      <c r="I2938" s="81" t="s">
        <v>187</v>
      </c>
      <c r="J2938" s="81" t="s">
        <v>187</v>
      </c>
      <c r="K2938" s="81" t="s">
        <v>187</v>
      </c>
      <c r="L2938" s="81" t="s">
        <v>187</v>
      </c>
    </row>
    <row r="2939" ht="15.75" customHeight="1">
      <c r="A2939" s="262"/>
      <c r="B2939" s="262"/>
      <c r="C2939" s="263"/>
      <c r="D2939" s="262"/>
      <c r="E2939" s="81" t="s">
        <v>187</v>
      </c>
      <c r="F2939" s="81" t="s">
        <v>187</v>
      </c>
      <c r="G2939" s="81" t="s">
        <v>187</v>
      </c>
      <c r="H2939" s="81" t="s">
        <v>187</v>
      </c>
      <c r="I2939" s="81" t="s">
        <v>187</v>
      </c>
      <c r="J2939" s="81" t="s">
        <v>187</v>
      </c>
      <c r="K2939" s="81" t="s">
        <v>187</v>
      </c>
      <c r="L2939" s="81" t="s">
        <v>187</v>
      </c>
    </row>
    <row r="2940" ht="15.75" customHeight="1">
      <c r="A2940" s="262"/>
      <c r="B2940" s="262"/>
      <c r="C2940" s="263"/>
      <c r="D2940" s="262"/>
      <c r="E2940" s="81" t="s">
        <v>187</v>
      </c>
      <c r="F2940" s="81" t="s">
        <v>187</v>
      </c>
      <c r="G2940" s="81" t="s">
        <v>187</v>
      </c>
      <c r="H2940" s="81" t="s">
        <v>187</v>
      </c>
      <c r="I2940" s="81" t="s">
        <v>187</v>
      </c>
      <c r="J2940" s="81" t="s">
        <v>187</v>
      </c>
      <c r="K2940" s="81" t="s">
        <v>187</v>
      </c>
      <c r="L2940" s="81" t="s">
        <v>187</v>
      </c>
    </row>
    <row r="2941" ht="15.75" customHeight="1">
      <c r="A2941" s="262"/>
      <c r="B2941" s="262"/>
      <c r="C2941" s="263"/>
      <c r="D2941" s="262"/>
      <c r="E2941" s="81" t="s">
        <v>187</v>
      </c>
      <c r="F2941" s="81" t="s">
        <v>187</v>
      </c>
      <c r="G2941" s="81" t="s">
        <v>187</v>
      </c>
      <c r="H2941" s="81" t="s">
        <v>187</v>
      </c>
      <c r="I2941" s="81" t="s">
        <v>187</v>
      </c>
      <c r="J2941" s="81" t="s">
        <v>187</v>
      </c>
      <c r="K2941" s="81" t="s">
        <v>187</v>
      </c>
      <c r="L2941" s="81" t="s">
        <v>187</v>
      </c>
    </row>
    <row r="2942" ht="15.75" customHeight="1">
      <c r="A2942" s="262"/>
      <c r="B2942" s="262"/>
      <c r="C2942" s="263"/>
      <c r="D2942" s="262"/>
      <c r="E2942" s="81" t="s">
        <v>187</v>
      </c>
      <c r="F2942" s="81" t="s">
        <v>187</v>
      </c>
      <c r="G2942" s="81" t="s">
        <v>187</v>
      </c>
      <c r="H2942" s="81" t="s">
        <v>187</v>
      </c>
      <c r="I2942" s="81" t="s">
        <v>187</v>
      </c>
      <c r="J2942" s="81" t="s">
        <v>187</v>
      </c>
      <c r="K2942" s="81" t="s">
        <v>187</v>
      </c>
      <c r="L2942" s="81" t="s">
        <v>187</v>
      </c>
    </row>
    <row r="2943" ht="15.75" customHeight="1">
      <c r="A2943" s="262"/>
      <c r="B2943" s="262"/>
      <c r="C2943" s="263"/>
      <c r="D2943" s="262"/>
      <c r="E2943" s="81" t="s">
        <v>187</v>
      </c>
      <c r="F2943" s="81" t="s">
        <v>187</v>
      </c>
      <c r="G2943" s="81" t="s">
        <v>187</v>
      </c>
      <c r="H2943" s="81" t="s">
        <v>187</v>
      </c>
      <c r="I2943" s="81" t="s">
        <v>187</v>
      </c>
      <c r="J2943" s="81" t="s">
        <v>187</v>
      </c>
      <c r="K2943" s="81" t="s">
        <v>187</v>
      </c>
      <c r="L2943" s="81" t="s">
        <v>187</v>
      </c>
    </row>
    <row r="2944" ht="15.75" customHeight="1">
      <c r="A2944" s="262"/>
      <c r="B2944" s="262"/>
      <c r="C2944" s="263"/>
      <c r="D2944" s="262"/>
      <c r="E2944" s="81" t="s">
        <v>187</v>
      </c>
      <c r="F2944" s="81" t="s">
        <v>187</v>
      </c>
      <c r="G2944" s="81" t="s">
        <v>187</v>
      </c>
      <c r="H2944" s="81" t="s">
        <v>187</v>
      </c>
      <c r="I2944" s="81" t="s">
        <v>187</v>
      </c>
      <c r="J2944" s="81" t="s">
        <v>187</v>
      </c>
      <c r="K2944" s="81" t="s">
        <v>187</v>
      </c>
      <c r="L2944" s="81" t="s">
        <v>187</v>
      </c>
    </row>
    <row r="2945" ht="15.75" customHeight="1">
      <c r="A2945" s="262"/>
      <c r="B2945" s="262"/>
      <c r="C2945" s="263"/>
      <c r="D2945" s="262"/>
      <c r="E2945" s="81" t="s">
        <v>187</v>
      </c>
      <c r="F2945" s="81" t="s">
        <v>187</v>
      </c>
      <c r="G2945" s="81" t="s">
        <v>187</v>
      </c>
      <c r="H2945" s="81" t="s">
        <v>187</v>
      </c>
      <c r="I2945" s="81" t="s">
        <v>187</v>
      </c>
      <c r="J2945" s="81" t="s">
        <v>187</v>
      </c>
      <c r="K2945" s="81" t="s">
        <v>187</v>
      </c>
      <c r="L2945" s="81" t="s">
        <v>187</v>
      </c>
    </row>
    <row r="2946" ht="15.75" customHeight="1">
      <c r="A2946" s="262"/>
      <c r="B2946" s="262"/>
      <c r="C2946" s="263"/>
      <c r="D2946" s="262"/>
      <c r="E2946" s="81" t="s">
        <v>187</v>
      </c>
      <c r="F2946" s="81" t="s">
        <v>187</v>
      </c>
      <c r="G2946" s="81" t="s">
        <v>187</v>
      </c>
      <c r="H2946" s="81" t="s">
        <v>187</v>
      </c>
      <c r="I2946" s="81" t="s">
        <v>187</v>
      </c>
      <c r="J2946" s="81" t="s">
        <v>187</v>
      </c>
      <c r="K2946" s="81" t="s">
        <v>187</v>
      </c>
      <c r="L2946" s="81" t="s">
        <v>187</v>
      </c>
    </row>
    <row r="2947" ht="15.75" customHeight="1">
      <c r="A2947" s="262"/>
      <c r="B2947" s="262"/>
      <c r="C2947" s="263"/>
      <c r="D2947" s="262"/>
      <c r="E2947" s="81" t="s">
        <v>187</v>
      </c>
      <c r="F2947" s="81" t="s">
        <v>187</v>
      </c>
      <c r="G2947" s="81" t="s">
        <v>187</v>
      </c>
      <c r="H2947" s="81" t="s">
        <v>187</v>
      </c>
      <c r="I2947" s="81" t="s">
        <v>187</v>
      </c>
      <c r="J2947" s="81" t="s">
        <v>187</v>
      </c>
      <c r="K2947" s="81" t="s">
        <v>187</v>
      </c>
      <c r="L2947" s="81" t="s">
        <v>187</v>
      </c>
    </row>
    <row r="2948" ht="15.75" customHeight="1">
      <c r="A2948" s="262"/>
      <c r="B2948" s="262"/>
      <c r="C2948" s="263"/>
      <c r="D2948" s="262"/>
      <c r="E2948" s="81" t="s">
        <v>187</v>
      </c>
      <c r="F2948" s="81" t="s">
        <v>187</v>
      </c>
      <c r="G2948" s="81" t="s">
        <v>187</v>
      </c>
      <c r="H2948" s="81" t="s">
        <v>187</v>
      </c>
      <c r="I2948" s="81" t="s">
        <v>187</v>
      </c>
      <c r="J2948" s="81" t="s">
        <v>187</v>
      </c>
      <c r="K2948" s="81" t="s">
        <v>187</v>
      </c>
      <c r="L2948" s="81" t="s">
        <v>187</v>
      </c>
    </row>
    <row r="2949" ht="15.75" customHeight="1">
      <c r="A2949" s="262"/>
      <c r="B2949" s="262"/>
      <c r="C2949" s="263"/>
      <c r="D2949" s="262"/>
      <c r="E2949" s="81" t="s">
        <v>187</v>
      </c>
      <c r="F2949" s="81" t="s">
        <v>187</v>
      </c>
      <c r="G2949" s="81" t="s">
        <v>187</v>
      </c>
      <c r="H2949" s="81" t="s">
        <v>187</v>
      </c>
      <c r="I2949" s="81" t="s">
        <v>187</v>
      </c>
      <c r="J2949" s="81" t="s">
        <v>187</v>
      </c>
      <c r="K2949" s="81" t="s">
        <v>187</v>
      </c>
      <c r="L2949" s="81" t="s">
        <v>187</v>
      </c>
    </row>
    <row r="2950" ht="15.75" customHeight="1">
      <c r="A2950" s="262"/>
      <c r="B2950" s="262"/>
      <c r="C2950" s="263"/>
      <c r="D2950" s="262"/>
      <c r="E2950" s="81" t="s">
        <v>187</v>
      </c>
      <c r="F2950" s="81" t="s">
        <v>187</v>
      </c>
      <c r="G2950" s="81" t="s">
        <v>187</v>
      </c>
      <c r="H2950" s="81" t="s">
        <v>187</v>
      </c>
      <c r="I2950" s="81" t="s">
        <v>187</v>
      </c>
      <c r="J2950" s="81" t="s">
        <v>187</v>
      </c>
      <c r="K2950" s="81" t="s">
        <v>187</v>
      </c>
      <c r="L2950" s="81" t="s">
        <v>187</v>
      </c>
    </row>
    <row r="2951" ht="15.75" customHeight="1">
      <c r="A2951" s="262"/>
      <c r="B2951" s="262"/>
      <c r="C2951" s="263"/>
      <c r="D2951" s="262"/>
      <c r="E2951" s="81" t="s">
        <v>187</v>
      </c>
      <c r="F2951" s="81" t="s">
        <v>187</v>
      </c>
      <c r="G2951" s="81" t="s">
        <v>187</v>
      </c>
      <c r="H2951" s="81" t="s">
        <v>187</v>
      </c>
      <c r="I2951" s="81" t="s">
        <v>187</v>
      </c>
      <c r="J2951" s="81" t="s">
        <v>187</v>
      </c>
      <c r="K2951" s="81" t="s">
        <v>187</v>
      </c>
      <c r="L2951" s="81" t="s">
        <v>187</v>
      </c>
    </row>
    <row r="2952" ht="15.75" customHeight="1">
      <c r="A2952" s="262"/>
      <c r="B2952" s="262"/>
      <c r="C2952" s="263"/>
      <c r="D2952" s="262"/>
      <c r="E2952" s="81" t="s">
        <v>187</v>
      </c>
      <c r="F2952" s="81" t="s">
        <v>187</v>
      </c>
      <c r="G2952" s="81" t="s">
        <v>187</v>
      </c>
      <c r="H2952" s="81" t="s">
        <v>187</v>
      </c>
      <c r="I2952" s="81" t="s">
        <v>187</v>
      </c>
      <c r="J2952" s="81" t="s">
        <v>187</v>
      </c>
      <c r="K2952" s="81" t="s">
        <v>187</v>
      </c>
      <c r="L2952" s="81" t="s">
        <v>187</v>
      </c>
    </row>
    <row r="2953" ht="15.75" customHeight="1">
      <c r="A2953" s="262"/>
      <c r="B2953" s="262"/>
      <c r="C2953" s="263"/>
      <c r="D2953" s="262"/>
      <c r="E2953" s="81" t="s">
        <v>187</v>
      </c>
      <c r="F2953" s="81" t="s">
        <v>187</v>
      </c>
      <c r="G2953" s="81" t="s">
        <v>187</v>
      </c>
      <c r="H2953" s="81" t="s">
        <v>187</v>
      </c>
      <c r="I2953" s="81" t="s">
        <v>187</v>
      </c>
      <c r="J2953" s="81" t="s">
        <v>187</v>
      </c>
      <c r="K2953" s="81" t="s">
        <v>187</v>
      </c>
      <c r="L2953" s="81" t="s">
        <v>187</v>
      </c>
    </row>
    <row r="2954" ht="15.75" customHeight="1">
      <c r="A2954" s="262"/>
      <c r="B2954" s="262"/>
      <c r="C2954" s="263"/>
      <c r="D2954" s="262"/>
      <c r="E2954" s="81" t="s">
        <v>187</v>
      </c>
      <c r="F2954" s="81" t="s">
        <v>187</v>
      </c>
      <c r="G2954" s="81" t="s">
        <v>187</v>
      </c>
      <c r="H2954" s="81" t="s">
        <v>187</v>
      </c>
      <c r="I2954" s="81" t="s">
        <v>187</v>
      </c>
      <c r="J2954" s="81" t="s">
        <v>187</v>
      </c>
      <c r="K2954" s="81" t="s">
        <v>187</v>
      </c>
      <c r="L2954" s="81" t="s">
        <v>187</v>
      </c>
    </row>
    <row r="2955" ht="15.75" customHeight="1">
      <c r="A2955" s="262"/>
      <c r="B2955" s="262"/>
      <c r="C2955" s="263"/>
      <c r="D2955" s="262"/>
      <c r="E2955" s="81" t="s">
        <v>187</v>
      </c>
      <c r="F2955" s="81" t="s">
        <v>187</v>
      </c>
      <c r="G2955" s="81" t="s">
        <v>187</v>
      </c>
      <c r="H2955" s="81" t="s">
        <v>187</v>
      </c>
      <c r="I2955" s="81" t="s">
        <v>187</v>
      </c>
      <c r="J2955" s="81" t="s">
        <v>187</v>
      </c>
      <c r="K2955" s="81" t="s">
        <v>187</v>
      </c>
      <c r="L2955" s="81" t="s">
        <v>187</v>
      </c>
    </row>
    <row r="2956" ht="15.75" customHeight="1">
      <c r="A2956" s="262"/>
      <c r="B2956" s="262"/>
      <c r="C2956" s="263"/>
      <c r="D2956" s="262"/>
      <c r="E2956" s="81" t="s">
        <v>187</v>
      </c>
      <c r="F2956" s="81" t="s">
        <v>187</v>
      </c>
      <c r="G2956" s="81" t="s">
        <v>187</v>
      </c>
      <c r="H2956" s="81" t="s">
        <v>187</v>
      </c>
      <c r="I2956" s="81" t="s">
        <v>187</v>
      </c>
      <c r="J2956" s="81" t="s">
        <v>187</v>
      </c>
      <c r="K2956" s="81" t="s">
        <v>187</v>
      </c>
      <c r="L2956" s="81" t="s">
        <v>187</v>
      </c>
    </row>
    <row r="2957" ht="15.75" customHeight="1">
      <c r="A2957" s="262"/>
      <c r="B2957" s="262"/>
      <c r="C2957" s="263"/>
      <c r="D2957" s="262"/>
      <c r="E2957" s="81" t="s">
        <v>187</v>
      </c>
      <c r="F2957" s="81" t="s">
        <v>187</v>
      </c>
      <c r="G2957" s="81" t="s">
        <v>187</v>
      </c>
      <c r="H2957" s="81" t="s">
        <v>187</v>
      </c>
      <c r="I2957" s="81" t="s">
        <v>187</v>
      </c>
      <c r="J2957" s="81" t="s">
        <v>187</v>
      </c>
      <c r="K2957" s="81" t="s">
        <v>187</v>
      </c>
      <c r="L2957" s="81" t="s">
        <v>187</v>
      </c>
    </row>
    <row r="2958" ht="15.75" customHeight="1">
      <c r="A2958" s="262"/>
      <c r="B2958" s="262"/>
      <c r="C2958" s="263"/>
      <c r="D2958" s="262"/>
      <c r="E2958" s="81" t="s">
        <v>187</v>
      </c>
      <c r="F2958" s="81" t="s">
        <v>187</v>
      </c>
      <c r="G2958" s="81" t="s">
        <v>187</v>
      </c>
      <c r="H2958" s="81" t="s">
        <v>187</v>
      </c>
      <c r="I2958" s="81" t="s">
        <v>187</v>
      </c>
      <c r="J2958" s="81" t="s">
        <v>187</v>
      </c>
      <c r="K2958" s="81" t="s">
        <v>187</v>
      </c>
      <c r="L2958" s="81" t="s">
        <v>187</v>
      </c>
    </row>
    <row r="2959" ht="15.75" customHeight="1">
      <c r="A2959" s="262"/>
      <c r="B2959" s="262"/>
      <c r="C2959" s="263"/>
      <c r="D2959" s="262"/>
      <c r="E2959" s="81" t="s">
        <v>187</v>
      </c>
      <c r="F2959" s="81" t="s">
        <v>187</v>
      </c>
      <c r="G2959" s="81" t="s">
        <v>187</v>
      </c>
      <c r="H2959" s="81" t="s">
        <v>187</v>
      </c>
      <c r="I2959" s="81" t="s">
        <v>187</v>
      </c>
      <c r="J2959" s="81" t="s">
        <v>187</v>
      </c>
      <c r="K2959" s="81" t="s">
        <v>187</v>
      </c>
      <c r="L2959" s="81" t="s">
        <v>187</v>
      </c>
    </row>
    <row r="2960" ht="15.75" customHeight="1">
      <c r="A2960" s="262"/>
      <c r="B2960" s="262"/>
      <c r="C2960" s="263"/>
      <c r="D2960" s="262"/>
      <c r="E2960" s="81" t="s">
        <v>187</v>
      </c>
      <c r="F2960" s="81" t="s">
        <v>187</v>
      </c>
      <c r="G2960" s="81" t="s">
        <v>187</v>
      </c>
      <c r="H2960" s="81" t="s">
        <v>187</v>
      </c>
      <c r="I2960" s="81" t="s">
        <v>187</v>
      </c>
      <c r="J2960" s="81" t="s">
        <v>187</v>
      </c>
      <c r="K2960" s="81" t="s">
        <v>187</v>
      </c>
      <c r="L2960" s="81" t="s">
        <v>187</v>
      </c>
    </row>
    <row r="2961" ht="15.75" customHeight="1">
      <c r="A2961" s="262"/>
      <c r="B2961" s="262"/>
      <c r="C2961" s="263"/>
      <c r="D2961" s="262"/>
      <c r="E2961" s="81" t="s">
        <v>187</v>
      </c>
      <c r="F2961" s="81" t="s">
        <v>187</v>
      </c>
      <c r="G2961" s="81" t="s">
        <v>187</v>
      </c>
      <c r="H2961" s="81" t="s">
        <v>187</v>
      </c>
      <c r="I2961" s="81" t="s">
        <v>187</v>
      </c>
      <c r="J2961" s="81" t="s">
        <v>187</v>
      </c>
      <c r="K2961" s="81" t="s">
        <v>187</v>
      </c>
      <c r="L2961" s="81" t="s">
        <v>187</v>
      </c>
    </row>
    <row r="2962" ht="15.75" customHeight="1">
      <c r="A2962" s="262"/>
      <c r="B2962" s="262"/>
      <c r="C2962" s="263"/>
      <c r="D2962" s="262"/>
      <c r="E2962" s="81" t="s">
        <v>187</v>
      </c>
      <c r="F2962" s="81" t="s">
        <v>187</v>
      </c>
      <c r="G2962" s="81" t="s">
        <v>187</v>
      </c>
      <c r="H2962" s="81" t="s">
        <v>187</v>
      </c>
      <c r="I2962" s="81" t="s">
        <v>187</v>
      </c>
      <c r="J2962" s="81" t="s">
        <v>187</v>
      </c>
      <c r="K2962" s="81" t="s">
        <v>187</v>
      </c>
      <c r="L2962" s="81" t="s">
        <v>187</v>
      </c>
    </row>
    <row r="2963" ht="15.75" customHeight="1">
      <c r="A2963" s="262"/>
      <c r="B2963" s="262"/>
      <c r="C2963" s="263"/>
      <c r="D2963" s="262"/>
      <c r="E2963" s="81" t="s">
        <v>187</v>
      </c>
      <c r="F2963" s="81" t="s">
        <v>187</v>
      </c>
      <c r="G2963" s="81" t="s">
        <v>187</v>
      </c>
      <c r="H2963" s="81" t="s">
        <v>187</v>
      </c>
      <c r="I2963" s="81" t="s">
        <v>187</v>
      </c>
      <c r="J2963" s="81" t="s">
        <v>187</v>
      </c>
      <c r="K2963" s="81" t="s">
        <v>187</v>
      </c>
      <c r="L2963" s="81" t="s">
        <v>187</v>
      </c>
    </row>
    <row r="2964" ht="15.75" customHeight="1">
      <c r="A2964" s="262"/>
      <c r="B2964" s="262"/>
      <c r="C2964" s="263"/>
      <c r="D2964" s="262"/>
      <c r="E2964" s="81" t="s">
        <v>187</v>
      </c>
      <c r="F2964" s="81" t="s">
        <v>187</v>
      </c>
      <c r="G2964" s="81" t="s">
        <v>187</v>
      </c>
      <c r="H2964" s="81" t="s">
        <v>187</v>
      </c>
      <c r="I2964" s="81" t="s">
        <v>187</v>
      </c>
      <c r="J2964" s="81" t="s">
        <v>187</v>
      </c>
      <c r="K2964" s="81" t="s">
        <v>187</v>
      </c>
      <c r="L2964" s="81" t="s">
        <v>187</v>
      </c>
    </row>
    <row r="2965" ht="15.75" customHeight="1">
      <c r="A2965" s="262"/>
      <c r="B2965" s="262"/>
      <c r="C2965" s="263"/>
      <c r="D2965" s="262"/>
      <c r="E2965" s="81" t="s">
        <v>187</v>
      </c>
      <c r="F2965" s="81" t="s">
        <v>187</v>
      </c>
      <c r="G2965" s="81" t="s">
        <v>187</v>
      </c>
      <c r="H2965" s="81" t="s">
        <v>187</v>
      </c>
      <c r="I2965" s="81" t="s">
        <v>187</v>
      </c>
      <c r="J2965" s="81" t="s">
        <v>187</v>
      </c>
      <c r="K2965" s="81" t="s">
        <v>187</v>
      </c>
      <c r="L2965" s="81" t="s">
        <v>187</v>
      </c>
    </row>
    <row r="2966" ht="15.75" customHeight="1">
      <c r="A2966" s="262"/>
      <c r="B2966" s="262"/>
      <c r="C2966" s="263"/>
      <c r="D2966" s="262"/>
      <c r="E2966" s="81" t="s">
        <v>187</v>
      </c>
      <c r="F2966" s="81" t="s">
        <v>187</v>
      </c>
      <c r="G2966" s="81" t="s">
        <v>187</v>
      </c>
      <c r="H2966" s="81" t="s">
        <v>187</v>
      </c>
      <c r="I2966" s="81" t="s">
        <v>187</v>
      </c>
      <c r="J2966" s="81" t="s">
        <v>187</v>
      </c>
      <c r="K2966" s="81" t="s">
        <v>187</v>
      </c>
      <c r="L2966" s="81" t="s">
        <v>187</v>
      </c>
    </row>
    <row r="2967" ht="15.75" customHeight="1">
      <c r="A2967" s="262"/>
      <c r="B2967" s="262"/>
      <c r="C2967" s="263"/>
      <c r="D2967" s="262"/>
      <c r="E2967" s="81" t="s">
        <v>187</v>
      </c>
      <c r="F2967" s="81" t="s">
        <v>187</v>
      </c>
      <c r="G2967" s="81" t="s">
        <v>187</v>
      </c>
      <c r="H2967" s="81" t="s">
        <v>187</v>
      </c>
      <c r="I2967" s="81" t="s">
        <v>187</v>
      </c>
      <c r="J2967" s="81" t="s">
        <v>187</v>
      </c>
      <c r="K2967" s="81" t="s">
        <v>187</v>
      </c>
      <c r="L2967" s="81" t="s">
        <v>187</v>
      </c>
    </row>
    <row r="2968" ht="15.75" customHeight="1">
      <c r="A2968" s="262"/>
      <c r="B2968" s="262"/>
      <c r="C2968" s="263"/>
      <c r="D2968" s="262"/>
      <c r="E2968" s="81" t="s">
        <v>187</v>
      </c>
      <c r="F2968" s="81" t="s">
        <v>187</v>
      </c>
      <c r="G2968" s="81" t="s">
        <v>187</v>
      </c>
      <c r="H2968" s="81" t="s">
        <v>187</v>
      </c>
      <c r="I2968" s="81" t="s">
        <v>187</v>
      </c>
      <c r="J2968" s="81" t="s">
        <v>187</v>
      </c>
      <c r="K2968" s="81" t="s">
        <v>187</v>
      </c>
      <c r="L2968" s="81" t="s">
        <v>187</v>
      </c>
    </row>
    <row r="2969" ht="15.75" customHeight="1">
      <c r="A2969" s="262"/>
      <c r="B2969" s="262"/>
      <c r="C2969" s="263"/>
      <c r="D2969" s="262"/>
      <c r="E2969" s="81" t="s">
        <v>187</v>
      </c>
      <c r="F2969" s="81" t="s">
        <v>187</v>
      </c>
      <c r="G2969" s="81" t="s">
        <v>187</v>
      </c>
      <c r="H2969" s="81" t="s">
        <v>187</v>
      </c>
      <c r="I2969" s="81" t="s">
        <v>187</v>
      </c>
      <c r="J2969" s="81" t="s">
        <v>187</v>
      </c>
      <c r="K2969" s="81" t="s">
        <v>187</v>
      </c>
      <c r="L2969" s="81" t="s">
        <v>187</v>
      </c>
    </row>
    <row r="2970" ht="15.75" customHeight="1">
      <c r="A2970" s="262"/>
      <c r="B2970" s="262"/>
      <c r="C2970" s="263"/>
      <c r="D2970" s="262"/>
      <c r="E2970" s="81" t="s">
        <v>187</v>
      </c>
      <c r="F2970" s="81" t="s">
        <v>187</v>
      </c>
      <c r="G2970" s="81" t="s">
        <v>187</v>
      </c>
      <c r="H2970" s="81" t="s">
        <v>187</v>
      </c>
      <c r="I2970" s="81" t="s">
        <v>187</v>
      </c>
      <c r="J2970" s="81" t="s">
        <v>187</v>
      </c>
      <c r="K2970" s="81" t="s">
        <v>187</v>
      </c>
      <c r="L2970" s="81" t="s">
        <v>187</v>
      </c>
    </row>
    <row r="2971" ht="15.75" customHeight="1">
      <c r="A2971" s="262"/>
      <c r="B2971" s="262"/>
      <c r="C2971" s="263"/>
      <c r="D2971" s="262"/>
      <c r="E2971" s="81" t="s">
        <v>187</v>
      </c>
      <c r="F2971" s="81" t="s">
        <v>187</v>
      </c>
      <c r="G2971" s="81" t="s">
        <v>187</v>
      </c>
      <c r="H2971" s="81" t="s">
        <v>187</v>
      </c>
      <c r="I2971" s="81" t="s">
        <v>187</v>
      </c>
      <c r="J2971" s="81" t="s">
        <v>187</v>
      </c>
      <c r="K2971" s="81" t="s">
        <v>187</v>
      </c>
      <c r="L2971" s="81" t="s">
        <v>187</v>
      </c>
    </row>
    <row r="2972" ht="15.75" customHeight="1">
      <c r="A2972" s="262"/>
      <c r="B2972" s="262"/>
      <c r="C2972" s="263"/>
      <c r="D2972" s="262"/>
      <c r="E2972" s="81" t="s">
        <v>187</v>
      </c>
      <c r="F2972" s="81" t="s">
        <v>187</v>
      </c>
      <c r="G2972" s="81" t="s">
        <v>187</v>
      </c>
      <c r="H2972" s="81" t="s">
        <v>187</v>
      </c>
      <c r="I2972" s="81" t="s">
        <v>187</v>
      </c>
      <c r="J2972" s="81" t="s">
        <v>187</v>
      </c>
      <c r="K2972" s="81" t="s">
        <v>187</v>
      </c>
      <c r="L2972" s="81" t="s">
        <v>187</v>
      </c>
    </row>
    <row r="2973" ht="15.75" customHeight="1">
      <c r="A2973" s="262"/>
      <c r="B2973" s="262"/>
      <c r="C2973" s="263"/>
      <c r="D2973" s="262"/>
      <c r="E2973" s="81" t="s">
        <v>187</v>
      </c>
      <c r="F2973" s="81" t="s">
        <v>187</v>
      </c>
      <c r="G2973" s="81" t="s">
        <v>187</v>
      </c>
      <c r="H2973" s="81" t="s">
        <v>187</v>
      </c>
      <c r="I2973" s="81" t="s">
        <v>187</v>
      </c>
      <c r="J2973" s="81" t="s">
        <v>187</v>
      </c>
      <c r="K2973" s="81" t="s">
        <v>187</v>
      </c>
      <c r="L2973" s="81" t="s">
        <v>187</v>
      </c>
    </row>
    <row r="2974" ht="15.75" customHeight="1">
      <c r="A2974" s="262"/>
      <c r="B2974" s="262"/>
      <c r="C2974" s="263"/>
      <c r="D2974" s="262"/>
      <c r="E2974" s="81" t="s">
        <v>187</v>
      </c>
      <c r="F2974" s="81" t="s">
        <v>187</v>
      </c>
      <c r="G2974" s="81" t="s">
        <v>187</v>
      </c>
      <c r="H2974" s="81" t="s">
        <v>187</v>
      </c>
      <c r="I2974" s="81" t="s">
        <v>187</v>
      </c>
      <c r="J2974" s="81" t="s">
        <v>187</v>
      </c>
      <c r="K2974" s="81" t="s">
        <v>187</v>
      </c>
      <c r="L2974" s="81" t="s">
        <v>187</v>
      </c>
    </row>
    <row r="2975" ht="15.75" customHeight="1">
      <c r="A2975" s="262"/>
      <c r="B2975" s="262"/>
      <c r="C2975" s="263"/>
      <c r="D2975" s="262"/>
      <c r="E2975" s="81" t="s">
        <v>187</v>
      </c>
      <c r="F2975" s="81" t="s">
        <v>187</v>
      </c>
      <c r="G2975" s="81" t="s">
        <v>187</v>
      </c>
      <c r="H2975" s="81" t="s">
        <v>187</v>
      </c>
      <c r="I2975" s="81" t="s">
        <v>187</v>
      </c>
      <c r="J2975" s="81" t="s">
        <v>187</v>
      </c>
      <c r="K2975" s="81" t="s">
        <v>187</v>
      </c>
      <c r="L2975" s="81" t="s">
        <v>187</v>
      </c>
    </row>
    <row r="2976" ht="15.75" customHeight="1">
      <c r="A2976" s="262"/>
      <c r="B2976" s="262"/>
      <c r="C2976" s="263"/>
      <c r="D2976" s="262"/>
      <c r="E2976" s="81" t="s">
        <v>187</v>
      </c>
      <c r="F2976" s="81" t="s">
        <v>187</v>
      </c>
      <c r="G2976" s="81" t="s">
        <v>187</v>
      </c>
      <c r="H2976" s="81" t="s">
        <v>187</v>
      </c>
      <c r="I2976" s="81" t="s">
        <v>187</v>
      </c>
      <c r="J2976" s="81" t="s">
        <v>187</v>
      </c>
      <c r="K2976" s="81" t="s">
        <v>187</v>
      </c>
      <c r="L2976" s="81" t="s">
        <v>187</v>
      </c>
    </row>
    <row r="2977" ht="15.75" customHeight="1">
      <c r="A2977" s="262"/>
      <c r="B2977" s="262"/>
      <c r="C2977" s="263"/>
      <c r="D2977" s="262"/>
      <c r="E2977" s="81" t="s">
        <v>187</v>
      </c>
      <c r="F2977" s="81" t="s">
        <v>187</v>
      </c>
      <c r="G2977" s="81" t="s">
        <v>187</v>
      </c>
      <c r="H2977" s="81" t="s">
        <v>187</v>
      </c>
      <c r="I2977" s="81" t="s">
        <v>187</v>
      </c>
      <c r="J2977" s="81" t="s">
        <v>187</v>
      </c>
      <c r="K2977" s="81" t="s">
        <v>187</v>
      </c>
      <c r="L2977" s="81" t="s">
        <v>187</v>
      </c>
    </row>
    <row r="2978" ht="15.75" customHeight="1">
      <c r="A2978" s="262"/>
      <c r="B2978" s="262"/>
      <c r="C2978" s="263"/>
      <c r="D2978" s="262"/>
      <c r="E2978" s="81" t="s">
        <v>187</v>
      </c>
      <c r="F2978" s="81" t="s">
        <v>187</v>
      </c>
      <c r="G2978" s="81" t="s">
        <v>187</v>
      </c>
      <c r="H2978" s="81" t="s">
        <v>187</v>
      </c>
      <c r="I2978" s="81" t="s">
        <v>187</v>
      </c>
      <c r="J2978" s="81" t="s">
        <v>187</v>
      </c>
      <c r="K2978" s="81" t="s">
        <v>187</v>
      </c>
      <c r="L2978" s="81" t="s">
        <v>187</v>
      </c>
    </row>
    <row r="2979" ht="15.75" customHeight="1">
      <c r="A2979" s="262"/>
      <c r="B2979" s="262"/>
      <c r="C2979" s="263"/>
      <c r="D2979" s="262"/>
      <c r="E2979" s="81" t="s">
        <v>187</v>
      </c>
      <c r="F2979" s="81" t="s">
        <v>187</v>
      </c>
      <c r="G2979" s="81" t="s">
        <v>187</v>
      </c>
      <c r="H2979" s="81" t="s">
        <v>187</v>
      </c>
      <c r="I2979" s="81" t="s">
        <v>187</v>
      </c>
      <c r="J2979" s="81" t="s">
        <v>187</v>
      </c>
      <c r="K2979" s="81" t="s">
        <v>187</v>
      </c>
      <c r="L2979" s="81" t="s">
        <v>187</v>
      </c>
    </row>
    <row r="2980" ht="15.75" customHeight="1">
      <c r="A2980" s="262"/>
      <c r="B2980" s="262"/>
      <c r="C2980" s="263"/>
      <c r="D2980" s="262"/>
      <c r="E2980" s="81" t="s">
        <v>187</v>
      </c>
      <c r="F2980" s="81" t="s">
        <v>187</v>
      </c>
      <c r="G2980" s="81" t="s">
        <v>187</v>
      </c>
      <c r="H2980" s="81" t="s">
        <v>187</v>
      </c>
      <c r="I2980" s="81" t="s">
        <v>187</v>
      </c>
      <c r="J2980" s="81" t="s">
        <v>187</v>
      </c>
      <c r="K2980" s="81" t="s">
        <v>187</v>
      </c>
      <c r="L2980" s="81" t="s">
        <v>187</v>
      </c>
    </row>
    <row r="2981" ht="15.75" customHeight="1">
      <c r="A2981" s="262"/>
      <c r="B2981" s="262"/>
      <c r="C2981" s="263"/>
      <c r="D2981" s="262"/>
      <c r="E2981" s="81" t="s">
        <v>187</v>
      </c>
      <c r="F2981" s="81" t="s">
        <v>187</v>
      </c>
      <c r="G2981" s="81" t="s">
        <v>187</v>
      </c>
      <c r="H2981" s="81" t="s">
        <v>187</v>
      </c>
      <c r="I2981" s="81" t="s">
        <v>187</v>
      </c>
      <c r="J2981" s="81" t="s">
        <v>187</v>
      </c>
      <c r="K2981" s="81" t="s">
        <v>187</v>
      </c>
      <c r="L2981" s="81" t="s">
        <v>187</v>
      </c>
    </row>
    <row r="2982" ht="15.75" customHeight="1">
      <c r="A2982" s="262"/>
      <c r="B2982" s="262"/>
      <c r="C2982" s="263"/>
      <c r="D2982" s="262"/>
      <c r="E2982" s="81" t="s">
        <v>187</v>
      </c>
      <c r="F2982" s="81" t="s">
        <v>187</v>
      </c>
      <c r="G2982" s="81" t="s">
        <v>187</v>
      </c>
      <c r="H2982" s="81" t="s">
        <v>187</v>
      </c>
      <c r="I2982" s="81" t="s">
        <v>187</v>
      </c>
      <c r="J2982" s="81" t="s">
        <v>187</v>
      </c>
      <c r="K2982" s="81" t="s">
        <v>187</v>
      </c>
      <c r="L2982" s="81" t="s">
        <v>187</v>
      </c>
    </row>
    <row r="2983" ht="15.75" customHeight="1">
      <c r="A2983" s="262"/>
      <c r="B2983" s="262"/>
      <c r="C2983" s="263"/>
      <c r="D2983" s="262"/>
      <c r="E2983" s="81" t="s">
        <v>187</v>
      </c>
      <c r="F2983" s="81" t="s">
        <v>187</v>
      </c>
      <c r="G2983" s="81" t="s">
        <v>187</v>
      </c>
      <c r="H2983" s="81" t="s">
        <v>187</v>
      </c>
      <c r="I2983" s="81" t="s">
        <v>187</v>
      </c>
      <c r="J2983" s="81" t="s">
        <v>187</v>
      </c>
      <c r="K2983" s="81" t="s">
        <v>187</v>
      </c>
      <c r="L2983" s="81" t="s">
        <v>187</v>
      </c>
    </row>
    <row r="2984" ht="15.75" customHeight="1">
      <c r="A2984" s="262"/>
      <c r="B2984" s="262"/>
      <c r="C2984" s="263"/>
      <c r="D2984" s="262"/>
      <c r="E2984" s="81" t="s">
        <v>187</v>
      </c>
      <c r="F2984" s="81" t="s">
        <v>187</v>
      </c>
      <c r="G2984" s="81" t="s">
        <v>187</v>
      </c>
      <c r="H2984" s="81" t="s">
        <v>187</v>
      </c>
      <c r="I2984" s="81" t="s">
        <v>187</v>
      </c>
      <c r="J2984" s="81" t="s">
        <v>187</v>
      </c>
      <c r="K2984" s="81" t="s">
        <v>187</v>
      </c>
      <c r="L2984" s="81" t="s">
        <v>187</v>
      </c>
    </row>
    <row r="2985" ht="15.75" customHeight="1">
      <c r="A2985" s="262"/>
      <c r="B2985" s="262"/>
      <c r="C2985" s="263"/>
      <c r="D2985" s="262"/>
      <c r="E2985" s="81" t="s">
        <v>187</v>
      </c>
      <c r="F2985" s="81" t="s">
        <v>187</v>
      </c>
      <c r="G2985" s="81" t="s">
        <v>187</v>
      </c>
      <c r="H2985" s="81" t="s">
        <v>187</v>
      </c>
      <c r="I2985" s="81" t="s">
        <v>187</v>
      </c>
      <c r="J2985" s="81" t="s">
        <v>187</v>
      </c>
      <c r="K2985" s="81" t="s">
        <v>187</v>
      </c>
      <c r="L2985" s="81" t="s">
        <v>187</v>
      </c>
    </row>
    <row r="2986" ht="15.75" customHeight="1">
      <c r="A2986" s="262"/>
      <c r="B2986" s="262"/>
      <c r="C2986" s="263"/>
      <c r="D2986" s="262"/>
      <c r="E2986" s="81" t="s">
        <v>187</v>
      </c>
      <c r="F2986" s="81" t="s">
        <v>187</v>
      </c>
      <c r="G2986" s="81" t="s">
        <v>187</v>
      </c>
      <c r="H2986" s="81" t="s">
        <v>187</v>
      </c>
      <c r="I2986" s="81" t="s">
        <v>187</v>
      </c>
      <c r="J2986" s="81" t="s">
        <v>187</v>
      </c>
      <c r="K2986" s="81" t="s">
        <v>187</v>
      </c>
      <c r="L2986" s="81" t="s">
        <v>187</v>
      </c>
    </row>
    <row r="2987" ht="15.75" customHeight="1">
      <c r="A2987" s="262"/>
      <c r="B2987" s="262"/>
      <c r="C2987" s="263"/>
      <c r="D2987" s="262"/>
      <c r="E2987" s="81" t="s">
        <v>187</v>
      </c>
      <c r="F2987" s="81" t="s">
        <v>187</v>
      </c>
      <c r="G2987" s="81" t="s">
        <v>187</v>
      </c>
      <c r="H2987" s="81" t="s">
        <v>187</v>
      </c>
      <c r="I2987" s="81" t="s">
        <v>187</v>
      </c>
      <c r="J2987" s="81" t="s">
        <v>187</v>
      </c>
      <c r="K2987" s="81" t="s">
        <v>187</v>
      </c>
      <c r="L2987" s="81" t="s">
        <v>187</v>
      </c>
    </row>
    <row r="2988" ht="15.75" customHeight="1">
      <c r="A2988" s="262"/>
      <c r="B2988" s="262"/>
      <c r="C2988" s="263"/>
      <c r="D2988" s="262"/>
      <c r="E2988" s="81" t="s">
        <v>187</v>
      </c>
      <c r="F2988" s="81" t="s">
        <v>187</v>
      </c>
      <c r="G2988" s="81" t="s">
        <v>187</v>
      </c>
      <c r="H2988" s="81" t="s">
        <v>187</v>
      </c>
      <c r="I2988" s="81" t="s">
        <v>187</v>
      </c>
      <c r="J2988" s="81" t="s">
        <v>187</v>
      </c>
      <c r="K2988" s="81" t="s">
        <v>187</v>
      </c>
      <c r="L2988" s="81" t="s">
        <v>187</v>
      </c>
    </row>
    <row r="2989" ht="15.75" customHeight="1">
      <c r="A2989" s="262"/>
      <c r="B2989" s="262"/>
      <c r="C2989" s="263"/>
      <c r="D2989" s="262"/>
      <c r="E2989" s="81" t="s">
        <v>187</v>
      </c>
      <c r="F2989" s="81" t="s">
        <v>187</v>
      </c>
      <c r="G2989" s="81" t="s">
        <v>187</v>
      </c>
      <c r="H2989" s="81" t="s">
        <v>187</v>
      </c>
      <c r="I2989" s="81" t="s">
        <v>187</v>
      </c>
      <c r="J2989" s="81" t="s">
        <v>187</v>
      </c>
      <c r="K2989" s="81" t="s">
        <v>187</v>
      </c>
      <c r="L2989" s="81" t="s">
        <v>187</v>
      </c>
    </row>
    <row r="2990" ht="15.75" customHeight="1">
      <c r="A2990" s="262"/>
      <c r="B2990" s="262"/>
      <c r="C2990" s="263"/>
      <c r="D2990" s="262"/>
      <c r="E2990" s="81" t="s">
        <v>187</v>
      </c>
      <c r="F2990" s="81" t="s">
        <v>187</v>
      </c>
      <c r="G2990" s="81" t="s">
        <v>187</v>
      </c>
      <c r="H2990" s="81" t="s">
        <v>187</v>
      </c>
      <c r="I2990" s="81" t="s">
        <v>187</v>
      </c>
      <c r="J2990" s="81" t="s">
        <v>187</v>
      </c>
      <c r="K2990" s="81" t="s">
        <v>187</v>
      </c>
      <c r="L2990" s="81" t="s">
        <v>187</v>
      </c>
    </row>
    <row r="2991" ht="15.75" customHeight="1">
      <c r="A2991" s="262"/>
      <c r="B2991" s="262"/>
      <c r="C2991" s="263"/>
      <c r="D2991" s="262"/>
      <c r="E2991" s="81" t="s">
        <v>187</v>
      </c>
      <c r="F2991" s="81" t="s">
        <v>187</v>
      </c>
      <c r="G2991" s="81" t="s">
        <v>187</v>
      </c>
      <c r="H2991" s="81" t="s">
        <v>187</v>
      </c>
      <c r="I2991" s="81" t="s">
        <v>187</v>
      </c>
      <c r="J2991" s="81" t="s">
        <v>187</v>
      </c>
      <c r="K2991" s="81" t="s">
        <v>187</v>
      </c>
      <c r="L2991" s="81" t="s">
        <v>187</v>
      </c>
    </row>
    <row r="2992" ht="15.75" customHeight="1">
      <c r="A2992" s="262"/>
      <c r="B2992" s="262"/>
      <c r="C2992" s="263"/>
      <c r="D2992" s="262"/>
      <c r="E2992" s="81" t="s">
        <v>187</v>
      </c>
      <c r="F2992" s="81" t="s">
        <v>187</v>
      </c>
      <c r="G2992" s="81" t="s">
        <v>187</v>
      </c>
      <c r="H2992" s="81" t="s">
        <v>187</v>
      </c>
      <c r="I2992" s="81" t="s">
        <v>187</v>
      </c>
      <c r="J2992" s="81" t="s">
        <v>187</v>
      </c>
      <c r="K2992" s="81" t="s">
        <v>187</v>
      </c>
      <c r="L2992" s="81" t="s">
        <v>187</v>
      </c>
    </row>
    <row r="2993" ht="15.75" customHeight="1">
      <c r="A2993" s="262"/>
      <c r="B2993" s="262"/>
      <c r="C2993" s="263"/>
      <c r="D2993" s="262"/>
      <c r="E2993" s="81" t="s">
        <v>187</v>
      </c>
      <c r="F2993" s="81" t="s">
        <v>187</v>
      </c>
      <c r="G2993" s="81" t="s">
        <v>187</v>
      </c>
      <c r="H2993" s="81" t="s">
        <v>187</v>
      </c>
      <c r="I2993" s="81" t="s">
        <v>187</v>
      </c>
      <c r="J2993" s="81" t="s">
        <v>187</v>
      </c>
      <c r="K2993" s="81" t="s">
        <v>187</v>
      </c>
      <c r="L2993" s="81" t="s">
        <v>187</v>
      </c>
    </row>
    <row r="2994" ht="15.75" customHeight="1">
      <c r="A2994" s="262"/>
      <c r="B2994" s="262"/>
      <c r="C2994" s="263"/>
      <c r="D2994" s="262"/>
      <c r="E2994" s="81" t="s">
        <v>187</v>
      </c>
      <c r="F2994" s="81" t="s">
        <v>187</v>
      </c>
      <c r="G2994" s="81" t="s">
        <v>187</v>
      </c>
      <c r="H2994" s="81" t="s">
        <v>187</v>
      </c>
      <c r="I2994" s="81" t="s">
        <v>187</v>
      </c>
      <c r="J2994" s="81" t="s">
        <v>187</v>
      </c>
      <c r="K2994" s="81" t="s">
        <v>187</v>
      </c>
      <c r="L2994" s="81" t="s">
        <v>187</v>
      </c>
    </row>
    <row r="2995" ht="15.75" customHeight="1">
      <c r="A2995" s="262"/>
      <c r="B2995" s="262"/>
      <c r="C2995" s="263"/>
      <c r="D2995" s="262"/>
      <c r="E2995" s="81" t="s">
        <v>187</v>
      </c>
      <c r="F2995" s="81" t="s">
        <v>187</v>
      </c>
      <c r="G2995" s="81" t="s">
        <v>187</v>
      </c>
      <c r="H2995" s="81" t="s">
        <v>187</v>
      </c>
      <c r="I2995" s="81" t="s">
        <v>187</v>
      </c>
      <c r="J2995" s="81" t="s">
        <v>187</v>
      </c>
      <c r="K2995" s="81" t="s">
        <v>187</v>
      </c>
      <c r="L2995" s="81" t="s">
        <v>187</v>
      </c>
    </row>
    <row r="2996" ht="15.75" customHeight="1">
      <c r="A2996" s="262"/>
      <c r="B2996" s="262"/>
      <c r="C2996" s="263"/>
      <c r="D2996" s="262"/>
      <c r="E2996" s="81" t="s">
        <v>187</v>
      </c>
      <c r="F2996" s="81" t="s">
        <v>187</v>
      </c>
      <c r="G2996" s="81" t="s">
        <v>187</v>
      </c>
      <c r="H2996" s="81" t="s">
        <v>187</v>
      </c>
      <c r="I2996" s="81" t="s">
        <v>187</v>
      </c>
      <c r="J2996" s="81" t="s">
        <v>187</v>
      </c>
      <c r="K2996" s="81" t="s">
        <v>187</v>
      </c>
      <c r="L2996" s="81" t="s">
        <v>187</v>
      </c>
    </row>
    <row r="2997" ht="15.75" customHeight="1">
      <c r="A2997" s="262"/>
      <c r="B2997" s="262"/>
      <c r="C2997" s="263"/>
      <c r="D2997" s="262"/>
      <c r="E2997" s="81" t="s">
        <v>187</v>
      </c>
      <c r="F2997" s="81" t="s">
        <v>187</v>
      </c>
      <c r="G2997" s="81" t="s">
        <v>187</v>
      </c>
      <c r="H2997" s="81" t="s">
        <v>187</v>
      </c>
      <c r="I2997" s="81" t="s">
        <v>187</v>
      </c>
      <c r="J2997" s="81" t="s">
        <v>187</v>
      </c>
      <c r="K2997" s="81" t="s">
        <v>187</v>
      </c>
      <c r="L2997" s="81" t="s">
        <v>187</v>
      </c>
    </row>
    <row r="2998" ht="15.75" customHeight="1">
      <c r="A2998" s="262"/>
      <c r="B2998" s="262"/>
      <c r="C2998" s="263"/>
      <c r="D2998" s="262"/>
      <c r="E2998" s="81" t="s">
        <v>187</v>
      </c>
      <c r="F2998" s="81" t="s">
        <v>187</v>
      </c>
      <c r="G2998" s="81" t="s">
        <v>187</v>
      </c>
      <c r="H2998" s="81" t="s">
        <v>187</v>
      </c>
      <c r="I2998" s="81" t="s">
        <v>187</v>
      </c>
      <c r="J2998" s="81" t="s">
        <v>187</v>
      </c>
      <c r="K2998" s="81" t="s">
        <v>187</v>
      </c>
      <c r="L2998" s="81" t="s">
        <v>187</v>
      </c>
    </row>
    <row r="2999" ht="15.75" customHeight="1">
      <c r="A2999" s="262"/>
      <c r="B2999" s="262"/>
      <c r="C2999" s="263"/>
      <c r="D2999" s="262"/>
      <c r="E2999" s="81" t="s">
        <v>187</v>
      </c>
      <c r="F2999" s="81" t="s">
        <v>187</v>
      </c>
      <c r="G2999" s="81" t="s">
        <v>187</v>
      </c>
      <c r="H2999" s="81" t="s">
        <v>187</v>
      </c>
      <c r="I2999" s="81" t="s">
        <v>187</v>
      </c>
      <c r="J2999" s="81" t="s">
        <v>187</v>
      </c>
      <c r="K2999" s="81" t="s">
        <v>187</v>
      </c>
      <c r="L2999" s="81" t="s">
        <v>187</v>
      </c>
    </row>
    <row r="3000" ht="15.75" customHeight="1">
      <c r="A3000" s="262"/>
      <c r="B3000" s="262"/>
      <c r="C3000" s="263"/>
      <c r="D3000" s="262"/>
      <c r="E3000" s="81" t="s">
        <v>187</v>
      </c>
      <c r="F3000" s="81" t="s">
        <v>187</v>
      </c>
      <c r="G3000" s="81" t="s">
        <v>187</v>
      </c>
      <c r="H3000" s="81" t="s">
        <v>187</v>
      </c>
      <c r="I3000" s="81" t="s">
        <v>187</v>
      </c>
      <c r="J3000" s="81" t="s">
        <v>187</v>
      </c>
      <c r="K3000" s="81" t="s">
        <v>187</v>
      </c>
      <c r="L3000" s="81" t="s">
        <v>187</v>
      </c>
    </row>
    <row r="3001" ht="15.75" customHeight="1">
      <c r="A3001" s="262"/>
      <c r="B3001" s="262"/>
      <c r="C3001" s="263"/>
      <c r="D3001" s="262"/>
      <c r="E3001" s="81" t="s">
        <v>187</v>
      </c>
      <c r="F3001" s="81" t="s">
        <v>187</v>
      </c>
      <c r="G3001" s="81" t="s">
        <v>187</v>
      </c>
      <c r="H3001" s="81" t="s">
        <v>187</v>
      </c>
      <c r="I3001" s="81" t="s">
        <v>187</v>
      </c>
      <c r="J3001" s="81" t="s">
        <v>187</v>
      </c>
      <c r="K3001" s="81" t="s">
        <v>187</v>
      </c>
      <c r="L3001" s="81" t="s">
        <v>187</v>
      </c>
    </row>
    <row r="3002" ht="15.75" customHeight="1">
      <c r="A3002" s="262"/>
      <c r="B3002" s="262"/>
      <c r="C3002" s="263"/>
      <c r="D3002" s="262"/>
      <c r="E3002" s="81" t="s">
        <v>187</v>
      </c>
      <c r="F3002" s="81" t="s">
        <v>187</v>
      </c>
      <c r="G3002" s="81" t="s">
        <v>187</v>
      </c>
      <c r="H3002" s="81" t="s">
        <v>187</v>
      </c>
      <c r="I3002" s="81" t="s">
        <v>187</v>
      </c>
      <c r="J3002" s="81" t="s">
        <v>187</v>
      </c>
      <c r="K3002" s="81" t="s">
        <v>187</v>
      </c>
      <c r="L3002" s="81" t="s">
        <v>187</v>
      </c>
    </row>
    <row r="3003" ht="15.75" customHeight="1">
      <c r="A3003" s="262"/>
      <c r="B3003" s="262"/>
      <c r="C3003" s="263"/>
      <c r="D3003" s="262"/>
      <c r="E3003" s="81" t="s">
        <v>187</v>
      </c>
      <c r="F3003" s="81" t="s">
        <v>187</v>
      </c>
      <c r="G3003" s="81" t="s">
        <v>187</v>
      </c>
      <c r="H3003" s="81" t="s">
        <v>187</v>
      </c>
      <c r="I3003" s="81" t="s">
        <v>187</v>
      </c>
      <c r="J3003" s="81" t="s">
        <v>187</v>
      </c>
      <c r="K3003" s="81" t="s">
        <v>187</v>
      </c>
      <c r="L3003" s="81" t="s">
        <v>187</v>
      </c>
    </row>
    <row r="3004" ht="15.75" customHeight="1">
      <c r="A3004" s="262"/>
      <c r="B3004" s="262"/>
      <c r="C3004" s="263"/>
      <c r="D3004" s="262"/>
      <c r="E3004" s="81" t="s">
        <v>187</v>
      </c>
      <c r="F3004" s="81" t="s">
        <v>187</v>
      </c>
      <c r="G3004" s="81" t="s">
        <v>187</v>
      </c>
      <c r="H3004" s="81" t="s">
        <v>187</v>
      </c>
      <c r="I3004" s="81" t="s">
        <v>187</v>
      </c>
      <c r="J3004" s="81" t="s">
        <v>187</v>
      </c>
      <c r="K3004" s="81" t="s">
        <v>187</v>
      </c>
      <c r="L3004" s="81" t="s">
        <v>187</v>
      </c>
    </row>
    <row r="3005" ht="15.75" customHeight="1">
      <c r="A3005" s="262"/>
      <c r="B3005" s="262"/>
      <c r="C3005" s="263"/>
      <c r="D3005" s="262"/>
      <c r="E3005" s="81" t="s">
        <v>187</v>
      </c>
      <c r="F3005" s="81" t="s">
        <v>187</v>
      </c>
      <c r="G3005" s="81" t="s">
        <v>187</v>
      </c>
      <c r="H3005" s="81" t="s">
        <v>187</v>
      </c>
      <c r="I3005" s="81" t="s">
        <v>187</v>
      </c>
      <c r="J3005" s="81" t="s">
        <v>187</v>
      </c>
      <c r="K3005" s="81" t="s">
        <v>187</v>
      </c>
      <c r="L3005" s="81" t="s">
        <v>187</v>
      </c>
    </row>
    <row r="3006" ht="15.75" customHeight="1">
      <c r="A3006" s="262"/>
      <c r="B3006" s="262"/>
      <c r="C3006" s="263"/>
      <c r="D3006" s="262"/>
      <c r="E3006" s="81" t="s">
        <v>187</v>
      </c>
      <c r="F3006" s="81" t="s">
        <v>187</v>
      </c>
      <c r="G3006" s="81" t="s">
        <v>187</v>
      </c>
      <c r="H3006" s="81" t="s">
        <v>187</v>
      </c>
      <c r="I3006" s="81" t="s">
        <v>187</v>
      </c>
      <c r="J3006" s="81" t="s">
        <v>187</v>
      </c>
      <c r="K3006" s="81" t="s">
        <v>187</v>
      </c>
      <c r="L3006" s="81" t="s">
        <v>187</v>
      </c>
    </row>
    <row r="3007" ht="15.75" customHeight="1">
      <c r="A3007" s="262"/>
      <c r="B3007" s="262"/>
      <c r="C3007" s="263"/>
      <c r="D3007" s="262"/>
      <c r="E3007" s="81" t="s">
        <v>187</v>
      </c>
      <c r="F3007" s="81" t="s">
        <v>187</v>
      </c>
      <c r="G3007" s="81" t="s">
        <v>187</v>
      </c>
      <c r="H3007" s="81" t="s">
        <v>187</v>
      </c>
      <c r="I3007" s="81" t="s">
        <v>187</v>
      </c>
      <c r="J3007" s="81" t="s">
        <v>187</v>
      </c>
      <c r="K3007" s="81" t="s">
        <v>187</v>
      </c>
      <c r="L3007" s="81" t="s">
        <v>187</v>
      </c>
    </row>
    <row r="3008" ht="15.75" customHeight="1">
      <c r="A3008" s="262"/>
      <c r="B3008" s="262"/>
      <c r="C3008" s="263"/>
      <c r="D3008" s="262"/>
      <c r="E3008" s="81" t="s">
        <v>187</v>
      </c>
      <c r="F3008" s="81" t="s">
        <v>187</v>
      </c>
      <c r="G3008" s="81" t="s">
        <v>187</v>
      </c>
      <c r="H3008" s="81" t="s">
        <v>187</v>
      </c>
      <c r="I3008" s="81" t="s">
        <v>187</v>
      </c>
      <c r="J3008" s="81" t="s">
        <v>187</v>
      </c>
      <c r="K3008" s="81" t="s">
        <v>187</v>
      </c>
      <c r="L3008" s="81" t="s">
        <v>187</v>
      </c>
    </row>
    <row r="3009" ht="15.75" customHeight="1">
      <c r="A3009" s="262"/>
      <c r="B3009" s="262"/>
      <c r="C3009" s="263"/>
      <c r="D3009" s="262"/>
      <c r="E3009" s="81" t="s">
        <v>187</v>
      </c>
      <c r="F3009" s="81" t="s">
        <v>187</v>
      </c>
      <c r="G3009" s="81" t="s">
        <v>187</v>
      </c>
      <c r="H3009" s="81" t="s">
        <v>187</v>
      </c>
      <c r="I3009" s="81" t="s">
        <v>187</v>
      </c>
      <c r="J3009" s="81" t="s">
        <v>187</v>
      </c>
      <c r="K3009" s="81" t="s">
        <v>187</v>
      </c>
      <c r="L3009" s="81" t="s">
        <v>187</v>
      </c>
    </row>
    <row r="3010" ht="15.75" customHeight="1">
      <c r="A3010" s="262"/>
      <c r="B3010" s="262"/>
      <c r="C3010" s="263"/>
      <c r="D3010" s="262"/>
      <c r="E3010" s="81" t="s">
        <v>187</v>
      </c>
      <c r="F3010" s="81" t="s">
        <v>187</v>
      </c>
      <c r="G3010" s="81" t="s">
        <v>187</v>
      </c>
      <c r="H3010" s="81" t="s">
        <v>187</v>
      </c>
      <c r="I3010" s="81" t="s">
        <v>187</v>
      </c>
      <c r="J3010" s="81" t="s">
        <v>187</v>
      </c>
      <c r="K3010" s="81" t="s">
        <v>187</v>
      </c>
      <c r="L3010" s="81" t="s">
        <v>187</v>
      </c>
    </row>
    <row r="3011" ht="15.75" customHeight="1">
      <c r="A3011" s="262"/>
      <c r="B3011" s="262"/>
      <c r="C3011" s="263"/>
      <c r="D3011" s="262"/>
      <c r="E3011" s="81" t="s">
        <v>187</v>
      </c>
      <c r="F3011" s="81" t="s">
        <v>187</v>
      </c>
      <c r="G3011" s="81" t="s">
        <v>187</v>
      </c>
      <c r="H3011" s="81" t="s">
        <v>187</v>
      </c>
      <c r="I3011" s="81" t="s">
        <v>187</v>
      </c>
      <c r="J3011" s="81" t="s">
        <v>187</v>
      </c>
      <c r="K3011" s="81" t="s">
        <v>187</v>
      </c>
      <c r="L3011" s="81" t="s">
        <v>187</v>
      </c>
    </row>
    <row r="3012" ht="15.75" customHeight="1">
      <c r="A3012" s="262"/>
      <c r="B3012" s="262"/>
      <c r="C3012" s="263"/>
      <c r="D3012" s="262"/>
      <c r="E3012" s="81" t="s">
        <v>187</v>
      </c>
      <c r="F3012" s="81" t="s">
        <v>187</v>
      </c>
      <c r="G3012" s="81" t="s">
        <v>187</v>
      </c>
      <c r="H3012" s="81" t="s">
        <v>187</v>
      </c>
      <c r="I3012" s="81" t="s">
        <v>187</v>
      </c>
      <c r="J3012" s="81" t="s">
        <v>187</v>
      </c>
      <c r="K3012" s="81" t="s">
        <v>187</v>
      </c>
      <c r="L3012" s="81" t="s">
        <v>187</v>
      </c>
    </row>
    <row r="3013" ht="15.75" customHeight="1">
      <c r="A3013" s="262"/>
      <c r="B3013" s="262"/>
      <c r="C3013" s="263"/>
      <c r="D3013" s="262"/>
      <c r="E3013" s="81" t="s">
        <v>187</v>
      </c>
      <c r="F3013" s="81" t="s">
        <v>187</v>
      </c>
      <c r="G3013" s="81" t="s">
        <v>187</v>
      </c>
      <c r="H3013" s="81" t="s">
        <v>187</v>
      </c>
      <c r="I3013" s="81" t="s">
        <v>187</v>
      </c>
      <c r="J3013" s="81" t="s">
        <v>187</v>
      </c>
      <c r="K3013" s="81" t="s">
        <v>187</v>
      </c>
      <c r="L3013" s="81" t="s">
        <v>187</v>
      </c>
    </row>
    <row r="3014" ht="15.75" customHeight="1">
      <c r="A3014" s="262"/>
      <c r="B3014" s="262"/>
      <c r="C3014" s="263"/>
      <c r="D3014" s="262"/>
      <c r="E3014" s="81" t="s">
        <v>187</v>
      </c>
      <c r="F3014" s="81" t="s">
        <v>187</v>
      </c>
      <c r="G3014" s="81" t="s">
        <v>187</v>
      </c>
      <c r="H3014" s="81" t="s">
        <v>187</v>
      </c>
      <c r="I3014" s="81" t="s">
        <v>187</v>
      </c>
      <c r="J3014" s="81" t="s">
        <v>187</v>
      </c>
      <c r="K3014" s="81" t="s">
        <v>187</v>
      </c>
      <c r="L3014" s="81" t="s">
        <v>187</v>
      </c>
    </row>
    <row r="3015" ht="15.75" customHeight="1">
      <c r="A3015" s="262"/>
      <c r="B3015" s="262"/>
      <c r="C3015" s="263"/>
      <c r="D3015" s="262"/>
      <c r="E3015" s="81" t="s">
        <v>187</v>
      </c>
      <c r="F3015" s="81" t="s">
        <v>187</v>
      </c>
      <c r="G3015" s="81" t="s">
        <v>187</v>
      </c>
      <c r="H3015" s="81" t="s">
        <v>187</v>
      </c>
      <c r="I3015" s="81" t="s">
        <v>187</v>
      </c>
      <c r="J3015" s="81" t="s">
        <v>187</v>
      </c>
      <c r="K3015" s="81" t="s">
        <v>187</v>
      </c>
      <c r="L3015" s="81" t="s">
        <v>187</v>
      </c>
    </row>
    <row r="3016" ht="15.75" customHeight="1">
      <c r="A3016" s="262"/>
      <c r="B3016" s="262"/>
      <c r="C3016" s="263"/>
      <c r="D3016" s="262"/>
      <c r="E3016" s="81" t="s">
        <v>187</v>
      </c>
      <c r="F3016" s="81" t="s">
        <v>187</v>
      </c>
      <c r="G3016" s="81" t="s">
        <v>187</v>
      </c>
      <c r="H3016" s="81" t="s">
        <v>187</v>
      </c>
      <c r="I3016" s="81" t="s">
        <v>187</v>
      </c>
      <c r="J3016" s="81" t="s">
        <v>187</v>
      </c>
      <c r="K3016" s="81" t="s">
        <v>187</v>
      </c>
      <c r="L3016" s="81" t="s">
        <v>187</v>
      </c>
    </row>
    <row r="3017" ht="15.75" customHeight="1">
      <c r="A3017" s="262"/>
      <c r="B3017" s="262"/>
      <c r="C3017" s="263"/>
      <c r="D3017" s="262"/>
      <c r="E3017" s="81" t="s">
        <v>187</v>
      </c>
      <c r="F3017" s="81" t="s">
        <v>187</v>
      </c>
      <c r="G3017" s="81" t="s">
        <v>187</v>
      </c>
      <c r="H3017" s="81" t="s">
        <v>187</v>
      </c>
      <c r="I3017" s="81" t="s">
        <v>187</v>
      </c>
      <c r="J3017" s="81" t="s">
        <v>187</v>
      </c>
      <c r="K3017" s="81" t="s">
        <v>187</v>
      </c>
      <c r="L3017" s="81" t="s">
        <v>187</v>
      </c>
    </row>
    <row r="3018" ht="15.75" customHeight="1">
      <c r="A3018" s="262"/>
      <c r="B3018" s="262"/>
      <c r="C3018" s="263"/>
      <c r="D3018" s="262"/>
      <c r="E3018" s="81" t="s">
        <v>187</v>
      </c>
      <c r="F3018" s="81" t="s">
        <v>187</v>
      </c>
      <c r="G3018" s="81" t="s">
        <v>187</v>
      </c>
      <c r="H3018" s="81" t="s">
        <v>187</v>
      </c>
      <c r="I3018" s="81" t="s">
        <v>187</v>
      </c>
      <c r="J3018" s="81" t="s">
        <v>187</v>
      </c>
      <c r="K3018" s="81" t="s">
        <v>187</v>
      </c>
      <c r="L3018" s="81" t="s">
        <v>187</v>
      </c>
    </row>
    <row r="3019" ht="15.75" customHeight="1">
      <c r="A3019" s="262"/>
      <c r="B3019" s="262"/>
      <c r="C3019" s="263"/>
      <c r="D3019" s="262"/>
      <c r="E3019" s="81" t="s">
        <v>187</v>
      </c>
      <c r="F3019" s="81" t="s">
        <v>187</v>
      </c>
      <c r="G3019" s="81" t="s">
        <v>187</v>
      </c>
      <c r="H3019" s="81" t="s">
        <v>187</v>
      </c>
      <c r="I3019" s="81" t="s">
        <v>187</v>
      </c>
      <c r="J3019" s="81" t="s">
        <v>187</v>
      </c>
      <c r="K3019" s="81" t="s">
        <v>187</v>
      </c>
      <c r="L3019" s="81" t="s">
        <v>187</v>
      </c>
    </row>
    <row r="3020" ht="15.75" customHeight="1">
      <c r="A3020" s="262"/>
      <c r="B3020" s="262"/>
      <c r="C3020" s="263"/>
      <c r="D3020" s="262"/>
      <c r="E3020" s="81" t="s">
        <v>187</v>
      </c>
      <c r="F3020" s="81" t="s">
        <v>187</v>
      </c>
      <c r="G3020" s="81" t="s">
        <v>187</v>
      </c>
      <c r="H3020" s="81" t="s">
        <v>187</v>
      </c>
      <c r="I3020" s="81" t="s">
        <v>187</v>
      </c>
      <c r="J3020" s="81" t="s">
        <v>187</v>
      </c>
      <c r="K3020" s="81" t="s">
        <v>187</v>
      </c>
      <c r="L3020" s="81" t="s">
        <v>187</v>
      </c>
    </row>
    <row r="3021" ht="15.75" customHeight="1">
      <c r="A3021" s="262"/>
      <c r="B3021" s="262"/>
      <c r="C3021" s="263"/>
      <c r="D3021" s="262"/>
      <c r="E3021" s="81" t="s">
        <v>187</v>
      </c>
      <c r="F3021" s="81" t="s">
        <v>187</v>
      </c>
      <c r="G3021" s="81" t="s">
        <v>187</v>
      </c>
      <c r="H3021" s="81" t="s">
        <v>187</v>
      </c>
      <c r="I3021" s="81" t="s">
        <v>187</v>
      </c>
      <c r="J3021" s="81" t="s">
        <v>187</v>
      </c>
      <c r="K3021" s="81" t="s">
        <v>187</v>
      </c>
      <c r="L3021" s="81" t="s">
        <v>187</v>
      </c>
    </row>
    <row r="3022" ht="15.75" customHeight="1">
      <c r="A3022" s="262"/>
      <c r="B3022" s="262"/>
      <c r="C3022" s="263"/>
      <c r="D3022" s="262"/>
      <c r="E3022" s="81" t="s">
        <v>187</v>
      </c>
      <c r="F3022" s="81" t="s">
        <v>187</v>
      </c>
      <c r="G3022" s="81" t="s">
        <v>187</v>
      </c>
      <c r="H3022" s="81" t="s">
        <v>187</v>
      </c>
      <c r="I3022" s="81" t="s">
        <v>187</v>
      </c>
      <c r="J3022" s="81" t="s">
        <v>187</v>
      </c>
      <c r="K3022" s="81" t="s">
        <v>187</v>
      </c>
      <c r="L3022" s="81" t="s">
        <v>187</v>
      </c>
    </row>
    <row r="3023" ht="15.75" customHeight="1">
      <c r="A3023" s="262"/>
      <c r="B3023" s="262"/>
      <c r="C3023" s="263"/>
      <c r="D3023" s="262"/>
      <c r="E3023" s="81" t="s">
        <v>187</v>
      </c>
      <c r="F3023" s="81" t="s">
        <v>187</v>
      </c>
      <c r="G3023" s="81" t="s">
        <v>187</v>
      </c>
      <c r="H3023" s="81" t="s">
        <v>187</v>
      </c>
      <c r="I3023" s="81" t="s">
        <v>187</v>
      </c>
      <c r="J3023" s="81" t="s">
        <v>187</v>
      </c>
      <c r="K3023" s="81" t="s">
        <v>187</v>
      </c>
      <c r="L3023" s="81" t="s">
        <v>187</v>
      </c>
    </row>
    <row r="3024" ht="15.75" customHeight="1">
      <c r="A3024" s="262"/>
      <c r="B3024" s="262"/>
      <c r="C3024" s="263"/>
      <c r="D3024" s="262"/>
      <c r="E3024" s="81" t="s">
        <v>187</v>
      </c>
      <c r="F3024" s="81" t="s">
        <v>187</v>
      </c>
      <c r="G3024" s="81" t="s">
        <v>187</v>
      </c>
      <c r="H3024" s="81" t="s">
        <v>187</v>
      </c>
      <c r="I3024" s="81" t="s">
        <v>187</v>
      </c>
      <c r="J3024" s="81" t="s">
        <v>187</v>
      </c>
      <c r="K3024" s="81" t="s">
        <v>187</v>
      </c>
      <c r="L3024" s="81" t="s">
        <v>187</v>
      </c>
    </row>
    <row r="3025" ht="15.75" customHeight="1">
      <c r="A3025" s="262"/>
      <c r="B3025" s="262"/>
      <c r="C3025" s="263"/>
      <c r="D3025" s="262"/>
      <c r="E3025" s="81" t="s">
        <v>187</v>
      </c>
      <c r="F3025" s="81" t="s">
        <v>187</v>
      </c>
      <c r="G3025" s="81" t="s">
        <v>187</v>
      </c>
      <c r="H3025" s="81" t="s">
        <v>187</v>
      </c>
      <c r="I3025" s="81" t="s">
        <v>187</v>
      </c>
      <c r="J3025" s="81" t="s">
        <v>187</v>
      </c>
      <c r="K3025" s="81" t="s">
        <v>187</v>
      </c>
      <c r="L3025" s="81" t="s">
        <v>187</v>
      </c>
    </row>
    <row r="3026" ht="15.75" customHeight="1">
      <c r="A3026" s="262"/>
      <c r="B3026" s="262"/>
      <c r="C3026" s="263"/>
      <c r="D3026" s="262"/>
      <c r="E3026" s="81" t="s">
        <v>187</v>
      </c>
      <c r="F3026" s="81" t="s">
        <v>187</v>
      </c>
      <c r="G3026" s="81" t="s">
        <v>187</v>
      </c>
      <c r="H3026" s="81" t="s">
        <v>187</v>
      </c>
      <c r="I3026" s="81" t="s">
        <v>187</v>
      </c>
      <c r="J3026" s="81" t="s">
        <v>187</v>
      </c>
      <c r="K3026" s="81" t="s">
        <v>187</v>
      </c>
      <c r="L3026" s="81" t="s">
        <v>187</v>
      </c>
    </row>
    <row r="3027" ht="15.75" customHeight="1">
      <c r="A3027" s="262"/>
      <c r="B3027" s="262"/>
      <c r="C3027" s="263"/>
      <c r="D3027" s="262"/>
      <c r="E3027" s="81" t="s">
        <v>187</v>
      </c>
      <c r="F3027" s="81" t="s">
        <v>187</v>
      </c>
      <c r="G3027" s="81" t="s">
        <v>187</v>
      </c>
      <c r="H3027" s="81" t="s">
        <v>187</v>
      </c>
      <c r="I3027" s="81" t="s">
        <v>187</v>
      </c>
      <c r="J3027" s="81" t="s">
        <v>187</v>
      </c>
      <c r="K3027" s="81" t="s">
        <v>187</v>
      </c>
      <c r="L3027" s="81" t="s">
        <v>187</v>
      </c>
    </row>
    <row r="3028" ht="15.75" customHeight="1">
      <c r="A3028" s="262"/>
      <c r="B3028" s="262"/>
      <c r="C3028" s="263"/>
      <c r="D3028" s="262"/>
      <c r="E3028" s="81" t="s">
        <v>187</v>
      </c>
      <c r="F3028" s="81" t="s">
        <v>187</v>
      </c>
      <c r="G3028" s="81" t="s">
        <v>187</v>
      </c>
      <c r="H3028" s="81" t="s">
        <v>187</v>
      </c>
      <c r="I3028" s="81" t="s">
        <v>187</v>
      </c>
      <c r="J3028" s="81" t="s">
        <v>187</v>
      </c>
      <c r="K3028" s="81" t="s">
        <v>187</v>
      </c>
      <c r="L3028" s="81" t="s">
        <v>187</v>
      </c>
    </row>
    <row r="3029" ht="15.75" customHeight="1">
      <c r="A3029" s="262"/>
      <c r="B3029" s="262"/>
      <c r="C3029" s="263"/>
      <c r="D3029" s="262"/>
      <c r="E3029" s="81" t="s">
        <v>187</v>
      </c>
      <c r="F3029" s="81" t="s">
        <v>187</v>
      </c>
      <c r="G3029" s="81" t="s">
        <v>187</v>
      </c>
      <c r="H3029" s="81" t="s">
        <v>187</v>
      </c>
      <c r="I3029" s="81" t="s">
        <v>187</v>
      </c>
      <c r="J3029" s="81" t="s">
        <v>187</v>
      </c>
      <c r="K3029" s="81" t="s">
        <v>187</v>
      </c>
      <c r="L3029" s="81" t="s">
        <v>187</v>
      </c>
    </row>
    <row r="3030" ht="15.75" customHeight="1">
      <c r="A3030" s="262"/>
      <c r="B3030" s="262"/>
      <c r="C3030" s="263"/>
      <c r="D3030" s="262"/>
      <c r="E3030" s="81" t="s">
        <v>187</v>
      </c>
      <c r="F3030" s="81" t="s">
        <v>187</v>
      </c>
      <c r="G3030" s="81" t="s">
        <v>187</v>
      </c>
      <c r="H3030" s="81" t="s">
        <v>187</v>
      </c>
      <c r="I3030" s="81" t="s">
        <v>187</v>
      </c>
      <c r="J3030" s="81" t="s">
        <v>187</v>
      </c>
      <c r="K3030" s="81" t="s">
        <v>187</v>
      </c>
      <c r="L3030" s="81" t="s">
        <v>187</v>
      </c>
    </row>
    <row r="3031" ht="15.75" customHeight="1">
      <c r="A3031" s="262"/>
      <c r="B3031" s="262"/>
      <c r="C3031" s="263"/>
      <c r="D3031" s="262"/>
      <c r="E3031" s="81" t="s">
        <v>187</v>
      </c>
      <c r="F3031" s="81" t="s">
        <v>187</v>
      </c>
      <c r="G3031" s="81" t="s">
        <v>187</v>
      </c>
      <c r="H3031" s="81" t="s">
        <v>187</v>
      </c>
      <c r="I3031" s="81" t="s">
        <v>187</v>
      </c>
      <c r="J3031" s="81" t="s">
        <v>187</v>
      </c>
      <c r="K3031" s="81" t="s">
        <v>187</v>
      </c>
      <c r="L3031" s="81" t="s">
        <v>187</v>
      </c>
    </row>
    <row r="3032" ht="15.75" customHeight="1">
      <c r="A3032" s="262"/>
      <c r="B3032" s="262"/>
      <c r="C3032" s="263"/>
      <c r="D3032" s="262"/>
      <c r="E3032" s="81" t="s">
        <v>187</v>
      </c>
      <c r="F3032" s="81" t="s">
        <v>187</v>
      </c>
      <c r="G3032" s="81" t="s">
        <v>187</v>
      </c>
      <c r="H3032" s="81" t="s">
        <v>187</v>
      </c>
      <c r="I3032" s="81" t="s">
        <v>187</v>
      </c>
      <c r="J3032" s="81" t="s">
        <v>187</v>
      </c>
      <c r="K3032" s="81" t="s">
        <v>187</v>
      </c>
      <c r="L3032" s="81" t="s">
        <v>187</v>
      </c>
    </row>
    <row r="3033" ht="15.75" customHeight="1">
      <c r="A3033" s="262"/>
      <c r="B3033" s="262"/>
      <c r="C3033" s="263"/>
      <c r="D3033" s="262"/>
      <c r="E3033" s="81" t="s">
        <v>187</v>
      </c>
      <c r="F3033" s="81" t="s">
        <v>187</v>
      </c>
      <c r="G3033" s="81" t="s">
        <v>187</v>
      </c>
      <c r="H3033" s="81" t="s">
        <v>187</v>
      </c>
      <c r="I3033" s="81" t="s">
        <v>187</v>
      </c>
      <c r="J3033" s="81" t="s">
        <v>187</v>
      </c>
      <c r="K3033" s="81" t="s">
        <v>187</v>
      </c>
      <c r="L3033" s="81" t="s">
        <v>187</v>
      </c>
    </row>
    <row r="3034" ht="15.75" customHeight="1">
      <c r="A3034" s="262"/>
      <c r="B3034" s="262"/>
      <c r="C3034" s="263"/>
      <c r="D3034" s="262"/>
      <c r="E3034" s="81" t="s">
        <v>187</v>
      </c>
      <c r="F3034" s="81" t="s">
        <v>187</v>
      </c>
      <c r="G3034" s="81" t="s">
        <v>187</v>
      </c>
      <c r="H3034" s="81" t="s">
        <v>187</v>
      </c>
      <c r="I3034" s="81" t="s">
        <v>187</v>
      </c>
      <c r="J3034" s="81" t="s">
        <v>187</v>
      </c>
      <c r="K3034" s="81" t="s">
        <v>187</v>
      </c>
      <c r="L3034" s="81" t="s">
        <v>187</v>
      </c>
    </row>
    <row r="3035" ht="15.75" customHeight="1">
      <c r="A3035" s="262"/>
      <c r="B3035" s="262"/>
      <c r="C3035" s="263"/>
      <c r="D3035" s="262"/>
      <c r="E3035" s="81" t="s">
        <v>187</v>
      </c>
      <c r="F3035" s="81" t="s">
        <v>187</v>
      </c>
      <c r="G3035" s="81" t="s">
        <v>187</v>
      </c>
      <c r="H3035" s="81" t="s">
        <v>187</v>
      </c>
      <c r="I3035" s="81" t="s">
        <v>187</v>
      </c>
      <c r="J3035" s="81" t="s">
        <v>187</v>
      </c>
      <c r="K3035" s="81" t="s">
        <v>187</v>
      </c>
      <c r="L3035" s="81" t="s">
        <v>187</v>
      </c>
    </row>
    <row r="3036" ht="15.75" customHeight="1">
      <c r="A3036" s="262"/>
      <c r="B3036" s="262"/>
      <c r="C3036" s="263"/>
      <c r="D3036" s="262"/>
      <c r="E3036" s="81" t="s">
        <v>187</v>
      </c>
      <c r="F3036" s="81" t="s">
        <v>187</v>
      </c>
      <c r="G3036" s="81" t="s">
        <v>187</v>
      </c>
      <c r="H3036" s="81" t="s">
        <v>187</v>
      </c>
      <c r="I3036" s="81" t="s">
        <v>187</v>
      </c>
      <c r="J3036" s="81" t="s">
        <v>187</v>
      </c>
      <c r="K3036" s="81" t="s">
        <v>187</v>
      </c>
      <c r="L3036" s="81" t="s">
        <v>187</v>
      </c>
    </row>
    <row r="3037" ht="15.75" customHeight="1">
      <c r="A3037" s="262"/>
      <c r="B3037" s="262"/>
      <c r="C3037" s="263"/>
      <c r="D3037" s="262"/>
      <c r="E3037" s="81" t="s">
        <v>187</v>
      </c>
      <c r="F3037" s="81" t="s">
        <v>187</v>
      </c>
      <c r="G3037" s="81" t="s">
        <v>187</v>
      </c>
      <c r="H3037" s="81" t="s">
        <v>187</v>
      </c>
      <c r="I3037" s="81" t="s">
        <v>187</v>
      </c>
      <c r="J3037" s="81" t="s">
        <v>187</v>
      </c>
      <c r="K3037" s="81" t="s">
        <v>187</v>
      </c>
      <c r="L3037" s="81" t="s">
        <v>187</v>
      </c>
    </row>
    <row r="3038" ht="15.75" customHeight="1">
      <c r="A3038" s="262"/>
      <c r="B3038" s="262"/>
      <c r="C3038" s="263"/>
      <c r="D3038" s="262"/>
      <c r="E3038" s="81" t="s">
        <v>187</v>
      </c>
      <c r="F3038" s="81" t="s">
        <v>187</v>
      </c>
      <c r="G3038" s="81" t="s">
        <v>187</v>
      </c>
      <c r="H3038" s="81" t="s">
        <v>187</v>
      </c>
      <c r="I3038" s="81" t="s">
        <v>187</v>
      </c>
      <c r="J3038" s="81" t="s">
        <v>187</v>
      </c>
      <c r="K3038" s="81" t="s">
        <v>187</v>
      </c>
      <c r="L3038" s="81" t="s">
        <v>187</v>
      </c>
    </row>
    <row r="3039" ht="15.75" customHeight="1">
      <c r="A3039" s="262"/>
      <c r="B3039" s="262"/>
      <c r="C3039" s="263"/>
      <c r="D3039" s="262"/>
      <c r="E3039" s="81" t="s">
        <v>187</v>
      </c>
      <c r="F3039" s="81" t="s">
        <v>187</v>
      </c>
      <c r="G3039" s="81" t="s">
        <v>187</v>
      </c>
      <c r="H3039" s="81" t="s">
        <v>187</v>
      </c>
      <c r="I3039" s="81" t="s">
        <v>187</v>
      </c>
      <c r="J3039" s="81" t="s">
        <v>187</v>
      </c>
      <c r="K3039" s="81" t="s">
        <v>187</v>
      </c>
      <c r="L3039" s="81" t="s">
        <v>187</v>
      </c>
    </row>
    <row r="3040" ht="15.75" customHeight="1">
      <c r="A3040" s="262"/>
      <c r="B3040" s="262"/>
      <c r="C3040" s="263"/>
      <c r="D3040" s="262"/>
      <c r="E3040" s="81" t="s">
        <v>187</v>
      </c>
      <c r="F3040" s="81" t="s">
        <v>187</v>
      </c>
      <c r="G3040" s="81" t="s">
        <v>187</v>
      </c>
      <c r="H3040" s="81" t="s">
        <v>187</v>
      </c>
      <c r="I3040" s="81" t="s">
        <v>187</v>
      </c>
      <c r="J3040" s="81" t="s">
        <v>187</v>
      </c>
      <c r="K3040" s="81" t="s">
        <v>187</v>
      </c>
      <c r="L3040" s="81" t="s">
        <v>187</v>
      </c>
    </row>
    <row r="3041" ht="15.75" customHeight="1">
      <c r="A3041" s="262"/>
      <c r="B3041" s="262"/>
      <c r="C3041" s="263"/>
      <c r="D3041" s="262"/>
      <c r="E3041" s="81" t="s">
        <v>187</v>
      </c>
      <c r="F3041" s="81" t="s">
        <v>187</v>
      </c>
      <c r="G3041" s="81" t="s">
        <v>187</v>
      </c>
      <c r="H3041" s="81" t="s">
        <v>187</v>
      </c>
      <c r="I3041" s="81" t="s">
        <v>187</v>
      </c>
      <c r="J3041" s="81" t="s">
        <v>187</v>
      </c>
      <c r="K3041" s="81" t="s">
        <v>187</v>
      </c>
      <c r="L3041" s="81" t="s">
        <v>187</v>
      </c>
    </row>
    <row r="3042" ht="15.75" customHeight="1">
      <c r="A3042" s="262"/>
      <c r="B3042" s="262"/>
      <c r="C3042" s="263"/>
      <c r="D3042" s="262"/>
      <c r="E3042" s="81" t="s">
        <v>187</v>
      </c>
      <c r="F3042" s="81" t="s">
        <v>187</v>
      </c>
      <c r="G3042" s="81" t="s">
        <v>187</v>
      </c>
      <c r="H3042" s="81" t="s">
        <v>187</v>
      </c>
      <c r="I3042" s="81" t="s">
        <v>187</v>
      </c>
      <c r="J3042" s="81" t="s">
        <v>187</v>
      </c>
      <c r="K3042" s="81" t="s">
        <v>187</v>
      </c>
      <c r="L3042" s="81" t="s">
        <v>187</v>
      </c>
    </row>
    <row r="3043" ht="15.75" customHeight="1">
      <c r="A3043" s="262"/>
      <c r="B3043" s="262"/>
      <c r="C3043" s="263"/>
      <c r="D3043" s="262"/>
      <c r="E3043" s="81" t="s">
        <v>187</v>
      </c>
      <c r="F3043" s="81" t="s">
        <v>187</v>
      </c>
      <c r="G3043" s="81" t="s">
        <v>187</v>
      </c>
      <c r="H3043" s="81" t="s">
        <v>187</v>
      </c>
      <c r="I3043" s="81" t="s">
        <v>187</v>
      </c>
      <c r="J3043" s="81" t="s">
        <v>187</v>
      </c>
      <c r="K3043" s="81" t="s">
        <v>187</v>
      </c>
      <c r="L3043" s="81" t="s">
        <v>187</v>
      </c>
    </row>
    <row r="3044" ht="15.75" customHeight="1">
      <c r="A3044" s="262"/>
      <c r="B3044" s="262"/>
      <c r="C3044" s="263"/>
      <c r="D3044" s="262"/>
      <c r="E3044" s="81" t="s">
        <v>187</v>
      </c>
      <c r="F3044" s="81" t="s">
        <v>187</v>
      </c>
      <c r="G3044" s="81" t="s">
        <v>187</v>
      </c>
      <c r="H3044" s="81" t="s">
        <v>187</v>
      </c>
      <c r="I3044" s="81" t="s">
        <v>187</v>
      </c>
      <c r="J3044" s="81" t="s">
        <v>187</v>
      </c>
      <c r="K3044" s="81" t="s">
        <v>187</v>
      </c>
      <c r="L3044" s="81" t="s">
        <v>187</v>
      </c>
    </row>
    <row r="3045" ht="15.75" customHeight="1">
      <c r="A3045" s="262"/>
      <c r="B3045" s="262"/>
      <c r="C3045" s="263"/>
      <c r="D3045" s="262"/>
      <c r="E3045" s="81" t="s">
        <v>187</v>
      </c>
      <c r="F3045" s="81" t="s">
        <v>187</v>
      </c>
      <c r="G3045" s="81" t="s">
        <v>187</v>
      </c>
      <c r="H3045" s="81" t="s">
        <v>187</v>
      </c>
      <c r="I3045" s="81" t="s">
        <v>187</v>
      </c>
      <c r="J3045" s="81" t="s">
        <v>187</v>
      </c>
      <c r="K3045" s="81" t="s">
        <v>187</v>
      </c>
      <c r="L3045" s="81" t="s">
        <v>187</v>
      </c>
    </row>
    <row r="3046" ht="15.75" customHeight="1">
      <c r="A3046" s="262"/>
      <c r="B3046" s="262"/>
      <c r="C3046" s="263"/>
      <c r="D3046" s="262"/>
      <c r="E3046" s="81" t="s">
        <v>187</v>
      </c>
      <c r="F3046" s="81" t="s">
        <v>187</v>
      </c>
      <c r="G3046" s="81" t="s">
        <v>187</v>
      </c>
      <c r="H3046" s="81" t="s">
        <v>187</v>
      </c>
      <c r="I3046" s="81" t="s">
        <v>187</v>
      </c>
      <c r="J3046" s="81" t="s">
        <v>187</v>
      </c>
      <c r="K3046" s="81" t="s">
        <v>187</v>
      </c>
      <c r="L3046" s="81" t="s">
        <v>187</v>
      </c>
    </row>
    <row r="3047" ht="15.75" customHeight="1">
      <c r="A3047" s="262"/>
      <c r="B3047" s="262"/>
      <c r="C3047" s="263"/>
      <c r="D3047" s="262"/>
      <c r="E3047" s="81" t="s">
        <v>187</v>
      </c>
      <c r="F3047" s="81" t="s">
        <v>187</v>
      </c>
      <c r="G3047" s="81" t="s">
        <v>187</v>
      </c>
      <c r="H3047" s="81" t="s">
        <v>187</v>
      </c>
      <c r="I3047" s="81" t="s">
        <v>187</v>
      </c>
      <c r="J3047" s="81" t="s">
        <v>187</v>
      </c>
      <c r="K3047" s="81" t="s">
        <v>187</v>
      </c>
      <c r="L3047" s="81" t="s">
        <v>187</v>
      </c>
    </row>
    <row r="3048" ht="15.75" customHeight="1">
      <c r="A3048" s="262"/>
      <c r="B3048" s="262"/>
      <c r="C3048" s="263"/>
      <c r="D3048" s="262"/>
      <c r="E3048" s="81" t="s">
        <v>187</v>
      </c>
      <c r="F3048" s="81" t="s">
        <v>187</v>
      </c>
      <c r="G3048" s="81" t="s">
        <v>187</v>
      </c>
      <c r="H3048" s="81" t="s">
        <v>187</v>
      </c>
      <c r="I3048" s="81" t="s">
        <v>187</v>
      </c>
      <c r="J3048" s="81" t="s">
        <v>187</v>
      </c>
      <c r="K3048" s="81" t="s">
        <v>187</v>
      </c>
      <c r="L3048" s="81" t="s">
        <v>187</v>
      </c>
    </row>
    <row r="3049" ht="15.75" customHeight="1">
      <c r="A3049" s="262"/>
      <c r="B3049" s="262"/>
      <c r="C3049" s="263"/>
      <c r="D3049" s="262"/>
      <c r="E3049" s="81" t="s">
        <v>187</v>
      </c>
      <c r="F3049" s="81" t="s">
        <v>187</v>
      </c>
      <c r="G3049" s="81" t="s">
        <v>187</v>
      </c>
      <c r="H3049" s="81" t="s">
        <v>187</v>
      </c>
      <c r="I3049" s="81" t="s">
        <v>187</v>
      </c>
      <c r="J3049" s="81" t="s">
        <v>187</v>
      </c>
      <c r="K3049" s="81" t="s">
        <v>187</v>
      </c>
      <c r="L3049" s="81" t="s">
        <v>187</v>
      </c>
    </row>
    <row r="3050" ht="15.75" customHeight="1">
      <c r="A3050" s="262"/>
      <c r="B3050" s="262"/>
      <c r="C3050" s="263"/>
      <c r="D3050" s="262"/>
      <c r="E3050" s="81" t="s">
        <v>187</v>
      </c>
      <c r="F3050" s="81" t="s">
        <v>187</v>
      </c>
      <c r="G3050" s="81" t="s">
        <v>187</v>
      </c>
      <c r="H3050" s="81" t="s">
        <v>187</v>
      </c>
      <c r="I3050" s="81" t="s">
        <v>187</v>
      </c>
      <c r="J3050" s="81" t="s">
        <v>187</v>
      </c>
      <c r="K3050" s="81" t="s">
        <v>187</v>
      </c>
      <c r="L3050" s="81" t="s">
        <v>187</v>
      </c>
    </row>
    <row r="3051" ht="15.75" customHeight="1">
      <c r="A3051" s="262"/>
      <c r="B3051" s="262"/>
      <c r="C3051" s="263"/>
      <c r="D3051" s="262"/>
      <c r="E3051" s="81" t="s">
        <v>187</v>
      </c>
      <c r="F3051" s="81" t="s">
        <v>187</v>
      </c>
      <c r="G3051" s="81" t="s">
        <v>187</v>
      </c>
      <c r="H3051" s="81" t="s">
        <v>187</v>
      </c>
      <c r="I3051" s="81" t="s">
        <v>187</v>
      </c>
      <c r="J3051" s="81" t="s">
        <v>187</v>
      </c>
      <c r="K3051" s="81" t="s">
        <v>187</v>
      </c>
      <c r="L3051" s="81" t="s">
        <v>187</v>
      </c>
    </row>
    <row r="3052" ht="15.75" customHeight="1">
      <c r="A3052" s="262"/>
      <c r="B3052" s="262"/>
      <c r="C3052" s="263"/>
      <c r="D3052" s="262"/>
      <c r="E3052" s="81" t="s">
        <v>187</v>
      </c>
      <c r="F3052" s="81" t="s">
        <v>187</v>
      </c>
      <c r="G3052" s="81" t="s">
        <v>187</v>
      </c>
      <c r="H3052" s="81" t="s">
        <v>187</v>
      </c>
      <c r="I3052" s="81" t="s">
        <v>187</v>
      </c>
      <c r="J3052" s="81" t="s">
        <v>187</v>
      </c>
      <c r="K3052" s="81" t="s">
        <v>187</v>
      </c>
      <c r="L3052" s="81" t="s">
        <v>187</v>
      </c>
    </row>
    <row r="3053" ht="15.75" customHeight="1">
      <c r="A3053" s="262"/>
      <c r="B3053" s="262"/>
      <c r="C3053" s="263"/>
      <c r="D3053" s="262"/>
      <c r="E3053" s="81" t="s">
        <v>187</v>
      </c>
      <c r="F3053" s="81" t="s">
        <v>187</v>
      </c>
      <c r="G3053" s="81" t="s">
        <v>187</v>
      </c>
      <c r="H3053" s="81" t="s">
        <v>187</v>
      </c>
      <c r="I3053" s="81" t="s">
        <v>187</v>
      </c>
      <c r="J3053" s="81" t="s">
        <v>187</v>
      </c>
      <c r="K3053" s="81" t="s">
        <v>187</v>
      </c>
      <c r="L3053" s="81" t="s">
        <v>187</v>
      </c>
    </row>
    <row r="3054" ht="15.75" customHeight="1">
      <c r="A3054" s="262"/>
      <c r="B3054" s="262"/>
      <c r="C3054" s="263"/>
      <c r="D3054" s="262"/>
      <c r="E3054" s="81" t="s">
        <v>187</v>
      </c>
      <c r="F3054" s="81" t="s">
        <v>187</v>
      </c>
      <c r="G3054" s="81" t="s">
        <v>187</v>
      </c>
      <c r="H3054" s="81" t="s">
        <v>187</v>
      </c>
      <c r="I3054" s="81" t="s">
        <v>187</v>
      </c>
      <c r="J3054" s="81" t="s">
        <v>187</v>
      </c>
      <c r="K3054" s="81" t="s">
        <v>187</v>
      </c>
      <c r="L3054" s="81" t="s">
        <v>187</v>
      </c>
    </row>
    <row r="3055" ht="15.75" customHeight="1">
      <c r="A3055" s="262"/>
      <c r="B3055" s="262"/>
      <c r="C3055" s="263"/>
      <c r="D3055" s="262"/>
      <c r="E3055" s="81" t="s">
        <v>187</v>
      </c>
      <c r="F3055" s="81" t="s">
        <v>187</v>
      </c>
      <c r="G3055" s="81" t="s">
        <v>187</v>
      </c>
      <c r="H3055" s="81" t="s">
        <v>187</v>
      </c>
      <c r="I3055" s="81" t="s">
        <v>187</v>
      </c>
      <c r="J3055" s="81" t="s">
        <v>187</v>
      </c>
      <c r="K3055" s="81" t="s">
        <v>187</v>
      </c>
      <c r="L3055" s="81" t="s">
        <v>187</v>
      </c>
    </row>
    <row r="3056" ht="15.75" customHeight="1">
      <c r="A3056" s="262"/>
      <c r="B3056" s="262"/>
      <c r="C3056" s="263"/>
      <c r="D3056" s="262"/>
      <c r="E3056" s="81" t="s">
        <v>187</v>
      </c>
      <c r="F3056" s="81" t="s">
        <v>187</v>
      </c>
      <c r="G3056" s="81" t="s">
        <v>187</v>
      </c>
      <c r="H3056" s="81" t="s">
        <v>187</v>
      </c>
      <c r="I3056" s="81" t="s">
        <v>187</v>
      </c>
      <c r="J3056" s="81" t="s">
        <v>187</v>
      </c>
      <c r="K3056" s="81" t="s">
        <v>187</v>
      </c>
      <c r="L3056" s="81" t="s">
        <v>187</v>
      </c>
    </row>
    <row r="3057" ht="15.75" customHeight="1">
      <c r="A3057" s="262"/>
      <c r="B3057" s="262"/>
      <c r="C3057" s="263"/>
      <c r="D3057" s="262"/>
      <c r="E3057" s="81" t="s">
        <v>187</v>
      </c>
      <c r="F3057" s="81" t="s">
        <v>187</v>
      </c>
      <c r="G3057" s="81" t="s">
        <v>187</v>
      </c>
      <c r="H3057" s="81" t="s">
        <v>187</v>
      </c>
      <c r="I3057" s="81" t="s">
        <v>187</v>
      </c>
      <c r="J3057" s="81" t="s">
        <v>187</v>
      </c>
      <c r="K3057" s="81" t="s">
        <v>187</v>
      </c>
      <c r="L3057" s="81" t="s">
        <v>187</v>
      </c>
    </row>
    <row r="3058" ht="15.75" customHeight="1">
      <c r="A3058" s="262"/>
      <c r="B3058" s="262"/>
      <c r="C3058" s="263"/>
      <c r="D3058" s="262"/>
      <c r="E3058" s="81" t="s">
        <v>187</v>
      </c>
      <c r="F3058" s="81" t="s">
        <v>187</v>
      </c>
      <c r="G3058" s="81" t="s">
        <v>187</v>
      </c>
      <c r="H3058" s="81" t="s">
        <v>187</v>
      </c>
      <c r="I3058" s="81" t="s">
        <v>187</v>
      </c>
      <c r="J3058" s="81" t="s">
        <v>187</v>
      </c>
      <c r="K3058" s="81" t="s">
        <v>187</v>
      </c>
      <c r="L3058" s="81" t="s">
        <v>187</v>
      </c>
    </row>
    <row r="3059" ht="15.75" customHeight="1">
      <c r="A3059" s="262"/>
      <c r="B3059" s="262"/>
      <c r="C3059" s="263"/>
      <c r="D3059" s="262"/>
      <c r="E3059" s="81" t="s">
        <v>187</v>
      </c>
      <c r="F3059" s="81" t="s">
        <v>187</v>
      </c>
      <c r="G3059" s="81" t="s">
        <v>187</v>
      </c>
      <c r="H3059" s="81" t="s">
        <v>187</v>
      </c>
      <c r="I3059" s="81" t="s">
        <v>187</v>
      </c>
      <c r="J3059" s="81" t="s">
        <v>187</v>
      </c>
      <c r="K3059" s="81" t="s">
        <v>187</v>
      </c>
      <c r="L3059" s="81" t="s">
        <v>187</v>
      </c>
    </row>
    <row r="3060" ht="15.75" customHeight="1">
      <c r="A3060" s="262"/>
      <c r="B3060" s="262"/>
      <c r="C3060" s="263"/>
      <c r="D3060" s="262"/>
      <c r="E3060" s="81" t="s">
        <v>187</v>
      </c>
      <c r="F3060" s="81" t="s">
        <v>187</v>
      </c>
      <c r="G3060" s="81" t="s">
        <v>187</v>
      </c>
      <c r="H3060" s="81" t="s">
        <v>187</v>
      </c>
      <c r="I3060" s="81" t="s">
        <v>187</v>
      </c>
      <c r="J3060" s="81" t="s">
        <v>187</v>
      </c>
      <c r="K3060" s="81" t="s">
        <v>187</v>
      </c>
      <c r="L3060" s="81" t="s">
        <v>187</v>
      </c>
    </row>
    <row r="3061" ht="15.75" customHeight="1">
      <c r="A3061" s="262"/>
      <c r="B3061" s="262"/>
      <c r="C3061" s="263"/>
      <c r="D3061" s="262"/>
      <c r="E3061" s="81" t="s">
        <v>187</v>
      </c>
      <c r="F3061" s="81" t="s">
        <v>187</v>
      </c>
      <c r="G3061" s="81" t="s">
        <v>187</v>
      </c>
      <c r="H3061" s="81" t="s">
        <v>187</v>
      </c>
      <c r="I3061" s="81" t="s">
        <v>187</v>
      </c>
      <c r="J3061" s="81" t="s">
        <v>187</v>
      </c>
      <c r="K3061" s="81" t="s">
        <v>187</v>
      </c>
      <c r="L3061" s="81" t="s">
        <v>187</v>
      </c>
    </row>
    <row r="3062" ht="15.75" customHeight="1">
      <c r="A3062" s="262"/>
      <c r="B3062" s="262"/>
      <c r="C3062" s="263"/>
      <c r="D3062" s="262"/>
      <c r="E3062" s="81" t="s">
        <v>187</v>
      </c>
      <c r="F3062" s="81" t="s">
        <v>187</v>
      </c>
      <c r="G3062" s="81" t="s">
        <v>187</v>
      </c>
      <c r="H3062" s="81" t="s">
        <v>187</v>
      </c>
      <c r="I3062" s="81" t="s">
        <v>187</v>
      </c>
      <c r="J3062" s="81" t="s">
        <v>187</v>
      </c>
      <c r="K3062" s="81" t="s">
        <v>187</v>
      </c>
      <c r="L3062" s="81" t="s">
        <v>187</v>
      </c>
    </row>
    <row r="3063" ht="15.75" customHeight="1">
      <c r="A3063" s="262"/>
      <c r="B3063" s="262"/>
      <c r="C3063" s="263"/>
      <c r="D3063" s="262"/>
      <c r="E3063" s="81" t="s">
        <v>187</v>
      </c>
      <c r="F3063" s="81" t="s">
        <v>187</v>
      </c>
      <c r="G3063" s="81" t="s">
        <v>187</v>
      </c>
      <c r="H3063" s="81" t="s">
        <v>187</v>
      </c>
      <c r="I3063" s="81" t="s">
        <v>187</v>
      </c>
      <c r="J3063" s="81" t="s">
        <v>187</v>
      </c>
      <c r="K3063" s="81" t="s">
        <v>187</v>
      </c>
      <c r="L3063" s="81" t="s">
        <v>187</v>
      </c>
    </row>
    <row r="3064" ht="15.75" customHeight="1">
      <c r="A3064" s="262"/>
      <c r="B3064" s="262"/>
      <c r="C3064" s="263"/>
      <c r="D3064" s="262"/>
      <c r="E3064" s="81" t="s">
        <v>187</v>
      </c>
      <c r="F3064" s="81" t="s">
        <v>187</v>
      </c>
      <c r="G3064" s="81" t="s">
        <v>187</v>
      </c>
      <c r="H3064" s="81" t="s">
        <v>187</v>
      </c>
      <c r="I3064" s="81" t="s">
        <v>187</v>
      </c>
      <c r="J3064" s="81" t="s">
        <v>187</v>
      </c>
      <c r="K3064" s="81" t="s">
        <v>187</v>
      </c>
      <c r="L3064" s="81" t="s">
        <v>187</v>
      </c>
    </row>
    <row r="3065" ht="15.75" customHeight="1">
      <c r="A3065" s="262"/>
      <c r="B3065" s="262"/>
      <c r="C3065" s="263"/>
      <c r="D3065" s="262"/>
      <c r="E3065" s="81" t="s">
        <v>187</v>
      </c>
      <c r="F3065" s="81" t="s">
        <v>187</v>
      </c>
      <c r="G3065" s="81" t="s">
        <v>187</v>
      </c>
      <c r="H3065" s="81" t="s">
        <v>187</v>
      </c>
      <c r="I3065" s="81" t="s">
        <v>187</v>
      </c>
      <c r="J3065" s="81" t="s">
        <v>187</v>
      </c>
      <c r="K3065" s="81" t="s">
        <v>187</v>
      </c>
      <c r="L3065" s="81" t="s">
        <v>187</v>
      </c>
    </row>
    <row r="3066" ht="15.75" customHeight="1">
      <c r="A3066" s="262"/>
      <c r="B3066" s="262"/>
      <c r="C3066" s="263"/>
      <c r="D3066" s="262"/>
      <c r="E3066" s="81" t="s">
        <v>187</v>
      </c>
      <c r="F3066" s="81" t="s">
        <v>187</v>
      </c>
      <c r="G3066" s="81" t="s">
        <v>187</v>
      </c>
      <c r="H3066" s="81" t="s">
        <v>187</v>
      </c>
      <c r="I3066" s="81" t="s">
        <v>187</v>
      </c>
      <c r="J3066" s="81" t="s">
        <v>187</v>
      </c>
      <c r="K3066" s="81" t="s">
        <v>187</v>
      </c>
      <c r="L3066" s="81" t="s">
        <v>187</v>
      </c>
    </row>
    <row r="3067" ht="15.75" customHeight="1">
      <c r="A3067" s="262"/>
      <c r="B3067" s="262"/>
      <c r="C3067" s="263"/>
      <c r="D3067" s="262"/>
      <c r="E3067" s="81" t="s">
        <v>187</v>
      </c>
      <c r="F3067" s="81" t="s">
        <v>187</v>
      </c>
      <c r="G3067" s="81" t="s">
        <v>187</v>
      </c>
      <c r="H3067" s="81" t="s">
        <v>187</v>
      </c>
      <c r="I3067" s="81" t="s">
        <v>187</v>
      </c>
      <c r="J3067" s="81" t="s">
        <v>187</v>
      </c>
      <c r="K3067" s="81" t="s">
        <v>187</v>
      </c>
      <c r="L3067" s="81" t="s">
        <v>187</v>
      </c>
    </row>
    <row r="3068" ht="15.75" customHeight="1">
      <c r="A3068" s="262"/>
      <c r="B3068" s="262"/>
      <c r="C3068" s="263"/>
      <c r="D3068" s="262"/>
      <c r="E3068" s="81" t="s">
        <v>187</v>
      </c>
      <c r="F3068" s="81" t="s">
        <v>187</v>
      </c>
      <c r="G3068" s="81" t="s">
        <v>187</v>
      </c>
      <c r="H3068" s="81" t="s">
        <v>187</v>
      </c>
      <c r="I3068" s="81" t="s">
        <v>187</v>
      </c>
      <c r="J3068" s="81" t="s">
        <v>187</v>
      </c>
      <c r="K3068" s="81" t="s">
        <v>187</v>
      </c>
      <c r="L3068" s="81" t="s">
        <v>187</v>
      </c>
    </row>
    <row r="3069" ht="15.75" customHeight="1">
      <c r="A3069" s="262"/>
      <c r="B3069" s="262"/>
      <c r="C3069" s="263"/>
      <c r="D3069" s="262"/>
      <c r="E3069" s="81" t="s">
        <v>187</v>
      </c>
      <c r="F3069" s="81" t="s">
        <v>187</v>
      </c>
      <c r="G3069" s="81" t="s">
        <v>187</v>
      </c>
      <c r="H3069" s="81" t="s">
        <v>187</v>
      </c>
      <c r="I3069" s="81" t="s">
        <v>187</v>
      </c>
      <c r="J3069" s="81" t="s">
        <v>187</v>
      </c>
      <c r="K3069" s="81" t="s">
        <v>187</v>
      </c>
      <c r="L3069" s="81" t="s">
        <v>187</v>
      </c>
    </row>
    <row r="3070" ht="15.75" customHeight="1">
      <c r="A3070" s="262"/>
      <c r="B3070" s="262"/>
      <c r="C3070" s="263"/>
      <c r="D3070" s="262"/>
      <c r="E3070" s="81" t="s">
        <v>187</v>
      </c>
      <c r="F3070" s="81" t="s">
        <v>187</v>
      </c>
      <c r="G3070" s="81" t="s">
        <v>187</v>
      </c>
      <c r="H3070" s="81" t="s">
        <v>187</v>
      </c>
      <c r="I3070" s="81" t="s">
        <v>187</v>
      </c>
      <c r="J3070" s="81" t="s">
        <v>187</v>
      </c>
      <c r="K3070" s="81" t="s">
        <v>187</v>
      </c>
      <c r="L3070" s="81" t="s">
        <v>187</v>
      </c>
    </row>
    <row r="3071" ht="15.75" customHeight="1">
      <c r="A3071" s="262"/>
      <c r="B3071" s="262"/>
      <c r="C3071" s="263"/>
      <c r="D3071" s="262"/>
      <c r="E3071" s="81" t="s">
        <v>187</v>
      </c>
      <c r="F3071" s="81" t="s">
        <v>187</v>
      </c>
      <c r="G3071" s="81" t="s">
        <v>187</v>
      </c>
      <c r="H3071" s="81" t="s">
        <v>187</v>
      </c>
      <c r="I3071" s="81" t="s">
        <v>187</v>
      </c>
      <c r="J3071" s="81" t="s">
        <v>187</v>
      </c>
      <c r="K3071" s="81" t="s">
        <v>187</v>
      </c>
      <c r="L3071" s="81" t="s">
        <v>187</v>
      </c>
    </row>
    <row r="3072" ht="15.75" customHeight="1">
      <c r="A3072" s="262"/>
      <c r="B3072" s="262"/>
      <c r="C3072" s="263"/>
      <c r="D3072" s="262"/>
      <c r="E3072" s="81" t="s">
        <v>187</v>
      </c>
      <c r="F3072" s="81" t="s">
        <v>187</v>
      </c>
      <c r="G3072" s="81" t="s">
        <v>187</v>
      </c>
      <c r="H3072" s="81" t="s">
        <v>187</v>
      </c>
      <c r="I3072" s="81" t="s">
        <v>187</v>
      </c>
      <c r="J3072" s="81" t="s">
        <v>187</v>
      </c>
      <c r="K3072" s="81" t="s">
        <v>187</v>
      </c>
      <c r="L3072" s="81" t="s">
        <v>187</v>
      </c>
    </row>
    <row r="3073" ht="15.75" customHeight="1">
      <c r="A3073" s="262"/>
      <c r="B3073" s="262"/>
      <c r="C3073" s="263"/>
      <c r="D3073" s="262"/>
      <c r="E3073" s="81" t="s">
        <v>187</v>
      </c>
      <c r="F3073" s="81" t="s">
        <v>187</v>
      </c>
      <c r="G3073" s="81" t="s">
        <v>187</v>
      </c>
      <c r="H3073" s="81" t="s">
        <v>187</v>
      </c>
      <c r="I3073" s="81" t="s">
        <v>187</v>
      </c>
      <c r="J3073" s="81" t="s">
        <v>187</v>
      </c>
      <c r="K3073" s="81" t="s">
        <v>187</v>
      </c>
      <c r="L3073" s="81" t="s">
        <v>187</v>
      </c>
    </row>
    <row r="3074" ht="15.75" customHeight="1">
      <c r="A3074" s="262"/>
      <c r="B3074" s="262"/>
      <c r="C3074" s="263"/>
      <c r="D3074" s="262"/>
      <c r="E3074" s="81" t="s">
        <v>187</v>
      </c>
      <c r="F3074" s="81" t="s">
        <v>187</v>
      </c>
      <c r="G3074" s="81" t="s">
        <v>187</v>
      </c>
      <c r="H3074" s="81" t="s">
        <v>187</v>
      </c>
      <c r="I3074" s="81" t="s">
        <v>187</v>
      </c>
      <c r="J3074" s="81" t="s">
        <v>187</v>
      </c>
      <c r="K3074" s="81" t="s">
        <v>187</v>
      </c>
      <c r="L3074" s="81" t="s">
        <v>187</v>
      </c>
    </row>
    <row r="3075" ht="15.75" customHeight="1">
      <c r="A3075" s="262"/>
      <c r="B3075" s="262"/>
      <c r="C3075" s="263"/>
      <c r="D3075" s="262"/>
      <c r="E3075" s="81" t="s">
        <v>187</v>
      </c>
      <c r="F3075" s="81" t="s">
        <v>187</v>
      </c>
      <c r="G3075" s="81" t="s">
        <v>187</v>
      </c>
      <c r="H3075" s="81" t="s">
        <v>187</v>
      </c>
      <c r="I3075" s="81" t="s">
        <v>187</v>
      </c>
      <c r="J3075" s="81" t="s">
        <v>187</v>
      </c>
      <c r="K3075" s="81" t="s">
        <v>187</v>
      </c>
      <c r="L3075" s="81" t="s">
        <v>187</v>
      </c>
    </row>
    <row r="3076" ht="15.75" customHeight="1">
      <c r="A3076" s="262"/>
      <c r="B3076" s="262"/>
      <c r="C3076" s="263"/>
      <c r="D3076" s="262"/>
      <c r="E3076" s="81" t="s">
        <v>187</v>
      </c>
      <c r="F3076" s="81" t="s">
        <v>187</v>
      </c>
      <c r="G3076" s="81" t="s">
        <v>187</v>
      </c>
      <c r="H3076" s="81" t="s">
        <v>187</v>
      </c>
      <c r="I3076" s="81" t="s">
        <v>187</v>
      </c>
      <c r="J3076" s="81" t="s">
        <v>187</v>
      </c>
      <c r="K3076" s="81" t="s">
        <v>187</v>
      </c>
      <c r="L3076" s="81" t="s">
        <v>187</v>
      </c>
    </row>
    <row r="3077" ht="15.75" customHeight="1">
      <c r="A3077" s="262"/>
      <c r="B3077" s="262"/>
      <c r="C3077" s="263"/>
      <c r="D3077" s="262"/>
      <c r="E3077" s="81" t="s">
        <v>187</v>
      </c>
      <c r="F3077" s="81" t="s">
        <v>187</v>
      </c>
      <c r="G3077" s="81" t="s">
        <v>187</v>
      </c>
      <c r="H3077" s="81" t="s">
        <v>187</v>
      </c>
      <c r="I3077" s="81" t="s">
        <v>187</v>
      </c>
      <c r="J3077" s="81" t="s">
        <v>187</v>
      </c>
      <c r="K3077" s="81" t="s">
        <v>187</v>
      </c>
      <c r="L3077" s="81" t="s">
        <v>187</v>
      </c>
    </row>
    <row r="3078" ht="15.75" customHeight="1">
      <c r="A3078" s="262"/>
      <c r="B3078" s="262"/>
      <c r="C3078" s="263"/>
      <c r="D3078" s="262"/>
      <c r="E3078" s="81" t="s">
        <v>187</v>
      </c>
      <c r="F3078" s="81" t="s">
        <v>187</v>
      </c>
      <c r="G3078" s="81" t="s">
        <v>187</v>
      </c>
      <c r="H3078" s="81" t="s">
        <v>187</v>
      </c>
      <c r="I3078" s="81" t="s">
        <v>187</v>
      </c>
      <c r="J3078" s="81" t="s">
        <v>187</v>
      </c>
      <c r="K3078" s="81" t="s">
        <v>187</v>
      </c>
      <c r="L3078" s="81" t="s">
        <v>187</v>
      </c>
    </row>
    <row r="3079" ht="15.75" customHeight="1">
      <c r="A3079" s="262"/>
      <c r="B3079" s="262"/>
      <c r="C3079" s="263"/>
      <c r="D3079" s="262"/>
      <c r="E3079" s="81" t="s">
        <v>187</v>
      </c>
      <c r="F3079" s="81" t="s">
        <v>187</v>
      </c>
      <c r="G3079" s="81" t="s">
        <v>187</v>
      </c>
      <c r="H3079" s="81" t="s">
        <v>187</v>
      </c>
      <c r="I3079" s="81" t="s">
        <v>187</v>
      </c>
      <c r="J3079" s="81" t="s">
        <v>187</v>
      </c>
      <c r="K3079" s="81" t="s">
        <v>187</v>
      </c>
      <c r="L3079" s="81" t="s">
        <v>187</v>
      </c>
    </row>
    <row r="3080" ht="15.75" customHeight="1">
      <c r="A3080" s="262"/>
      <c r="B3080" s="262"/>
      <c r="C3080" s="263"/>
      <c r="D3080" s="262"/>
      <c r="E3080" s="81" t="s">
        <v>187</v>
      </c>
      <c r="F3080" s="81" t="s">
        <v>187</v>
      </c>
      <c r="G3080" s="81" t="s">
        <v>187</v>
      </c>
      <c r="H3080" s="81" t="s">
        <v>187</v>
      </c>
      <c r="I3080" s="81" t="s">
        <v>187</v>
      </c>
      <c r="J3080" s="81" t="s">
        <v>187</v>
      </c>
      <c r="K3080" s="81" t="s">
        <v>187</v>
      </c>
      <c r="L3080" s="81" t="s">
        <v>187</v>
      </c>
    </row>
    <row r="3081" ht="15.75" customHeight="1">
      <c r="A3081" s="262"/>
      <c r="B3081" s="262"/>
      <c r="C3081" s="263"/>
      <c r="D3081" s="262"/>
      <c r="E3081" s="81" t="s">
        <v>187</v>
      </c>
      <c r="F3081" s="81" t="s">
        <v>187</v>
      </c>
      <c r="G3081" s="81" t="s">
        <v>187</v>
      </c>
      <c r="H3081" s="81" t="s">
        <v>187</v>
      </c>
      <c r="I3081" s="81" t="s">
        <v>187</v>
      </c>
      <c r="J3081" s="81" t="s">
        <v>187</v>
      </c>
      <c r="K3081" s="81" t="s">
        <v>187</v>
      </c>
      <c r="L3081" s="81" t="s">
        <v>187</v>
      </c>
    </row>
    <row r="3082" ht="15.75" customHeight="1">
      <c r="A3082" s="262"/>
      <c r="B3082" s="262"/>
      <c r="C3082" s="263"/>
      <c r="D3082" s="262"/>
      <c r="E3082" s="81" t="s">
        <v>187</v>
      </c>
      <c r="F3082" s="81" t="s">
        <v>187</v>
      </c>
      <c r="G3082" s="81" t="s">
        <v>187</v>
      </c>
      <c r="H3082" s="81" t="s">
        <v>187</v>
      </c>
      <c r="I3082" s="81" t="s">
        <v>187</v>
      </c>
      <c r="J3082" s="81" t="s">
        <v>187</v>
      </c>
      <c r="K3082" s="81" t="s">
        <v>187</v>
      </c>
      <c r="L3082" s="81" t="s">
        <v>187</v>
      </c>
    </row>
    <row r="3083" ht="15.75" customHeight="1">
      <c r="A3083" s="262"/>
      <c r="B3083" s="262"/>
      <c r="C3083" s="263"/>
      <c r="D3083" s="262"/>
      <c r="E3083" s="81" t="s">
        <v>187</v>
      </c>
      <c r="F3083" s="81" t="s">
        <v>187</v>
      </c>
      <c r="G3083" s="81" t="s">
        <v>187</v>
      </c>
      <c r="H3083" s="81" t="s">
        <v>187</v>
      </c>
      <c r="I3083" s="81" t="s">
        <v>187</v>
      </c>
      <c r="J3083" s="81" t="s">
        <v>187</v>
      </c>
      <c r="K3083" s="81" t="s">
        <v>187</v>
      </c>
      <c r="L3083" s="81" t="s">
        <v>187</v>
      </c>
    </row>
    <row r="3084" ht="15.75" customHeight="1">
      <c r="A3084" s="262"/>
      <c r="B3084" s="262"/>
      <c r="C3084" s="263"/>
      <c r="D3084" s="262"/>
      <c r="E3084" s="81" t="s">
        <v>187</v>
      </c>
      <c r="F3084" s="81" t="s">
        <v>187</v>
      </c>
      <c r="G3084" s="81" t="s">
        <v>187</v>
      </c>
      <c r="H3084" s="81" t="s">
        <v>187</v>
      </c>
      <c r="I3084" s="81" t="s">
        <v>187</v>
      </c>
      <c r="J3084" s="81" t="s">
        <v>187</v>
      </c>
      <c r="K3084" s="81" t="s">
        <v>187</v>
      </c>
      <c r="L3084" s="81" t="s">
        <v>187</v>
      </c>
    </row>
    <row r="3085" ht="15.75" customHeight="1">
      <c r="A3085" s="262"/>
      <c r="B3085" s="262"/>
      <c r="C3085" s="263"/>
      <c r="D3085" s="262"/>
      <c r="E3085" s="81" t="s">
        <v>187</v>
      </c>
      <c r="F3085" s="81" t="s">
        <v>187</v>
      </c>
      <c r="G3085" s="81" t="s">
        <v>187</v>
      </c>
      <c r="H3085" s="81" t="s">
        <v>187</v>
      </c>
      <c r="I3085" s="81" t="s">
        <v>187</v>
      </c>
      <c r="J3085" s="81" t="s">
        <v>187</v>
      </c>
      <c r="K3085" s="81" t="s">
        <v>187</v>
      </c>
      <c r="L3085" s="81" t="s">
        <v>187</v>
      </c>
    </row>
    <row r="3086" ht="15.75" customHeight="1">
      <c r="A3086" s="262"/>
      <c r="B3086" s="262"/>
      <c r="C3086" s="263"/>
      <c r="D3086" s="262"/>
      <c r="E3086" s="81" t="s">
        <v>187</v>
      </c>
      <c r="F3086" s="81" t="s">
        <v>187</v>
      </c>
      <c r="G3086" s="81" t="s">
        <v>187</v>
      </c>
      <c r="H3086" s="81" t="s">
        <v>187</v>
      </c>
      <c r="I3086" s="81" t="s">
        <v>187</v>
      </c>
      <c r="J3086" s="81" t="s">
        <v>187</v>
      </c>
      <c r="K3086" s="81" t="s">
        <v>187</v>
      </c>
      <c r="L3086" s="81" t="s">
        <v>187</v>
      </c>
    </row>
    <row r="3087" ht="15.75" customHeight="1">
      <c r="A3087" s="262"/>
      <c r="B3087" s="262"/>
      <c r="C3087" s="263"/>
      <c r="D3087" s="262"/>
      <c r="E3087" s="81" t="s">
        <v>187</v>
      </c>
      <c r="F3087" s="81" t="s">
        <v>187</v>
      </c>
      <c r="G3087" s="81" t="s">
        <v>187</v>
      </c>
      <c r="H3087" s="81" t="s">
        <v>187</v>
      </c>
      <c r="I3087" s="81" t="s">
        <v>187</v>
      </c>
      <c r="J3087" s="81" t="s">
        <v>187</v>
      </c>
      <c r="K3087" s="81" t="s">
        <v>187</v>
      </c>
      <c r="L3087" s="81" t="s">
        <v>187</v>
      </c>
    </row>
    <row r="3088" ht="15.75" customHeight="1">
      <c r="A3088" s="262"/>
      <c r="B3088" s="262"/>
      <c r="C3088" s="263"/>
      <c r="D3088" s="262"/>
      <c r="E3088" s="81" t="s">
        <v>187</v>
      </c>
      <c r="F3088" s="81" t="s">
        <v>187</v>
      </c>
      <c r="G3088" s="81" t="s">
        <v>187</v>
      </c>
      <c r="H3088" s="81" t="s">
        <v>187</v>
      </c>
      <c r="I3088" s="81" t="s">
        <v>187</v>
      </c>
      <c r="J3088" s="81" t="s">
        <v>187</v>
      </c>
      <c r="K3088" s="81" t="s">
        <v>187</v>
      </c>
      <c r="L3088" s="81" t="s">
        <v>187</v>
      </c>
    </row>
    <row r="3089" ht="15.75" customHeight="1">
      <c r="A3089" s="262"/>
      <c r="B3089" s="262"/>
      <c r="C3089" s="263"/>
      <c r="D3089" s="262"/>
      <c r="E3089" s="81" t="s">
        <v>187</v>
      </c>
      <c r="F3089" s="81" t="s">
        <v>187</v>
      </c>
      <c r="G3089" s="81" t="s">
        <v>187</v>
      </c>
      <c r="H3089" s="81" t="s">
        <v>187</v>
      </c>
      <c r="I3089" s="81" t="s">
        <v>187</v>
      </c>
      <c r="J3089" s="81" t="s">
        <v>187</v>
      </c>
      <c r="K3089" s="81" t="s">
        <v>187</v>
      </c>
      <c r="L3089" s="81" t="s">
        <v>187</v>
      </c>
    </row>
    <row r="3090" ht="15.75" customHeight="1">
      <c r="A3090" s="262"/>
      <c r="B3090" s="262"/>
      <c r="C3090" s="263"/>
      <c r="D3090" s="262"/>
      <c r="E3090" s="81" t="s">
        <v>187</v>
      </c>
      <c r="F3090" s="81" t="s">
        <v>187</v>
      </c>
      <c r="G3090" s="81" t="s">
        <v>187</v>
      </c>
      <c r="H3090" s="81" t="s">
        <v>187</v>
      </c>
      <c r="I3090" s="81" t="s">
        <v>187</v>
      </c>
      <c r="J3090" s="81" t="s">
        <v>187</v>
      </c>
      <c r="K3090" s="81" t="s">
        <v>187</v>
      </c>
      <c r="L3090" s="81" t="s">
        <v>187</v>
      </c>
    </row>
    <row r="3091" ht="15.75" customHeight="1">
      <c r="A3091" s="262"/>
      <c r="B3091" s="262"/>
      <c r="C3091" s="263"/>
      <c r="D3091" s="262"/>
      <c r="E3091" s="81" t="s">
        <v>187</v>
      </c>
      <c r="F3091" s="81" t="s">
        <v>187</v>
      </c>
      <c r="G3091" s="81" t="s">
        <v>187</v>
      </c>
      <c r="H3091" s="81" t="s">
        <v>187</v>
      </c>
      <c r="I3091" s="81" t="s">
        <v>187</v>
      </c>
      <c r="J3091" s="81" t="s">
        <v>187</v>
      </c>
      <c r="K3091" s="81" t="s">
        <v>187</v>
      </c>
      <c r="L3091" s="81" t="s">
        <v>187</v>
      </c>
    </row>
    <row r="3092" ht="15.75" customHeight="1">
      <c r="A3092" s="262"/>
      <c r="B3092" s="262"/>
      <c r="C3092" s="263"/>
      <c r="D3092" s="262"/>
      <c r="E3092" s="81" t="s">
        <v>187</v>
      </c>
      <c r="F3092" s="81" t="s">
        <v>187</v>
      </c>
      <c r="G3092" s="81" t="s">
        <v>187</v>
      </c>
      <c r="H3092" s="81" t="s">
        <v>187</v>
      </c>
      <c r="I3092" s="81" t="s">
        <v>187</v>
      </c>
      <c r="J3092" s="81" t="s">
        <v>187</v>
      </c>
      <c r="K3092" s="81" t="s">
        <v>187</v>
      </c>
      <c r="L3092" s="81" t="s">
        <v>187</v>
      </c>
    </row>
    <row r="3093" ht="15.75" customHeight="1">
      <c r="A3093" s="262"/>
      <c r="B3093" s="262"/>
      <c r="C3093" s="263"/>
      <c r="D3093" s="262"/>
      <c r="E3093" s="81" t="s">
        <v>187</v>
      </c>
      <c r="F3093" s="81" t="s">
        <v>187</v>
      </c>
      <c r="G3093" s="81" t="s">
        <v>187</v>
      </c>
      <c r="H3093" s="81" t="s">
        <v>187</v>
      </c>
      <c r="I3093" s="81" t="s">
        <v>187</v>
      </c>
      <c r="J3093" s="81" t="s">
        <v>187</v>
      </c>
      <c r="K3093" s="81" t="s">
        <v>187</v>
      </c>
      <c r="L3093" s="81" t="s">
        <v>187</v>
      </c>
    </row>
    <row r="3094" ht="15.75" customHeight="1">
      <c r="A3094" s="262"/>
      <c r="B3094" s="262"/>
      <c r="C3094" s="263"/>
      <c r="D3094" s="262"/>
      <c r="E3094" s="81" t="s">
        <v>187</v>
      </c>
      <c r="F3094" s="81" t="s">
        <v>187</v>
      </c>
      <c r="G3094" s="81" t="s">
        <v>187</v>
      </c>
      <c r="H3094" s="81" t="s">
        <v>187</v>
      </c>
      <c r="I3094" s="81" t="s">
        <v>187</v>
      </c>
      <c r="J3094" s="81" t="s">
        <v>187</v>
      </c>
      <c r="K3094" s="81" t="s">
        <v>187</v>
      </c>
      <c r="L3094" s="81" t="s">
        <v>187</v>
      </c>
    </row>
    <row r="3095" ht="15.75" customHeight="1">
      <c r="A3095" s="262"/>
      <c r="B3095" s="262"/>
      <c r="C3095" s="263"/>
      <c r="D3095" s="262"/>
      <c r="E3095" s="81" t="s">
        <v>187</v>
      </c>
      <c r="F3095" s="81" t="s">
        <v>187</v>
      </c>
      <c r="G3095" s="81" t="s">
        <v>187</v>
      </c>
      <c r="H3095" s="81" t="s">
        <v>187</v>
      </c>
      <c r="I3095" s="81" t="s">
        <v>187</v>
      </c>
      <c r="J3095" s="81" t="s">
        <v>187</v>
      </c>
      <c r="K3095" s="81" t="s">
        <v>187</v>
      </c>
      <c r="L3095" s="81" t="s">
        <v>187</v>
      </c>
    </row>
    <row r="3096" ht="15.75" customHeight="1">
      <c r="A3096" s="262"/>
      <c r="B3096" s="262"/>
      <c r="C3096" s="263"/>
      <c r="D3096" s="262"/>
      <c r="E3096" s="81" t="s">
        <v>187</v>
      </c>
      <c r="F3096" s="81" t="s">
        <v>187</v>
      </c>
      <c r="G3096" s="81" t="s">
        <v>187</v>
      </c>
      <c r="H3096" s="81" t="s">
        <v>187</v>
      </c>
      <c r="I3096" s="81" t="s">
        <v>187</v>
      </c>
      <c r="J3096" s="81" t="s">
        <v>187</v>
      </c>
      <c r="K3096" s="81" t="s">
        <v>187</v>
      </c>
      <c r="L3096" s="81" t="s">
        <v>187</v>
      </c>
    </row>
    <row r="3097" ht="15.75" customHeight="1">
      <c r="A3097" s="262"/>
      <c r="B3097" s="262"/>
      <c r="C3097" s="263"/>
      <c r="D3097" s="262"/>
      <c r="E3097" s="81" t="s">
        <v>187</v>
      </c>
      <c r="F3097" s="81" t="s">
        <v>187</v>
      </c>
      <c r="G3097" s="81" t="s">
        <v>187</v>
      </c>
      <c r="H3097" s="81" t="s">
        <v>187</v>
      </c>
      <c r="I3097" s="81" t="s">
        <v>187</v>
      </c>
      <c r="J3097" s="81" t="s">
        <v>187</v>
      </c>
      <c r="K3097" s="81" t="s">
        <v>187</v>
      </c>
      <c r="L3097" s="81" t="s">
        <v>187</v>
      </c>
    </row>
    <row r="3098" ht="15.75" customHeight="1">
      <c r="A3098" s="262"/>
      <c r="B3098" s="262"/>
      <c r="C3098" s="263"/>
      <c r="D3098" s="262"/>
      <c r="E3098" s="81" t="s">
        <v>187</v>
      </c>
      <c r="F3098" s="81" t="s">
        <v>187</v>
      </c>
      <c r="G3098" s="81" t="s">
        <v>187</v>
      </c>
      <c r="H3098" s="81" t="s">
        <v>187</v>
      </c>
      <c r="I3098" s="81" t="s">
        <v>187</v>
      </c>
      <c r="J3098" s="81" t="s">
        <v>187</v>
      </c>
      <c r="K3098" s="81" t="s">
        <v>187</v>
      </c>
      <c r="L3098" s="81" t="s">
        <v>187</v>
      </c>
    </row>
    <row r="3099" ht="15.75" customHeight="1">
      <c r="A3099" s="262"/>
      <c r="B3099" s="262"/>
      <c r="C3099" s="263"/>
      <c r="D3099" s="262"/>
      <c r="E3099" s="81" t="s">
        <v>187</v>
      </c>
      <c r="F3099" s="81" t="s">
        <v>187</v>
      </c>
      <c r="G3099" s="81" t="s">
        <v>187</v>
      </c>
      <c r="H3099" s="81" t="s">
        <v>187</v>
      </c>
      <c r="I3099" s="81" t="s">
        <v>187</v>
      </c>
      <c r="J3099" s="81" t="s">
        <v>187</v>
      </c>
      <c r="K3099" s="81" t="s">
        <v>187</v>
      </c>
      <c r="L3099" s="81" t="s">
        <v>187</v>
      </c>
    </row>
    <row r="3100" ht="15.75" customHeight="1">
      <c r="A3100" s="262"/>
      <c r="B3100" s="262"/>
      <c r="C3100" s="263"/>
      <c r="D3100" s="262"/>
      <c r="E3100" s="81" t="s">
        <v>187</v>
      </c>
      <c r="F3100" s="81" t="s">
        <v>187</v>
      </c>
      <c r="G3100" s="81" t="s">
        <v>187</v>
      </c>
      <c r="H3100" s="81" t="s">
        <v>187</v>
      </c>
      <c r="I3100" s="81" t="s">
        <v>187</v>
      </c>
      <c r="J3100" s="81" t="s">
        <v>187</v>
      </c>
      <c r="K3100" s="81" t="s">
        <v>187</v>
      </c>
      <c r="L3100" s="81" t="s">
        <v>187</v>
      </c>
    </row>
    <row r="3101" ht="15.75" customHeight="1">
      <c r="A3101" s="262"/>
      <c r="B3101" s="262"/>
      <c r="C3101" s="263"/>
      <c r="D3101" s="262"/>
      <c r="E3101" s="81" t="s">
        <v>187</v>
      </c>
      <c r="F3101" s="81" t="s">
        <v>187</v>
      </c>
      <c r="G3101" s="81" t="s">
        <v>187</v>
      </c>
      <c r="H3101" s="81" t="s">
        <v>187</v>
      </c>
      <c r="I3101" s="81" t="s">
        <v>187</v>
      </c>
      <c r="J3101" s="81" t="s">
        <v>187</v>
      </c>
      <c r="K3101" s="81" t="s">
        <v>187</v>
      </c>
      <c r="L3101" s="81" t="s">
        <v>187</v>
      </c>
    </row>
    <row r="3102" ht="15.75" customHeight="1">
      <c r="A3102" s="262"/>
      <c r="B3102" s="262"/>
      <c r="C3102" s="263"/>
      <c r="D3102" s="262"/>
      <c r="E3102" s="81" t="s">
        <v>187</v>
      </c>
      <c r="F3102" s="81" t="s">
        <v>187</v>
      </c>
      <c r="G3102" s="81" t="s">
        <v>187</v>
      </c>
      <c r="H3102" s="81" t="s">
        <v>187</v>
      </c>
      <c r="I3102" s="81" t="s">
        <v>187</v>
      </c>
      <c r="J3102" s="81" t="s">
        <v>187</v>
      </c>
      <c r="K3102" s="81" t="s">
        <v>187</v>
      </c>
      <c r="L3102" s="81" t="s">
        <v>187</v>
      </c>
    </row>
    <row r="3103" ht="15.75" customHeight="1">
      <c r="A3103" s="262"/>
      <c r="B3103" s="262"/>
      <c r="C3103" s="263"/>
      <c r="D3103" s="262"/>
      <c r="E3103" s="81" t="s">
        <v>187</v>
      </c>
      <c r="F3103" s="81" t="s">
        <v>187</v>
      </c>
      <c r="G3103" s="81" t="s">
        <v>187</v>
      </c>
      <c r="H3103" s="81" t="s">
        <v>187</v>
      </c>
      <c r="I3103" s="81" t="s">
        <v>187</v>
      </c>
      <c r="J3103" s="81" t="s">
        <v>187</v>
      </c>
      <c r="K3103" s="81" t="s">
        <v>187</v>
      </c>
      <c r="L3103" s="81" t="s">
        <v>187</v>
      </c>
    </row>
    <row r="3104" ht="15.75" customHeight="1">
      <c r="A3104" s="262"/>
      <c r="B3104" s="262"/>
      <c r="C3104" s="263"/>
      <c r="D3104" s="262"/>
      <c r="E3104" s="81" t="s">
        <v>187</v>
      </c>
      <c r="F3104" s="81" t="s">
        <v>187</v>
      </c>
      <c r="G3104" s="81" t="s">
        <v>187</v>
      </c>
      <c r="H3104" s="81" t="s">
        <v>187</v>
      </c>
      <c r="I3104" s="81" t="s">
        <v>187</v>
      </c>
      <c r="J3104" s="81" t="s">
        <v>187</v>
      </c>
      <c r="K3104" s="81" t="s">
        <v>187</v>
      </c>
      <c r="L3104" s="81" t="s">
        <v>187</v>
      </c>
    </row>
    <row r="3105" ht="15.75" customHeight="1">
      <c r="A3105" s="262"/>
      <c r="B3105" s="262"/>
      <c r="C3105" s="263"/>
      <c r="D3105" s="262"/>
      <c r="E3105" s="81" t="s">
        <v>187</v>
      </c>
      <c r="F3105" s="81" t="s">
        <v>187</v>
      </c>
      <c r="G3105" s="81" t="s">
        <v>187</v>
      </c>
      <c r="H3105" s="81" t="s">
        <v>187</v>
      </c>
      <c r="I3105" s="81" t="s">
        <v>187</v>
      </c>
      <c r="J3105" s="81" t="s">
        <v>187</v>
      </c>
      <c r="K3105" s="81" t="s">
        <v>187</v>
      </c>
      <c r="L3105" s="81" t="s">
        <v>187</v>
      </c>
    </row>
    <row r="3106" ht="15.75" customHeight="1">
      <c r="A3106" s="262"/>
      <c r="B3106" s="262"/>
      <c r="C3106" s="263"/>
      <c r="D3106" s="262"/>
      <c r="E3106" s="81" t="s">
        <v>187</v>
      </c>
      <c r="F3106" s="81" t="s">
        <v>187</v>
      </c>
      <c r="G3106" s="81" t="s">
        <v>187</v>
      </c>
      <c r="H3106" s="81" t="s">
        <v>187</v>
      </c>
      <c r="I3106" s="81" t="s">
        <v>187</v>
      </c>
      <c r="J3106" s="81" t="s">
        <v>187</v>
      </c>
      <c r="K3106" s="81" t="s">
        <v>187</v>
      </c>
      <c r="L3106" s="81" t="s">
        <v>187</v>
      </c>
    </row>
    <row r="3107" ht="15.75" customHeight="1">
      <c r="A3107" s="262"/>
      <c r="B3107" s="262"/>
      <c r="C3107" s="263"/>
      <c r="D3107" s="262"/>
      <c r="E3107" s="81" t="s">
        <v>187</v>
      </c>
      <c r="F3107" s="81" t="s">
        <v>187</v>
      </c>
      <c r="G3107" s="81" t="s">
        <v>187</v>
      </c>
      <c r="H3107" s="81" t="s">
        <v>187</v>
      </c>
      <c r="I3107" s="81" t="s">
        <v>187</v>
      </c>
      <c r="J3107" s="81" t="s">
        <v>187</v>
      </c>
      <c r="K3107" s="81" t="s">
        <v>187</v>
      </c>
      <c r="L3107" s="81" t="s">
        <v>187</v>
      </c>
    </row>
    <row r="3108" ht="15.75" customHeight="1">
      <c r="A3108" s="262"/>
      <c r="B3108" s="262"/>
      <c r="C3108" s="263"/>
      <c r="D3108" s="262"/>
      <c r="E3108" s="81" t="s">
        <v>187</v>
      </c>
      <c r="F3108" s="81" t="s">
        <v>187</v>
      </c>
      <c r="G3108" s="81" t="s">
        <v>187</v>
      </c>
      <c r="H3108" s="81" t="s">
        <v>187</v>
      </c>
      <c r="I3108" s="81" t="s">
        <v>187</v>
      </c>
      <c r="J3108" s="81" t="s">
        <v>187</v>
      </c>
      <c r="K3108" s="81" t="s">
        <v>187</v>
      </c>
      <c r="L3108" s="81" t="s">
        <v>187</v>
      </c>
    </row>
    <row r="3109" ht="15.75" customHeight="1">
      <c r="A3109" s="262"/>
      <c r="B3109" s="262"/>
      <c r="C3109" s="263"/>
      <c r="D3109" s="262"/>
      <c r="E3109" s="81" t="s">
        <v>187</v>
      </c>
      <c r="F3109" s="81" t="s">
        <v>187</v>
      </c>
      <c r="G3109" s="81" t="s">
        <v>187</v>
      </c>
      <c r="H3109" s="81" t="s">
        <v>187</v>
      </c>
      <c r="I3109" s="81" t="s">
        <v>187</v>
      </c>
      <c r="J3109" s="81" t="s">
        <v>187</v>
      </c>
      <c r="K3109" s="81" t="s">
        <v>187</v>
      </c>
      <c r="L3109" s="81" t="s">
        <v>187</v>
      </c>
    </row>
    <row r="3110" ht="15.75" customHeight="1">
      <c r="A3110" s="262"/>
      <c r="B3110" s="262"/>
      <c r="C3110" s="263"/>
      <c r="D3110" s="262"/>
      <c r="E3110" s="81" t="s">
        <v>187</v>
      </c>
      <c r="F3110" s="81" t="s">
        <v>187</v>
      </c>
      <c r="G3110" s="81" t="s">
        <v>187</v>
      </c>
      <c r="H3110" s="81" t="s">
        <v>187</v>
      </c>
      <c r="I3110" s="81" t="s">
        <v>187</v>
      </c>
      <c r="J3110" s="81" t="s">
        <v>187</v>
      </c>
      <c r="K3110" s="81" t="s">
        <v>187</v>
      </c>
      <c r="L3110" s="81" t="s">
        <v>187</v>
      </c>
    </row>
    <row r="3111" ht="15.75" customHeight="1">
      <c r="A3111" s="262"/>
      <c r="B3111" s="262"/>
      <c r="C3111" s="263"/>
      <c r="D3111" s="262"/>
      <c r="E3111" s="81" t="s">
        <v>187</v>
      </c>
      <c r="F3111" s="81" t="s">
        <v>187</v>
      </c>
      <c r="G3111" s="81" t="s">
        <v>187</v>
      </c>
      <c r="H3111" s="81" t="s">
        <v>187</v>
      </c>
      <c r="I3111" s="81" t="s">
        <v>187</v>
      </c>
      <c r="J3111" s="81" t="s">
        <v>187</v>
      </c>
      <c r="K3111" s="81" t="s">
        <v>187</v>
      </c>
      <c r="L3111" s="81" t="s">
        <v>187</v>
      </c>
    </row>
    <row r="3112" ht="15.75" customHeight="1">
      <c r="A3112" s="262"/>
      <c r="B3112" s="262"/>
      <c r="C3112" s="263"/>
      <c r="D3112" s="262"/>
      <c r="E3112" s="81" t="s">
        <v>187</v>
      </c>
      <c r="F3112" s="81" t="s">
        <v>187</v>
      </c>
      <c r="G3112" s="81" t="s">
        <v>187</v>
      </c>
      <c r="H3112" s="81" t="s">
        <v>187</v>
      </c>
      <c r="I3112" s="81" t="s">
        <v>187</v>
      </c>
      <c r="J3112" s="81" t="s">
        <v>187</v>
      </c>
      <c r="K3112" s="81" t="s">
        <v>187</v>
      </c>
      <c r="L3112" s="81" t="s">
        <v>187</v>
      </c>
    </row>
    <row r="3113" ht="15.75" customHeight="1">
      <c r="A3113" s="262"/>
      <c r="B3113" s="262"/>
      <c r="C3113" s="263"/>
      <c r="D3113" s="262"/>
      <c r="E3113" s="81" t="s">
        <v>187</v>
      </c>
      <c r="F3113" s="81" t="s">
        <v>187</v>
      </c>
      <c r="G3113" s="81" t="s">
        <v>187</v>
      </c>
      <c r="H3113" s="81" t="s">
        <v>187</v>
      </c>
      <c r="I3113" s="81" t="s">
        <v>187</v>
      </c>
      <c r="J3113" s="81" t="s">
        <v>187</v>
      </c>
      <c r="K3113" s="81" t="s">
        <v>187</v>
      </c>
      <c r="L3113" s="81" t="s">
        <v>187</v>
      </c>
    </row>
    <row r="3114" ht="15.75" customHeight="1">
      <c r="A3114" s="262"/>
      <c r="B3114" s="262"/>
      <c r="C3114" s="263"/>
      <c r="D3114" s="262"/>
      <c r="E3114" s="81" t="s">
        <v>187</v>
      </c>
      <c r="F3114" s="81" t="s">
        <v>187</v>
      </c>
      <c r="G3114" s="81" t="s">
        <v>187</v>
      </c>
      <c r="H3114" s="81" t="s">
        <v>187</v>
      </c>
      <c r="I3114" s="81" t="s">
        <v>187</v>
      </c>
      <c r="J3114" s="81" t="s">
        <v>187</v>
      </c>
      <c r="K3114" s="81" t="s">
        <v>187</v>
      </c>
      <c r="L3114" s="81" t="s">
        <v>187</v>
      </c>
    </row>
    <row r="3115" ht="15.75" customHeight="1">
      <c r="A3115" s="262"/>
      <c r="B3115" s="262"/>
      <c r="C3115" s="263"/>
      <c r="D3115" s="262"/>
      <c r="E3115" s="81" t="s">
        <v>187</v>
      </c>
      <c r="F3115" s="81" t="s">
        <v>187</v>
      </c>
      <c r="G3115" s="81" t="s">
        <v>187</v>
      </c>
      <c r="H3115" s="81" t="s">
        <v>187</v>
      </c>
      <c r="I3115" s="81" t="s">
        <v>187</v>
      </c>
      <c r="J3115" s="81" t="s">
        <v>187</v>
      </c>
      <c r="K3115" s="81" t="s">
        <v>187</v>
      </c>
      <c r="L3115" s="81" t="s">
        <v>187</v>
      </c>
    </row>
    <row r="3116" ht="15.75" customHeight="1">
      <c r="A3116" s="262"/>
      <c r="B3116" s="262"/>
      <c r="C3116" s="263"/>
      <c r="D3116" s="262"/>
      <c r="E3116" s="81" t="s">
        <v>187</v>
      </c>
      <c r="F3116" s="81" t="s">
        <v>187</v>
      </c>
      <c r="G3116" s="81" t="s">
        <v>187</v>
      </c>
      <c r="H3116" s="81" t="s">
        <v>187</v>
      </c>
      <c r="I3116" s="81" t="s">
        <v>187</v>
      </c>
      <c r="J3116" s="81" t="s">
        <v>187</v>
      </c>
      <c r="K3116" s="81" t="s">
        <v>187</v>
      </c>
      <c r="L3116" s="81" t="s">
        <v>187</v>
      </c>
    </row>
    <row r="3117" ht="15.75" customHeight="1">
      <c r="A3117" s="262"/>
      <c r="B3117" s="262"/>
      <c r="C3117" s="263"/>
      <c r="D3117" s="262"/>
      <c r="E3117" s="81" t="s">
        <v>187</v>
      </c>
      <c r="F3117" s="81" t="s">
        <v>187</v>
      </c>
      <c r="G3117" s="81" t="s">
        <v>187</v>
      </c>
      <c r="H3117" s="81" t="s">
        <v>187</v>
      </c>
      <c r="I3117" s="81" t="s">
        <v>187</v>
      </c>
      <c r="J3117" s="81" t="s">
        <v>187</v>
      </c>
      <c r="K3117" s="81" t="s">
        <v>187</v>
      </c>
      <c r="L3117" s="81" t="s">
        <v>187</v>
      </c>
    </row>
    <row r="3118" ht="15.75" customHeight="1">
      <c r="A3118" s="262"/>
      <c r="B3118" s="262"/>
      <c r="C3118" s="263"/>
      <c r="D3118" s="262"/>
      <c r="E3118" s="81" t="s">
        <v>187</v>
      </c>
      <c r="F3118" s="81" t="s">
        <v>187</v>
      </c>
      <c r="G3118" s="81" t="s">
        <v>187</v>
      </c>
      <c r="H3118" s="81" t="s">
        <v>187</v>
      </c>
      <c r="I3118" s="81" t="s">
        <v>187</v>
      </c>
      <c r="J3118" s="81" t="s">
        <v>187</v>
      </c>
      <c r="K3118" s="81" t="s">
        <v>187</v>
      </c>
      <c r="L3118" s="81" t="s">
        <v>187</v>
      </c>
    </row>
    <row r="3119" ht="15.75" customHeight="1">
      <c r="A3119" s="262"/>
      <c r="B3119" s="262"/>
      <c r="C3119" s="263"/>
      <c r="D3119" s="262"/>
      <c r="E3119" s="81" t="s">
        <v>187</v>
      </c>
      <c r="F3119" s="81" t="s">
        <v>187</v>
      </c>
      <c r="G3119" s="81" t="s">
        <v>187</v>
      </c>
      <c r="H3119" s="81" t="s">
        <v>187</v>
      </c>
      <c r="I3119" s="81" t="s">
        <v>187</v>
      </c>
      <c r="J3119" s="81" t="s">
        <v>187</v>
      </c>
      <c r="K3119" s="81" t="s">
        <v>187</v>
      </c>
      <c r="L3119" s="81" t="s">
        <v>187</v>
      </c>
    </row>
    <row r="3120" ht="15.75" customHeight="1">
      <c r="A3120" s="262"/>
      <c r="B3120" s="262"/>
      <c r="C3120" s="263"/>
      <c r="D3120" s="262"/>
      <c r="E3120" s="81" t="s">
        <v>187</v>
      </c>
      <c r="F3120" s="81" t="s">
        <v>187</v>
      </c>
      <c r="G3120" s="81" t="s">
        <v>187</v>
      </c>
      <c r="H3120" s="81" t="s">
        <v>187</v>
      </c>
      <c r="I3120" s="81" t="s">
        <v>187</v>
      </c>
      <c r="J3120" s="81" t="s">
        <v>187</v>
      </c>
      <c r="K3120" s="81" t="s">
        <v>187</v>
      </c>
      <c r="L3120" s="81" t="s">
        <v>187</v>
      </c>
    </row>
    <row r="3121" ht="15.75" customHeight="1">
      <c r="A3121" s="262"/>
      <c r="B3121" s="262"/>
      <c r="C3121" s="263"/>
      <c r="D3121" s="262"/>
      <c r="E3121" s="81" t="s">
        <v>187</v>
      </c>
      <c r="F3121" s="81" t="s">
        <v>187</v>
      </c>
      <c r="G3121" s="81" t="s">
        <v>187</v>
      </c>
      <c r="H3121" s="81" t="s">
        <v>187</v>
      </c>
      <c r="I3121" s="81" t="s">
        <v>187</v>
      </c>
      <c r="J3121" s="81" t="s">
        <v>187</v>
      </c>
      <c r="K3121" s="81" t="s">
        <v>187</v>
      </c>
      <c r="L3121" s="81" t="s">
        <v>187</v>
      </c>
    </row>
    <row r="3122" ht="15.75" customHeight="1">
      <c r="A3122" s="262"/>
      <c r="B3122" s="262"/>
      <c r="C3122" s="263"/>
      <c r="D3122" s="262"/>
      <c r="E3122" s="81" t="s">
        <v>187</v>
      </c>
      <c r="F3122" s="81" t="s">
        <v>187</v>
      </c>
      <c r="G3122" s="81" t="s">
        <v>187</v>
      </c>
      <c r="H3122" s="81" t="s">
        <v>187</v>
      </c>
      <c r="I3122" s="81" t="s">
        <v>187</v>
      </c>
      <c r="J3122" s="81" t="s">
        <v>187</v>
      </c>
      <c r="K3122" s="81" t="s">
        <v>187</v>
      </c>
      <c r="L3122" s="81" t="s">
        <v>187</v>
      </c>
    </row>
    <row r="3123" ht="15.75" customHeight="1">
      <c r="A3123" s="262"/>
      <c r="B3123" s="262"/>
      <c r="C3123" s="263"/>
      <c r="D3123" s="262"/>
      <c r="E3123" s="81" t="s">
        <v>187</v>
      </c>
      <c r="F3123" s="81" t="s">
        <v>187</v>
      </c>
      <c r="G3123" s="81" t="s">
        <v>187</v>
      </c>
      <c r="H3123" s="81" t="s">
        <v>187</v>
      </c>
      <c r="I3123" s="81" t="s">
        <v>187</v>
      </c>
      <c r="J3123" s="81" t="s">
        <v>187</v>
      </c>
      <c r="K3123" s="81" t="s">
        <v>187</v>
      </c>
      <c r="L3123" s="81" t="s">
        <v>187</v>
      </c>
    </row>
    <row r="3124" ht="15.75" customHeight="1">
      <c r="A3124" s="262"/>
      <c r="B3124" s="262"/>
      <c r="C3124" s="263"/>
      <c r="D3124" s="262"/>
      <c r="E3124" s="81" t="s">
        <v>187</v>
      </c>
      <c r="F3124" s="81" t="s">
        <v>187</v>
      </c>
      <c r="G3124" s="81" t="s">
        <v>187</v>
      </c>
      <c r="H3124" s="81" t="s">
        <v>187</v>
      </c>
      <c r="I3124" s="81" t="s">
        <v>187</v>
      </c>
      <c r="J3124" s="81" t="s">
        <v>187</v>
      </c>
      <c r="K3124" s="81" t="s">
        <v>187</v>
      </c>
      <c r="L3124" s="81" t="s">
        <v>187</v>
      </c>
    </row>
    <row r="3125" ht="15.75" customHeight="1">
      <c r="A3125" s="262"/>
      <c r="B3125" s="262"/>
      <c r="C3125" s="263"/>
      <c r="D3125" s="262"/>
      <c r="E3125" s="81" t="s">
        <v>187</v>
      </c>
      <c r="F3125" s="81" t="s">
        <v>187</v>
      </c>
      <c r="G3125" s="81" t="s">
        <v>187</v>
      </c>
      <c r="H3125" s="81" t="s">
        <v>187</v>
      </c>
      <c r="I3125" s="81" t="s">
        <v>187</v>
      </c>
      <c r="J3125" s="81" t="s">
        <v>187</v>
      </c>
      <c r="K3125" s="81" t="s">
        <v>187</v>
      </c>
      <c r="L3125" s="81" t="s">
        <v>187</v>
      </c>
    </row>
    <row r="3126" ht="15.75" customHeight="1">
      <c r="A3126" s="262"/>
      <c r="B3126" s="262"/>
      <c r="C3126" s="263"/>
      <c r="D3126" s="262"/>
      <c r="E3126" s="81" t="s">
        <v>187</v>
      </c>
      <c r="F3126" s="81" t="s">
        <v>187</v>
      </c>
      <c r="G3126" s="81" t="s">
        <v>187</v>
      </c>
      <c r="H3126" s="81" t="s">
        <v>187</v>
      </c>
      <c r="I3126" s="81" t="s">
        <v>187</v>
      </c>
      <c r="J3126" s="81" t="s">
        <v>187</v>
      </c>
      <c r="K3126" s="81" t="s">
        <v>187</v>
      </c>
      <c r="L3126" s="81" t="s">
        <v>187</v>
      </c>
    </row>
    <row r="3127" ht="15.75" customHeight="1">
      <c r="A3127" s="262"/>
      <c r="B3127" s="262"/>
      <c r="C3127" s="263"/>
      <c r="D3127" s="262"/>
      <c r="E3127" s="81" t="s">
        <v>187</v>
      </c>
      <c r="F3127" s="81" t="s">
        <v>187</v>
      </c>
      <c r="G3127" s="81" t="s">
        <v>187</v>
      </c>
      <c r="H3127" s="81" t="s">
        <v>187</v>
      </c>
      <c r="I3127" s="81" t="s">
        <v>187</v>
      </c>
      <c r="J3127" s="81" t="s">
        <v>187</v>
      </c>
      <c r="K3127" s="81" t="s">
        <v>187</v>
      </c>
      <c r="L3127" s="81" t="s">
        <v>187</v>
      </c>
    </row>
    <row r="3128" ht="15.75" customHeight="1">
      <c r="A3128" s="262"/>
      <c r="B3128" s="262"/>
      <c r="C3128" s="263"/>
      <c r="D3128" s="262"/>
      <c r="E3128" s="81" t="s">
        <v>187</v>
      </c>
      <c r="F3128" s="81" t="s">
        <v>187</v>
      </c>
      <c r="G3128" s="81" t="s">
        <v>187</v>
      </c>
      <c r="H3128" s="81" t="s">
        <v>187</v>
      </c>
      <c r="I3128" s="81" t="s">
        <v>187</v>
      </c>
      <c r="J3128" s="81" t="s">
        <v>187</v>
      </c>
      <c r="K3128" s="81" t="s">
        <v>187</v>
      </c>
      <c r="L3128" s="81" t="s">
        <v>187</v>
      </c>
    </row>
    <row r="3129" ht="15.75" customHeight="1">
      <c r="A3129" s="262"/>
      <c r="B3129" s="262"/>
      <c r="C3129" s="263"/>
      <c r="D3129" s="262"/>
      <c r="E3129" s="81" t="s">
        <v>187</v>
      </c>
      <c r="F3129" s="81" t="s">
        <v>187</v>
      </c>
      <c r="G3129" s="81" t="s">
        <v>187</v>
      </c>
      <c r="H3129" s="81" t="s">
        <v>187</v>
      </c>
      <c r="I3129" s="81" t="s">
        <v>187</v>
      </c>
      <c r="J3129" s="81" t="s">
        <v>187</v>
      </c>
      <c r="K3129" s="81" t="s">
        <v>187</v>
      </c>
      <c r="L3129" s="81" t="s">
        <v>187</v>
      </c>
    </row>
    <row r="3130" ht="15.75" customHeight="1">
      <c r="A3130" s="262"/>
      <c r="B3130" s="262"/>
      <c r="C3130" s="263"/>
      <c r="D3130" s="262"/>
      <c r="E3130" s="81" t="s">
        <v>187</v>
      </c>
      <c r="F3130" s="81" t="s">
        <v>187</v>
      </c>
      <c r="G3130" s="81" t="s">
        <v>187</v>
      </c>
      <c r="H3130" s="81" t="s">
        <v>187</v>
      </c>
      <c r="I3130" s="81" t="s">
        <v>187</v>
      </c>
      <c r="J3130" s="81" t="s">
        <v>187</v>
      </c>
      <c r="K3130" s="81" t="s">
        <v>187</v>
      </c>
      <c r="L3130" s="81" t="s">
        <v>187</v>
      </c>
    </row>
    <row r="3131" ht="15.75" customHeight="1">
      <c r="A3131" s="262"/>
      <c r="B3131" s="262"/>
      <c r="C3131" s="263"/>
      <c r="D3131" s="262"/>
      <c r="E3131" s="81" t="s">
        <v>187</v>
      </c>
      <c r="F3131" s="81" t="s">
        <v>187</v>
      </c>
      <c r="G3131" s="81" t="s">
        <v>187</v>
      </c>
      <c r="H3131" s="81" t="s">
        <v>187</v>
      </c>
      <c r="I3131" s="81" t="s">
        <v>187</v>
      </c>
      <c r="J3131" s="81" t="s">
        <v>187</v>
      </c>
      <c r="K3131" s="81" t="s">
        <v>187</v>
      </c>
      <c r="L3131" s="81" t="s">
        <v>187</v>
      </c>
    </row>
    <row r="3132" ht="15.75" customHeight="1">
      <c r="A3132" s="262"/>
      <c r="B3132" s="262"/>
      <c r="C3132" s="263"/>
      <c r="D3132" s="262"/>
      <c r="E3132" s="81" t="s">
        <v>187</v>
      </c>
      <c r="F3132" s="81" t="s">
        <v>187</v>
      </c>
      <c r="G3132" s="81" t="s">
        <v>187</v>
      </c>
      <c r="H3132" s="81" t="s">
        <v>187</v>
      </c>
      <c r="I3132" s="81" t="s">
        <v>187</v>
      </c>
      <c r="J3132" s="81" t="s">
        <v>187</v>
      </c>
      <c r="K3132" s="81" t="s">
        <v>187</v>
      </c>
      <c r="L3132" s="81" t="s">
        <v>187</v>
      </c>
    </row>
    <row r="3133" ht="15.75" customHeight="1">
      <c r="A3133" s="262"/>
      <c r="B3133" s="262"/>
      <c r="C3133" s="263"/>
      <c r="D3133" s="262"/>
      <c r="E3133" s="81" t="s">
        <v>187</v>
      </c>
      <c r="F3133" s="81" t="s">
        <v>187</v>
      </c>
      <c r="G3133" s="81" t="s">
        <v>187</v>
      </c>
      <c r="H3133" s="81" t="s">
        <v>187</v>
      </c>
      <c r="I3133" s="81" t="s">
        <v>187</v>
      </c>
      <c r="J3133" s="81" t="s">
        <v>187</v>
      </c>
      <c r="K3133" s="81" t="s">
        <v>187</v>
      </c>
      <c r="L3133" s="81" t="s">
        <v>187</v>
      </c>
    </row>
    <row r="3134" ht="15.75" customHeight="1">
      <c r="A3134" s="262"/>
      <c r="B3134" s="262"/>
      <c r="C3134" s="263"/>
      <c r="D3134" s="262"/>
      <c r="E3134" s="81" t="s">
        <v>187</v>
      </c>
      <c r="F3134" s="81" t="s">
        <v>187</v>
      </c>
      <c r="G3134" s="81" t="s">
        <v>187</v>
      </c>
      <c r="H3134" s="81" t="s">
        <v>187</v>
      </c>
      <c r="I3134" s="81" t="s">
        <v>187</v>
      </c>
      <c r="J3134" s="81" t="s">
        <v>187</v>
      </c>
      <c r="K3134" s="81" t="s">
        <v>187</v>
      </c>
      <c r="L3134" s="81" t="s">
        <v>187</v>
      </c>
    </row>
    <row r="3135" ht="15.75" customHeight="1">
      <c r="A3135" s="262"/>
      <c r="B3135" s="262"/>
      <c r="C3135" s="263"/>
      <c r="D3135" s="262"/>
      <c r="E3135" s="81" t="s">
        <v>187</v>
      </c>
      <c r="F3135" s="81" t="s">
        <v>187</v>
      </c>
      <c r="G3135" s="81" t="s">
        <v>187</v>
      </c>
      <c r="H3135" s="81" t="s">
        <v>187</v>
      </c>
      <c r="I3135" s="81" t="s">
        <v>187</v>
      </c>
      <c r="J3135" s="81" t="s">
        <v>187</v>
      </c>
      <c r="K3135" s="81" t="s">
        <v>187</v>
      </c>
      <c r="L3135" s="81" t="s">
        <v>187</v>
      </c>
    </row>
    <row r="3136" ht="15.75" customHeight="1">
      <c r="A3136" s="262"/>
      <c r="B3136" s="262"/>
      <c r="C3136" s="263"/>
      <c r="D3136" s="262"/>
      <c r="E3136" s="81" t="s">
        <v>187</v>
      </c>
      <c r="F3136" s="81" t="s">
        <v>187</v>
      </c>
      <c r="G3136" s="81" t="s">
        <v>187</v>
      </c>
      <c r="H3136" s="81" t="s">
        <v>187</v>
      </c>
      <c r="I3136" s="81" t="s">
        <v>187</v>
      </c>
      <c r="J3136" s="81" t="s">
        <v>187</v>
      </c>
      <c r="K3136" s="81" t="s">
        <v>187</v>
      </c>
      <c r="L3136" s="81" t="s">
        <v>187</v>
      </c>
    </row>
    <row r="3137" ht="15.75" customHeight="1">
      <c r="A3137" s="262"/>
      <c r="B3137" s="262"/>
      <c r="C3137" s="263"/>
      <c r="D3137" s="262"/>
      <c r="E3137" s="81" t="s">
        <v>187</v>
      </c>
      <c r="F3137" s="81" t="s">
        <v>187</v>
      </c>
      <c r="G3137" s="81" t="s">
        <v>187</v>
      </c>
      <c r="H3137" s="81" t="s">
        <v>187</v>
      </c>
      <c r="I3137" s="81" t="s">
        <v>187</v>
      </c>
      <c r="J3137" s="81" t="s">
        <v>187</v>
      </c>
      <c r="K3137" s="81" t="s">
        <v>187</v>
      </c>
      <c r="L3137" s="81" t="s">
        <v>187</v>
      </c>
    </row>
    <row r="3138" ht="15.75" customHeight="1">
      <c r="A3138" s="262"/>
      <c r="B3138" s="262"/>
      <c r="C3138" s="263"/>
      <c r="D3138" s="262"/>
      <c r="E3138" s="81" t="s">
        <v>187</v>
      </c>
      <c r="F3138" s="81" t="s">
        <v>187</v>
      </c>
      <c r="G3138" s="81" t="s">
        <v>187</v>
      </c>
      <c r="H3138" s="81" t="s">
        <v>187</v>
      </c>
      <c r="I3138" s="81" t="s">
        <v>187</v>
      </c>
      <c r="J3138" s="81" t="s">
        <v>187</v>
      </c>
      <c r="K3138" s="81" t="s">
        <v>187</v>
      </c>
      <c r="L3138" s="81" t="s">
        <v>187</v>
      </c>
    </row>
    <row r="3139" ht="15.75" customHeight="1">
      <c r="A3139" s="262"/>
      <c r="B3139" s="262"/>
      <c r="C3139" s="263"/>
      <c r="D3139" s="262"/>
      <c r="E3139" s="81" t="s">
        <v>187</v>
      </c>
      <c r="F3139" s="81" t="s">
        <v>187</v>
      </c>
      <c r="G3139" s="81" t="s">
        <v>187</v>
      </c>
      <c r="H3139" s="81" t="s">
        <v>187</v>
      </c>
      <c r="I3139" s="81" t="s">
        <v>187</v>
      </c>
      <c r="J3139" s="81" t="s">
        <v>187</v>
      </c>
      <c r="K3139" s="81" t="s">
        <v>187</v>
      </c>
      <c r="L3139" s="81" t="s">
        <v>187</v>
      </c>
    </row>
    <row r="3140" ht="15.75" customHeight="1">
      <c r="A3140" s="262"/>
      <c r="B3140" s="262"/>
      <c r="C3140" s="263"/>
      <c r="D3140" s="262"/>
      <c r="E3140" s="81" t="s">
        <v>187</v>
      </c>
      <c r="F3140" s="81" t="s">
        <v>187</v>
      </c>
      <c r="G3140" s="81" t="s">
        <v>187</v>
      </c>
      <c r="H3140" s="81" t="s">
        <v>187</v>
      </c>
      <c r="I3140" s="81" t="s">
        <v>187</v>
      </c>
      <c r="J3140" s="81" t="s">
        <v>187</v>
      </c>
      <c r="K3140" s="81" t="s">
        <v>187</v>
      </c>
      <c r="L3140" s="81" t="s">
        <v>187</v>
      </c>
    </row>
    <row r="3141" ht="15.75" customHeight="1">
      <c r="A3141" s="262"/>
      <c r="B3141" s="262"/>
      <c r="C3141" s="263"/>
      <c r="D3141" s="262"/>
      <c r="E3141" s="81" t="s">
        <v>187</v>
      </c>
      <c r="F3141" s="81" t="s">
        <v>187</v>
      </c>
      <c r="G3141" s="81" t="s">
        <v>187</v>
      </c>
      <c r="H3141" s="81" t="s">
        <v>187</v>
      </c>
      <c r="I3141" s="81" t="s">
        <v>187</v>
      </c>
      <c r="J3141" s="81" t="s">
        <v>187</v>
      </c>
      <c r="K3141" s="81" t="s">
        <v>187</v>
      </c>
      <c r="L3141" s="81" t="s">
        <v>187</v>
      </c>
    </row>
    <row r="3142" ht="15.75" customHeight="1">
      <c r="A3142" s="262"/>
      <c r="B3142" s="262"/>
      <c r="C3142" s="263"/>
      <c r="D3142" s="262"/>
      <c r="E3142" s="81" t="s">
        <v>187</v>
      </c>
      <c r="F3142" s="81" t="s">
        <v>187</v>
      </c>
      <c r="G3142" s="81" t="s">
        <v>187</v>
      </c>
      <c r="H3142" s="81" t="s">
        <v>187</v>
      </c>
      <c r="I3142" s="81" t="s">
        <v>187</v>
      </c>
      <c r="J3142" s="81" t="s">
        <v>187</v>
      </c>
      <c r="K3142" s="81" t="s">
        <v>187</v>
      </c>
      <c r="L3142" s="81" t="s">
        <v>187</v>
      </c>
    </row>
    <row r="3143" ht="15.75" customHeight="1">
      <c r="A3143" s="262"/>
      <c r="B3143" s="262"/>
      <c r="C3143" s="263"/>
      <c r="D3143" s="262"/>
      <c r="E3143" s="81" t="s">
        <v>187</v>
      </c>
      <c r="F3143" s="81" t="s">
        <v>187</v>
      </c>
      <c r="G3143" s="81" t="s">
        <v>187</v>
      </c>
      <c r="H3143" s="81" t="s">
        <v>187</v>
      </c>
      <c r="I3143" s="81" t="s">
        <v>187</v>
      </c>
      <c r="J3143" s="81" t="s">
        <v>187</v>
      </c>
      <c r="K3143" s="81" t="s">
        <v>187</v>
      </c>
      <c r="L3143" s="81" t="s">
        <v>187</v>
      </c>
    </row>
    <row r="3144" ht="15.75" customHeight="1">
      <c r="A3144" s="262"/>
      <c r="B3144" s="262"/>
      <c r="C3144" s="263"/>
      <c r="D3144" s="262"/>
      <c r="E3144" s="81" t="s">
        <v>187</v>
      </c>
      <c r="F3144" s="81" t="s">
        <v>187</v>
      </c>
      <c r="G3144" s="81" t="s">
        <v>187</v>
      </c>
      <c r="H3144" s="81" t="s">
        <v>187</v>
      </c>
      <c r="I3144" s="81" t="s">
        <v>187</v>
      </c>
      <c r="J3144" s="81" t="s">
        <v>187</v>
      </c>
      <c r="K3144" s="81" t="s">
        <v>187</v>
      </c>
      <c r="L3144" s="81" t="s">
        <v>187</v>
      </c>
    </row>
    <row r="3145" ht="15.75" customHeight="1">
      <c r="A3145" s="262"/>
      <c r="B3145" s="262"/>
      <c r="C3145" s="263"/>
      <c r="D3145" s="262"/>
      <c r="E3145" s="81" t="s">
        <v>187</v>
      </c>
      <c r="F3145" s="81" t="s">
        <v>187</v>
      </c>
      <c r="G3145" s="81" t="s">
        <v>187</v>
      </c>
      <c r="H3145" s="81" t="s">
        <v>187</v>
      </c>
      <c r="I3145" s="81" t="s">
        <v>187</v>
      </c>
      <c r="J3145" s="81" t="s">
        <v>187</v>
      </c>
      <c r="K3145" s="81" t="s">
        <v>187</v>
      </c>
      <c r="L3145" s="81" t="s">
        <v>187</v>
      </c>
    </row>
    <row r="3146" ht="15.75" customHeight="1">
      <c r="A3146" s="262"/>
      <c r="B3146" s="262"/>
      <c r="C3146" s="263"/>
      <c r="D3146" s="262"/>
      <c r="E3146" s="81" t="s">
        <v>187</v>
      </c>
      <c r="F3146" s="81" t="s">
        <v>187</v>
      </c>
      <c r="G3146" s="81" t="s">
        <v>187</v>
      </c>
      <c r="H3146" s="81" t="s">
        <v>187</v>
      </c>
      <c r="I3146" s="81" t="s">
        <v>187</v>
      </c>
      <c r="J3146" s="81" t="s">
        <v>187</v>
      </c>
      <c r="K3146" s="81" t="s">
        <v>187</v>
      </c>
      <c r="L3146" s="81" t="s">
        <v>187</v>
      </c>
    </row>
    <row r="3147" ht="15.75" customHeight="1">
      <c r="A3147" s="262"/>
      <c r="B3147" s="262"/>
      <c r="C3147" s="263"/>
      <c r="D3147" s="262"/>
      <c r="E3147" s="81" t="s">
        <v>187</v>
      </c>
      <c r="F3147" s="81" t="s">
        <v>187</v>
      </c>
      <c r="G3147" s="81" t="s">
        <v>187</v>
      </c>
      <c r="H3147" s="81" t="s">
        <v>187</v>
      </c>
      <c r="I3147" s="81" t="s">
        <v>187</v>
      </c>
      <c r="J3147" s="81" t="s">
        <v>187</v>
      </c>
      <c r="K3147" s="81" t="s">
        <v>187</v>
      </c>
      <c r="L3147" s="81" t="s">
        <v>187</v>
      </c>
    </row>
    <row r="3148" ht="15.75" customHeight="1">
      <c r="A3148" s="262"/>
      <c r="B3148" s="262"/>
      <c r="C3148" s="263"/>
      <c r="D3148" s="262"/>
      <c r="E3148" s="81" t="s">
        <v>187</v>
      </c>
      <c r="F3148" s="81" t="s">
        <v>187</v>
      </c>
      <c r="G3148" s="81" t="s">
        <v>187</v>
      </c>
      <c r="H3148" s="81" t="s">
        <v>187</v>
      </c>
      <c r="I3148" s="81" t="s">
        <v>187</v>
      </c>
      <c r="J3148" s="81" t="s">
        <v>187</v>
      </c>
      <c r="K3148" s="81" t="s">
        <v>187</v>
      </c>
      <c r="L3148" s="81" t="s">
        <v>187</v>
      </c>
    </row>
    <row r="3149" ht="15.75" customHeight="1">
      <c r="A3149" s="262"/>
      <c r="B3149" s="262"/>
      <c r="C3149" s="263"/>
      <c r="D3149" s="262"/>
      <c r="E3149" s="81" t="s">
        <v>187</v>
      </c>
      <c r="F3149" s="81" t="s">
        <v>187</v>
      </c>
      <c r="G3149" s="81" t="s">
        <v>187</v>
      </c>
      <c r="H3149" s="81" t="s">
        <v>187</v>
      </c>
      <c r="I3149" s="81" t="s">
        <v>187</v>
      </c>
      <c r="J3149" s="81" t="s">
        <v>187</v>
      </c>
      <c r="K3149" s="81" t="s">
        <v>187</v>
      </c>
      <c r="L3149" s="81" t="s">
        <v>187</v>
      </c>
    </row>
    <row r="3150" ht="15.75" customHeight="1">
      <c r="A3150" s="262"/>
      <c r="B3150" s="262"/>
      <c r="C3150" s="263"/>
      <c r="D3150" s="262"/>
      <c r="E3150" s="81" t="s">
        <v>187</v>
      </c>
      <c r="F3150" s="81" t="s">
        <v>187</v>
      </c>
      <c r="G3150" s="81" t="s">
        <v>187</v>
      </c>
      <c r="H3150" s="81" t="s">
        <v>187</v>
      </c>
      <c r="I3150" s="81" t="s">
        <v>187</v>
      </c>
      <c r="J3150" s="81" t="s">
        <v>187</v>
      </c>
      <c r="K3150" s="81" t="s">
        <v>187</v>
      </c>
      <c r="L3150" s="81" t="s">
        <v>187</v>
      </c>
    </row>
    <row r="3151" ht="15.75" customHeight="1">
      <c r="A3151" s="262"/>
      <c r="B3151" s="262"/>
      <c r="C3151" s="263"/>
      <c r="D3151" s="262"/>
      <c r="E3151" s="81" t="s">
        <v>187</v>
      </c>
      <c r="F3151" s="81" t="s">
        <v>187</v>
      </c>
      <c r="G3151" s="81" t="s">
        <v>187</v>
      </c>
      <c r="H3151" s="81" t="s">
        <v>187</v>
      </c>
      <c r="I3151" s="81" t="s">
        <v>187</v>
      </c>
      <c r="J3151" s="81" t="s">
        <v>187</v>
      </c>
      <c r="K3151" s="81" t="s">
        <v>187</v>
      </c>
      <c r="L3151" s="81" t="s">
        <v>187</v>
      </c>
    </row>
    <row r="3152" ht="15.75" customHeight="1">
      <c r="A3152" s="262"/>
      <c r="B3152" s="262"/>
      <c r="C3152" s="263"/>
      <c r="D3152" s="262"/>
      <c r="E3152" s="81" t="s">
        <v>187</v>
      </c>
      <c r="F3152" s="81" t="s">
        <v>187</v>
      </c>
      <c r="G3152" s="81" t="s">
        <v>187</v>
      </c>
      <c r="H3152" s="81" t="s">
        <v>187</v>
      </c>
      <c r="I3152" s="81" t="s">
        <v>187</v>
      </c>
      <c r="J3152" s="81" t="s">
        <v>187</v>
      </c>
      <c r="K3152" s="81" t="s">
        <v>187</v>
      </c>
      <c r="L3152" s="81" t="s">
        <v>187</v>
      </c>
    </row>
    <row r="3153" ht="15.75" customHeight="1">
      <c r="A3153" s="262"/>
      <c r="B3153" s="262"/>
      <c r="C3153" s="263"/>
      <c r="D3153" s="262"/>
      <c r="E3153" s="81" t="s">
        <v>187</v>
      </c>
      <c r="F3153" s="81" t="s">
        <v>187</v>
      </c>
      <c r="G3153" s="81" t="s">
        <v>187</v>
      </c>
      <c r="H3153" s="81" t="s">
        <v>187</v>
      </c>
      <c r="I3153" s="81" t="s">
        <v>187</v>
      </c>
      <c r="J3153" s="81" t="s">
        <v>187</v>
      </c>
      <c r="K3153" s="81" t="s">
        <v>187</v>
      </c>
      <c r="L3153" s="81" t="s">
        <v>187</v>
      </c>
    </row>
    <row r="3154" ht="15.75" customHeight="1">
      <c r="A3154" s="262"/>
      <c r="B3154" s="262"/>
      <c r="C3154" s="263"/>
      <c r="D3154" s="262"/>
      <c r="E3154" s="81" t="s">
        <v>187</v>
      </c>
      <c r="F3154" s="81" t="s">
        <v>187</v>
      </c>
      <c r="G3154" s="81" t="s">
        <v>187</v>
      </c>
      <c r="H3154" s="81" t="s">
        <v>187</v>
      </c>
      <c r="I3154" s="81" t="s">
        <v>187</v>
      </c>
      <c r="J3154" s="81" t="s">
        <v>187</v>
      </c>
      <c r="K3154" s="81" t="s">
        <v>187</v>
      </c>
      <c r="L3154" s="81" t="s">
        <v>187</v>
      </c>
    </row>
    <row r="3155" ht="15.75" customHeight="1">
      <c r="A3155" s="262"/>
      <c r="B3155" s="262"/>
      <c r="C3155" s="263"/>
      <c r="D3155" s="262"/>
      <c r="E3155" s="81" t="s">
        <v>187</v>
      </c>
      <c r="F3155" s="81" t="s">
        <v>187</v>
      </c>
      <c r="G3155" s="81" t="s">
        <v>187</v>
      </c>
      <c r="H3155" s="81" t="s">
        <v>187</v>
      </c>
      <c r="I3155" s="81" t="s">
        <v>187</v>
      </c>
      <c r="J3155" s="81" t="s">
        <v>187</v>
      </c>
      <c r="K3155" s="81" t="s">
        <v>187</v>
      </c>
      <c r="L3155" s="81" t="s">
        <v>187</v>
      </c>
    </row>
    <row r="3156" ht="15.75" customHeight="1">
      <c r="A3156" s="262"/>
      <c r="B3156" s="262"/>
      <c r="C3156" s="263"/>
      <c r="D3156" s="262"/>
      <c r="E3156" s="81" t="s">
        <v>187</v>
      </c>
      <c r="F3156" s="81" t="s">
        <v>187</v>
      </c>
      <c r="G3156" s="81" t="s">
        <v>187</v>
      </c>
      <c r="H3156" s="81" t="s">
        <v>187</v>
      </c>
      <c r="I3156" s="81" t="s">
        <v>187</v>
      </c>
      <c r="J3156" s="81" t="s">
        <v>187</v>
      </c>
      <c r="K3156" s="81" t="s">
        <v>187</v>
      </c>
      <c r="L3156" s="81" t="s">
        <v>187</v>
      </c>
    </row>
    <row r="3157" ht="15.75" customHeight="1">
      <c r="A3157" s="262"/>
      <c r="B3157" s="262"/>
      <c r="C3157" s="263"/>
      <c r="D3157" s="262"/>
      <c r="E3157" s="81" t="s">
        <v>187</v>
      </c>
      <c r="F3157" s="81" t="s">
        <v>187</v>
      </c>
      <c r="G3157" s="81" t="s">
        <v>187</v>
      </c>
      <c r="H3157" s="81" t="s">
        <v>187</v>
      </c>
      <c r="I3157" s="81" t="s">
        <v>187</v>
      </c>
      <c r="J3157" s="81" t="s">
        <v>187</v>
      </c>
      <c r="K3157" s="81" t="s">
        <v>187</v>
      </c>
      <c r="L3157" s="81" t="s">
        <v>187</v>
      </c>
    </row>
    <row r="3158" ht="15.75" customHeight="1">
      <c r="A3158" s="262"/>
      <c r="B3158" s="262"/>
      <c r="C3158" s="263"/>
      <c r="D3158" s="262"/>
      <c r="E3158" s="81" t="s">
        <v>187</v>
      </c>
      <c r="F3158" s="81" t="s">
        <v>187</v>
      </c>
      <c r="G3158" s="81" t="s">
        <v>187</v>
      </c>
      <c r="H3158" s="81" t="s">
        <v>187</v>
      </c>
      <c r="I3158" s="81" t="s">
        <v>187</v>
      </c>
      <c r="J3158" s="81" t="s">
        <v>187</v>
      </c>
      <c r="K3158" s="81" t="s">
        <v>187</v>
      </c>
      <c r="L3158" s="81" t="s">
        <v>187</v>
      </c>
    </row>
    <row r="3159" ht="15.75" customHeight="1">
      <c r="A3159" s="262"/>
      <c r="B3159" s="262"/>
      <c r="C3159" s="263"/>
      <c r="D3159" s="262"/>
      <c r="E3159" s="81" t="s">
        <v>187</v>
      </c>
      <c r="F3159" s="81" t="s">
        <v>187</v>
      </c>
      <c r="G3159" s="81" t="s">
        <v>187</v>
      </c>
      <c r="H3159" s="81" t="s">
        <v>187</v>
      </c>
      <c r="I3159" s="81" t="s">
        <v>187</v>
      </c>
      <c r="J3159" s="81" t="s">
        <v>187</v>
      </c>
      <c r="K3159" s="81" t="s">
        <v>187</v>
      </c>
      <c r="L3159" s="81" t="s">
        <v>187</v>
      </c>
    </row>
    <row r="3160" ht="15.75" customHeight="1">
      <c r="A3160" s="262"/>
      <c r="B3160" s="262"/>
      <c r="C3160" s="263"/>
      <c r="D3160" s="262"/>
      <c r="E3160" s="81" t="s">
        <v>187</v>
      </c>
      <c r="F3160" s="81" t="s">
        <v>187</v>
      </c>
      <c r="G3160" s="81" t="s">
        <v>187</v>
      </c>
      <c r="H3160" s="81" t="s">
        <v>187</v>
      </c>
      <c r="I3160" s="81" t="s">
        <v>187</v>
      </c>
      <c r="J3160" s="81" t="s">
        <v>187</v>
      </c>
      <c r="K3160" s="81" t="s">
        <v>187</v>
      </c>
      <c r="L3160" s="81" t="s">
        <v>187</v>
      </c>
    </row>
    <row r="3161" ht="15.75" customHeight="1">
      <c r="A3161" s="262"/>
      <c r="B3161" s="262"/>
      <c r="C3161" s="263"/>
      <c r="D3161" s="262"/>
      <c r="E3161" s="81" t="s">
        <v>187</v>
      </c>
      <c r="F3161" s="81" t="s">
        <v>187</v>
      </c>
      <c r="G3161" s="81" t="s">
        <v>187</v>
      </c>
      <c r="H3161" s="81" t="s">
        <v>187</v>
      </c>
      <c r="I3161" s="81" t="s">
        <v>187</v>
      </c>
      <c r="J3161" s="81" t="s">
        <v>187</v>
      </c>
      <c r="K3161" s="81" t="s">
        <v>187</v>
      </c>
      <c r="L3161" s="81" t="s">
        <v>187</v>
      </c>
    </row>
    <row r="3162" ht="15.75" customHeight="1">
      <c r="A3162" s="262"/>
      <c r="B3162" s="262"/>
      <c r="C3162" s="263"/>
      <c r="D3162" s="262"/>
      <c r="E3162" s="81" t="s">
        <v>187</v>
      </c>
      <c r="F3162" s="81" t="s">
        <v>187</v>
      </c>
      <c r="G3162" s="81" t="s">
        <v>187</v>
      </c>
      <c r="H3162" s="81" t="s">
        <v>187</v>
      </c>
      <c r="I3162" s="81" t="s">
        <v>187</v>
      </c>
      <c r="J3162" s="81" t="s">
        <v>187</v>
      </c>
      <c r="K3162" s="81" t="s">
        <v>187</v>
      </c>
      <c r="L3162" s="81" t="s">
        <v>187</v>
      </c>
    </row>
    <row r="3163" ht="15.75" customHeight="1">
      <c r="A3163" s="262"/>
      <c r="B3163" s="262"/>
      <c r="C3163" s="263"/>
      <c r="D3163" s="262"/>
      <c r="E3163" s="81" t="s">
        <v>187</v>
      </c>
      <c r="F3163" s="81" t="s">
        <v>187</v>
      </c>
      <c r="G3163" s="81" t="s">
        <v>187</v>
      </c>
      <c r="H3163" s="81" t="s">
        <v>187</v>
      </c>
      <c r="I3163" s="81" t="s">
        <v>187</v>
      </c>
      <c r="J3163" s="81" t="s">
        <v>187</v>
      </c>
      <c r="K3163" s="81" t="s">
        <v>187</v>
      </c>
      <c r="L3163" s="81" t="s">
        <v>187</v>
      </c>
    </row>
    <row r="3164" ht="15.75" customHeight="1">
      <c r="A3164" s="262"/>
      <c r="B3164" s="262"/>
      <c r="C3164" s="263"/>
      <c r="D3164" s="262"/>
      <c r="E3164" s="81" t="s">
        <v>187</v>
      </c>
      <c r="F3164" s="81" t="s">
        <v>187</v>
      </c>
      <c r="G3164" s="81" t="s">
        <v>187</v>
      </c>
      <c r="H3164" s="81" t="s">
        <v>187</v>
      </c>
      <c r="I3164" s="81" t="s">
        <v>187</v>
      </c>
      <c r="J3164" s="81" t="s">
        <v>187</v>
      </c>
      <c r="K3164" s="81" t="s">
        <v>187</v>
      </c>
      <c r="L3164" s="81" t="s">
        <v>187</v>
      </c>
    </row>
    <row r="3165" ht="15.75" customHeight="1">
      <c r="A3165" s="262"/>
      <c r="B3165" s="262"/>
      <c r="C3165" s="263"/>
      <c r="D3165" s="262"/>
      <c r="E3165" s="81" t="s">
        <v>187</v>
      </c>
      <c r="F3165" s="81" t="s">
        <v>187</v>
      </c>
      <c r="G3165" s="81" t="s">
        <v>187</v>
      </c>
      <c r="H3165" s="81" t="s">
        <v>187</v>
      </c>
      <c r="I3165" s="81" t="s">
        <v>187</v>
      </c>
      <c r="J3165" s="81" t="s">
        <v>187</v>
      </c>
      <c r="K3165" s="81" t="s">
        <v>187</v>
      </c>
      <c r="L3165" s="81" t="s">
        <v>187</v>
      </c>
    </row>
    <row r="3166" ht="15.75" customHeight="1">
      <c r="A3166" s="262"/>
      <c r="B3166" s="262"/>
      <c r="C3166" s="263"/>
      <c r="D3166" s="262"/>
      <c r="E3166" s="81" t="s">
        <v>187</v>
      </c>
      <c r="F3166" s="81" t="s">
        <v>187</v>
      </c>
      <c r="G3166" s="81" t="s">
        <v>187</v>
      </c>
      <c r="H3166" s="81" t="s">
        <v>187</v>
      </c>
      <c r="I3166" s="81" t="s">
        <v>187</v>
      </c>
      <c r="J3166" s="81" t="s">
        <v>187</v>
      </c>
      <c r="K3166" s="81" t="s">
        <v>187</v>
      </c>
      <c r="L3166" s="81" t="s">
        <v>187</v>
      </c>
    </row>
    <row r="3167" ht="15.75" customHeight="1">
      <c r="A3167" s="262"/>
      <c r="B3167" s="262"/>
      <c r="C3167" s="263"/>
      <c r="D3167" s="262"/>
      <c r="E3167" s="81" t="s">
        <v>187</v>
      </c>
      <c r="F3167" s="81" t="s">
        <v>187</v>
      </c>
      <c r="G3167" s="81" t="s">
        <v>187</v>
      </c>
      <c r="H3167" s="81" t="s">
        <v>187</v>
      </c>
      <c r="I3167" s="81" t="s">
        <v>187</v>
      </c>
      <c r="J3167" s="81" t="s">
        <v>187</v>
      </c>
      <c r="K3167" s="81" t="s">
        <v>187</v>
      </c>
      <c r="L3167" s="81" t="s">
        <v>187</v>
      </c>
    </row>
    <row r="3168" ht="15.75" customHeight="1">
      <c r="A3168" s="262"/>
      <c r="B3168" s="262"/>
      <c r="C3168" s="263"/>
      <c r="D3168" s="262"/>
      <c r="E3168" s="81" t="s">
        <v>187</v>
      </c>
      <c r="F3168" s="81" t="s">
        <v>187</v>
      </c>
      <c r="G3168" s="81" t="s">
        <v>187</v>
      </c>
      <c r="H3168" s="81" t="s">
        <v>187</v>
      </c>
      <c r="I3168" s="81" t="s">
        <v>187</v>
      </c>
      <c r="J3168" s="81" t="s">
        <v>187</v>
      </c>
      <c r="K3168" s="81" t="s">
        <v>187</v>
      </c>
      <c r="L3168" s="81" t="s">
        <v>187</v>
      </c>
    </row>
    <row r="3169" ht="15.75" customHeight="1">
      <c r="A3169" s="262"/>
      <c r="B3169" s="262"/>
      <c r="C3169" s="263"/>
      <c r="D3169" s="262"/>
      <c r="E3169" s="81" t="s">
        <v>187</v>
      </c>
      <c r="F3169" s="81" t="s">
        <v>187</v>
      </c>
      <c r="G3169" s="81" t="s">
        <v>187</v>
      </c>
      <c r="H3169" s="81" t="s">
        <v>187</v>
      </c>
      <c r="I3169" s="81" t="s">
        <v>187</v>
      </c>
      <c r="J3169" s="81" t="s">
        <v>187</v>
      </c>
      <c r="K3169" s="81" t="s">
        <v>187</v>
      </c>
      <c r="L3169" s="81" t="s">
        <v>187</v>
      </c>
    </row>
    <row r="3170" ht="15.75" customHeight="1">
      <c r="A3170" s="262"/>
      <c r="B3170" s="262"/>
      <c r="C3170" s="263"/>
      <c r="D3170" s="262"/>
      <c r="E3170" s="81" t="s">
        <v>187</v>
      </c>
      <c r="F3170" s="81" t="s">
        <v>187</v>
      </c>
      <c r="G3170" s="81" t="s">
        <v>187</v>
      </c>
      <c r="H3170" s="81" t="s">
        <v>187</v>
      </c>
      <c r="I3170" s="81" t="s">
        <v>187</v>
      </c>
      <c r="J3170" s="81" t="s">
        <v>187</v>
      </c>
      <c r="K3170" s="81" t="s">
        <v>187</v>
      </c>
      <c r="L3170" s="81" t="s">
        <v>187</v>
      </c>
    </row>
    <row r="3171" ht="15.75" customHeight="1">
      <c r="A3171" s="262"/>
      <c r="B3171" s="262"/>
      <c r="C3171" s="263"/>
      <c r="D3171" s="262"/>
      <c r="E3171" s="81" t="s">
        <v>187</v>
      </c>
      <c r="F3171" s="81" t="s">
        <v>187</v>
      </c>
      <c r="G3171" s="81" t="s">
        <v>187</v>
      </c>
      <c r="H3171" s="81" t="s">
        <v>187</v>
      </c>
      <c r="I3171" s="81" t="s">
        <v>187</v>
      </c>
      <c r="J3171" s="81" t="s">
        <v>187</v>
      </c>
      <c r="K3171" s="81" t="s">
        <v>187</v>
      </c>
      <c r="L3171" s="81" t="s">
        <v>187</v>
      </c>
    </row>
    <row r="3172" ht="15.75" customHeight="1">
      <c r="A3172" s="262"/>
      <c r="B3172" s="262"/>
      <c r="C3172" s="263"/>
      <c r="D3172" s="262"/>
      <c r="E3172" s="81" t="s">
        <v>187</v>
      </c>
      <c r="F3172" s="81" t="s">
        <v>187</v>
      </c>
      <c r="G3172" s="81" t="s">
        <v>187</v>
      </c>
      <c r="H3172" s="81" t="s">
        <v>187</v>
      </c>
      <c r="I3172" s="81" t="s">
        <v>187</v>
      </c>
      <c r="J3172" s="81" t="s">
        <v>187</v>
      </c>
      <c r="K3172" s="81" t="s">
        <v>187</v>
      </c>
      <c r="L3172" s="81" t="s">
        <v>187</v>
      </c>
    </row>
    <row r="3173" ht="15.75" customHeight="1">
      <c r="A3173" s="262"/>
      <c r="B3173" s="262"/>
      <c r="C3173" s="263"/>
      <c r="D3173" s="262"/>
      <c r="E3173" s="81" t="s">
        <v>187</v>
      </c>
      <c r="F3173" s="81" t="s">
        <v>187</v>
      </c>
      <c r="G3173" s="81" t="s">
        <v>187</v>
      </c>
      <c r="H3173" s="81" t="s">
        <v>187</v>
      </c>
      <c r="I3173" s="81" t="s">
        <v>187</v>
      </c>
      <c r="J3173" s="81" t="s">
        <v>187</v>
      </c>
      <c r="K3173" s="81" t="s">
        <v>187</v>
      </c>
      <c r="L3173" s="81" t="s">
        <v>187</v>
      </c>
    </row>
    <row r="3174" ht="15.75" customHeight="1">
      <c r="A3174" s="262"/>
      <c r="B3174" s="262"/>
      <c r="C3174" s="263"/>
      <c r="D3174" s="262"/>
      <c r="E3174" s="81" t="s">
        <v>187</v>
      </c>
      <c r="F3174" s="81" t="s">
        <v>187</v>
      </c>
      <c r="G3174" s="81" t="s">
        <v>187</v>
      </c>
      <c r="H3174" s="81" t="s">
        <v>187</v>
      </c>
      <c r="I3174" s="81" t="s">
        <v>187</v>
      </c>
      <c r="J3174" s="81" t="s">
        <v>187</v>
      </c>
      <c r="K3174" s="81" t="s">
        <v>187</v>
      </c>
      <c r="L3174" s="81" t="s">
        <v>187</v>
      </c>
    </row>
    <row r="3175" ht="15.75" customHeight="1">
      <c r="A3175" s="262"/>
      <c r="B3175" s="262"/>
      <c r="C3175" s="263"/>
      <c r="D3175" s="262"/>
      <c r="E3175" s="81" t="s">
        <v>187</v>
      </c>
      <c r="F3175" s="81" t="s">
        <v>187</v>
      </c>
      <c r="G3175" s="81" t="s">
        <v>187</v>
      </c>
      <c r="H3175" s="81" t="s">
        <v>187</v>
      </c>
      <c r="I3175" s="81" t="s">
        <v>187</v>
      </c>
      <c r="J3175" s="81" t="s">
        <v>187</v>
      </c>
      <c r="K3175" s="81" t="s">
        <v>187</v>
      </c>
      <c r="L3175" s="81" t="s">
        <v>187</v>
      </c>
    </row>
    <row r="3176" ht="15.75" customHeight="1">
      <c r="A3176" s="262"/>
      <c r="B3176" s="262"/>
      <c r="C3176" s="263"/>
      <c r="D3176" s="262"/>
      <c r="E3176" s="81" t="s">
        <v>187</v>
      </c>
      <c r="F3176" s="81" t="s">
        <v>187</v>
      </c>
      <c r="G3176" s="81" t="s">
        <v>187</v>
      </c>
      <c r="H3176" s="81" t="s">
        <v>187</v>
      </c>
      <c r="I3176" s="81" t="s">
        <v>187</v>
      </c>
      <c r="J3176" s="81" t="s">
        <v>187</v>
      </c>
      <c r="K3176" s="81" t="s">
        <v>187</v>
      </c>
      <c r="L3176" s="81" t="s">
        <v>187</v>
      </c>
    </row>
    <row r="3177" ht="15.75" customHeight="1">
      <c r="A3177" s="262"/>
      <c r="B3177" s="262"/>
      <c r="C3177" s="263"/>
      <c r="D3177" s="262"/>
      <c r="E3177" s="81" t="s">
        <v>187</v>
      </c>
      <c r="F3177" s="81" t="s">
        <v>187</v>
      </c>
      <c r="G3177" s="81" t="s">
        <v>187</v>
      </c>
      <c r="H3177" s="81" t="s">
        <v>187</v>
      </c>
      <c r="I3177" s="81" t="s">
        <v>187</v>
      </c>
      <c r="J3177" s="81" t="s">
        <v>187</v>
      </c>
      <c r="K3177" s="81" t="s">
        <v>187</v>
      </c>
      <c r="L3177" s="81" t="s">
        <v>187</v>
      </c>
    </row>
    <row r="3178" ht="15.75" customHeight="1">
      <c r="A3178" s="262"/>
      <c r="B3178" s="262"/>
      <c r="C3178" s="263"/>
      <c r="D3178" s="262"/>
      <c r="E3178" s="81" t="s">
        <v>187</v>
      </c>
      <c r="F3178" s="81" t="s">
        <v>187</v>
      </c>
      <c r="G3178" s="81" t="s">
        <v>187</v>
      </c>
      <c r="H3178" s="81" t="s">
        <v>187</v>
      </c>
      <c r="I3178" s="81" t="s">
        <v>187</v>
      </c>
      <c r="J3178" s="81" t="s">
        <v>187</v>
      </c>
      <c r="K3178" s="81" t="s">
        <v>187</v>
      </c>
      <c r="L3178" s="81" t="s">
        <v>187</v>
      </c>
    </row>
    <row r="3179" ht="15.75" customHeight="1">
      <c r="A3179" s="262"/>
      <c r="B3179" s="262"/>
      <c r="C3179" s="263"/>
      <c r="D3179" s="262"/>
      <c r="E3179" s="81" t="s">
        <v>187</v>
      </c>
      <c r="F3179" s="81" t="s">
        <v>187</v>
      </c>
      <c r="G3179" s="81" t="s">
        <v>187</v>
      </c>
      <c r="H3179" s="81" t="s">
        <v>187</v>
      </c>
      <c r="I3179" s="81" t="s">
        <v>187</v>
      </c>
      <c r="J3179" s="81" t="s">
        <v>187</v>
      </c>
      <c r="K3179" s="81" t="s">
        <v>187</v>
      </c>
      <c r="L3179" s="81" t="s">
        <v>187</v>
      </c>
    </row>
    <row r="3180" ht="15.75" customHeight="1">
      <c r="A3180" s="262"/>
      <c r="B3180" s="262"/>
      <c r="C3180" s="263"/>
      <c r="D3180" s="262"/>
      <c r="E3180" s="81" t="s">
        <v>187</v>
      </c>
      <c r="F3180" s="81" t="s">
        <v>187</v>
      </c>
      <c r="G3180" s="81" t="s">
        <v>187</v>
      </c>
      <c r="H3180" s="81" t="s">
        <v>187</v>
      </c>
      <c r="I3180" s="81" t="s">
        <v>187</v>
      </c>
      <c r="J3180" s="81" t="s">
        <v>187</v>
      </c>
      <c r="K3180" s="81" t="s">
        <v>187</v>
      </c>
      <c r="L3180" s="81" t="s">
        <v>187</v>
      </c>
    </row>
    <row r="3181" ht="15.75" customHeight="1">
      <c r="A3181" s="262"/>
      <c r="B3181" s="262"/>
      <c r="C3181" s="263"/>
      <c r="D3181" s="262"/>
      <c r="E3181" s="81" t="s">
        <v>187</v>
      </c>
      <c r="F3181" s="81" t="s">
        <v>187</v>
      </c>
      <c r="G3181" s="81" t="s">
        <v>187</v>
      </c>
      <c r="H3181" s="81" t="s">
        <v>187</v>
      </c>
      <c r="I3181" s="81" t="s">
        <v>187</v>
      </c>
      <c r="J3181" s="81" t="s">
        <v>187</v>
      </c>
      <c r="K3181" s="81" t="s">
        <v>187</v>
      </c>
      <c r="L3181" s="81" t="s">
        <v>187</v>
      </c>
    </row>
    <row r="3182" ht="15.75" customHeight="1">
      <c r="A3182" s="262"/>
      <c r="B3182" s="262"/>
      <c r="C3182" s="263"/>
      <c r="D3182" s="262"/>
      <c r="E3182" s="81" t="s">
        <v>187</v>
      </c>
      <c r="F3182" s="81" t="s">
        <v>187</v>
      </c>
      <c r="G3182" s="81" t="s">
        <v>187</v>
      </c>
      <c r="H3182" s="81" t="s">
        <v>187</v>
      </c>
      <c r="I3182" s="81" t="s">
        <v>187</v>
      </c>
      <c r="J3182" s="81" t="s">
        <v>187</v>
      </c>
      <c r="K3182" s="81" t="s">
        <v>187</v>
      </c>
      <c r="L3182" s="81" t="s">
        <v>187</v>
      </c>
    </row>
    <row r="3183" ht="15.75" customHeight="1">
      <c r="A3183" s="262"/>
      <c r="B3183" s="262"/>
      <c r="C3183" s="263"/>
      <c r="D3183" s="262"/>
      <c r="E3183" s="81" t="s">
        <v>187</v>
      </c>
      <c r="F3183" s="81" t="s">
        <v>187</v>
      </c>
      <c r="G3183" s="81" t="s">
        <v>187</v>
      </c>
      <c r="H3183" s="81" t="s">
        <v>187</v>
      </c>
      <c r="I3183" s="81" t="s">
        <v>187</v>
      </c>
      <c r="J3183" s="81" t="s">
        <v>187</v>
      </c>
      <c r="K3183" s="81" t="s">
        <v>187</v>
      </c>
      <c r="L3183" s="81" t="s">
        <v>187</v>
      </c>
    </row>
    <row r="3184" ht="15.75" customHeight="1">
      <c r="A3184" s="262"/>
      <c r="B3184" s="262"/>
      <c r="C3184" s="263"/>
      <c r="D3184" s="262"/>
      <c r="E3184" s="81" t="s">
        <v>187</v>
      </c>
      <c r="F3184" s="81" t="s">
        <v>187</v>
      </c>
      <c r="G3184" s="81" t="s">
        <v>187</v>
      </c>
      <c r="H3184" s="81" t="s">
        <v>187</v>
      </c>
      <c r="I3184" s="81" t="s">
        <v>187</v>
      </c>
      <c r="J3184" s="81" t="s">
        <v>187</v>
      </c>
      <c r="K3184" s="81" t="s">
        <v>187</v>
      </c>
      <c r="L3184" s="81" t="s">
        <v>187</v>
      </c>
    </row>
    <row r="3185" ht="15.75" customHeight="1">
      <c r="A3185" s="262"/>
      <c r="B3185" s="262"/>
      <c r="C3185" s="263"/>
      <c r="D3185" s="262"/>
      <c r="E3185" s="81" t="s">
        <v>187</v>
      </c>
      <c r="F3185" s="81" t="s">
        <v>187</v>
      </c>
      <c r="G3185" s="81" t="s">
        <v>187</v>
      </c>
      <c r="H3185" s="81" t="s">
        <v>187</v>
      </c>
      <c r="I3185" s="81" t="s">
        <v>187</v>
      </c>
      <c r="J3185" s="81" t="s">
        <v>187</v>
      </c>
      <c r="K3185" s="81" t="s">
        <v>187</v>
      </c>
      <c r="L3185" s="81" t="s">
        <v>187</v>
      </c>
    </row>
    <row r="3186" ht="15.75" customHeight="1">
      <c r="A3186" s="262"/>
      <c r="B3186" s="262"/>
      <c r="C3186" s="263"/>
      <c r="D3186" s="262"/>
      <c r="E3186" s="81" t="s">
        <v>187</v>
      </c>
      <c r="F3186" s="81" t="s">
        <v>187</v>
      </c>
      <c r="G3186" s="81" t="s">
        <v>187</v>
      </c>
      <c r="H3186" s="81" t="s">
        <v>187</v>
      </c>
      <c r="I3186" s="81" t="s">
        <v>187</v>
      </c>
      <c r="J3186" s="81" t="s">
        <v>187</v>
      </c>
      <c r="K3186" s="81" t="s">
        <v>187</v>
      </c>
      <c r="L3186" s="81" t="s">
        <v>187</v>
      </c>
    </row>
    <row r="3187" ht="15.75" customHeight="1">
      <c r="A3187" s="262"/>
      <c r="B3187" s="262"/>
      <c r="C3187" s="263"/>
      <c r="D3187" s="262"/>
      <c r="E3187" s="81" t="s">
        <v>187</v>
      </c>
      <c r="F3187" s="81" t="s">
        <v>187</v>
      </c>
      <c r="G3187" s="81" t="s">
        <v>187</v>
      </c>
      <c r="H3187" s="81" t="s">
        <v>187</v>
      </c>
      <c r="I3187" s="81" t="s">
        <v>187</v>
      </c>
      <c r="J3187" s="81" t="s">
        <v>187</v>
      </c>
      <c r="K3187" s="81" t="s">
        <v>187</v>
      </c>
      <c r="L3187" s="81" t="s">
        <v>187</v>
      </c>
    </row>
    <row r="3188" ht="15.75" customHeight="1">
      <c r="A3188" s="262"/>
      <c r="B3188" s="262"/>
      <c r="C3188" s="263"/>
      <c r="D3188" s="262"/>
      <c r="E3188" s="81" t="s">
        <v>187</v>
      </c>
      <c r="F3188" s="81" t="s">
        <v>187</v>
      </c>
      <c r="G3188" s="81" t="s">
        <v>187</v>
      </c>
      <c r="H3188" s="81" t="s">
        <v>187</v>
      </c>
      <c r="I3188" s="81" t="s">
        <v>187</v>
      </c>
      <c r="J3188" s="81" t="s">
        <v>187</v>
      </c>
      <c r="K3188" s="81" t="s">
        <v>187</v>
      </c>
      <c r="L3188" s="81" t="s">
        <v>187</v>
      </c>
    </row>
    <row r="3189" ht="15.75" customHeight="1">
      <c r="A3189" s="262"/>
      <c r="B3189" s="262"/>
      <c r="C3189" s="263"/>
      <c r="D3189" s="262"/>
      <c r="E3189" s="81" t="s">
        <v>187</v>
      </c>
      <c r="F3189" s="81" t="s">
        <v>187</v>
      </c>
      <c r="G3189" s="81" t="s">
        <v>187</v>
      </c>
      <c r="H3189" s="81" t="s">
        <v>187</v>
      </c>
      <c r="I3189" s="81" t="s">
        <v>187</v>
      </c>
      <c r="J3189" s="81" t="s">
        <v>187</v>
      </c>
      <c r="K3189" s="81" t="s">
        <v>187</v>
      </c>
      <c r="L3189" s="81" t="s">
        <v>187</v>
      </c>
    </row>
    <row r="3190" ht="15.75" customHeight="1">
      <c r="A3190" s="262"/>
      <c r="B3190" s="262"/>
      <c r="C3190" s="263"/>
      <c r="D3190" s="262"/>
      <c r="E3190" s="81" t="s">
        <v>187</v>
      </c>
      <c r="F3190" s="81" t="s">
        <v>187</v>
      </c>
      <c r="G3190" s="81" t="s">
        <v>187</v>
      </c>
      <c r="H3190" s="81" t="s">
        <v>187</v>
      </c>
      <c r="I3190" s="81" t="s">
        <v>187</v>
      </c>
      <c r="J3190" s="81" t="s">
        <v>187</v>
      </c>
      <c r="K3190" s="81" t="s">
        <v>187</v>
      </c>
      <c r="L3190" s="81" t="s">
        <v>187</v>
      </c>
    </row>
    <row r="3191" ht="15.75" customHeight="1">
      <c r="A3191" s="262"/>
      <c r="B3191" s="262"/>
      <c r="C3191" s="263"/>
      <c r="D3191" s="262"/>
      <c r="E3191" s="81" t="s">
        <v>187</v>
      </c>
      <c r="F3191" s="81" t="s">
        <v>187</v>
      </c>
      <c r="G3191" s="81" t="s">
        <v>187</v>
      </c>
      <c r="H3191" s="81" t="s">
        <v>187</v>
      </c>
      <c r="I3191" s="81" t="s">
        <v>187</v>
      </c>
      <c r="J3191" s="81" t="s">
        <v>187</v>
      </c>
      <c r="K3191" s="81" t="s">
        <v>187</v>
      </c>
      <c r="L3191" s="81" t="s">
        <v>187</v>
      </c>
    </row>
    <row r="3192" ht="15.75" customHeight="1">
      <c r="A3192" s="262"/>
      <c r="B3192" s="262"/>
      <c r="C3192" s="263"/>
      <c r="D3192" s="262"/>
      <c r="E3192" s="81" t="s">
        <v>187</v>
      </c>
      <c r="F3192" s="81" t="s">
        <v>187</v>
      </c>
      <c r="G3192" s="81" t="s">
        <v>187</v>
      </c>
      <c r="H3192" s="81" t="s">
        <v>187</v>
      </c>
      <c r="I3192" s="81" t="s">
        <v>187</v>
      </c>
      <c r="J3192" s="81" t="s">
        <v>187</v>
      </c>
      <c r="K3192" s="81" t="s">
        <v>187</v>
      </c>
      <c r="L3192" s="81" t="s">
        <v>187</v>
      </c>
    </row>
    <row r="3193" ht="15.75" customHeight="1">
      <c r="A3193" s="262"/>
      <c r="B3193" s="262"/>
      <c r="C3193" s="263"/>
      <c r="D3193" s="262"/>
      <c r="E3193" s="81" t="s">
        <v>187</v>
      </c>
      <c r="F3193" s="81" t="s">
        <v>187</v>
      </c>
      <c r="G3193" s="81" t="s">
        <v>187</v>
      </c>
      <c r="H3193" s="81" t="s">
        <v>187</v>
      </c>
      <c r="I3193" s="81" t="s">
        <v>187</v>
      </c>
      <c r="J3193" s="81" t="s">
        <v>187</v>
      </c>
      <c r="K3193" s="81" t="s">
        <v>187</v>
      </c>
      <c r="L3193" s="81" t="s">
        <v>187</v>
      </c>
    </row>
    <row r="3194" ht="15.75" customHeight="1">
      <c r="A3194" s="262"/>
      <c r="B3194" s="262"/>
      <c r="C3194" s="263"/>
      <c r="D3194" s="262"/>
      <c r="E3194" s="81" t="s">
        <v>187</v>
      </c>
      <c r="F3194" s="81" t="s">
        <v>187</v>
      </c>
      <c r="G3194" s="81" t="s">
        <v>187</v>
      </c>
      <c r="H3194" s="81" t="s">
        <v>187</v>
      </c>
      <c r="I3194" s="81" t="s">
        <v>187</v>
      </c>
      <c r="J3194" s="81" t="s">
        <v>187</v>
      </c>
      <c r="K3194" s="81" t="s">
        <v>187</v>
      </c>
      <c r="L3194" s="81" t="s">
        <v>187</v>
      </c>
    </row>
    <row r="3195" ht="15.75" customHeight="1">
      <c r="A3195" s="262"/>
      <c r="B3195" s="262"/>
      <c r="C3195" s="263"/>
      <c r="D3195" s="262"/>
      <c r="E3195" s="81" t="s">
        <v>187</v>
      </c>
      <c r="F3195" s="81" t="s">
        <v>187</v>
      </c>
      <c r="G3195" s="81" t="s">
        <v>187</v>
      </c>
      <c r="H3195" s="81" t="s">
        <v>187</v>
      </c>
      <c r="I3195" s="81" t="s">
        <v>187</v>
      </c>
      <c r="J3195" s="81" t="s">
        <v>187</v>
      </c>
      <c r="K3195" s="81" t="s">
        <v>187</v>
      </c>
      <c r="L3195" s="81" t="s">
        <v>187</v>
      </c>
    </row>
    <row r="3196" ht="15.75" customHeight="1">
      <c r="A3196" s="262"/>
      <c r="B3196" s="262"/>
      <c r="C3196" s="263"/>
      <c r="D3196" s="262"/>
      <c r="E3196" s="81" t="s">
        <v>187</v>
      </c>
      <c r="F3196" s="81" t="s">
        <v>187</v>
      </c>
      <c r="G3196" s="81" t="s">
        <v>187</v>
      </c>
      <c r="H3196" s="81" t="s">
        <v>187</v>
      </c>
      <c r="I3196" s="81" t="s">
        <v>187</v>
      </c>
      <c r="J3196" s="81" t="s">
        <v>187</v>
      </c>
      <c r="K3196" s="81" t="s">
        <v>187</v>
      </c>
      <c r="L3196" s="81" t="s">
        <v>187</v>
      </c>
    </row>
    <row r="3197" ht="15.75" customHeight="1">
      <c r="A3197" s="262"/>
      <c r="B3197" s="262"/>
      <c r="C3197" s="263"/>
      <c r="D3197" s="262"/>
      <c r="E3197" s="81" t="s">
        <v>187</v>
      </c>
      <c r="F3197" s="81" t="s">
        <v>187</v>
      </c>
      <c r="G3197" s="81" t="s">
        <v>187</v>
      </c>
      <c r="H3197" s="81" t="s">
        <v>187</v>
      </c>
      <c r="I3197" s="81" t="s">
        <v>187</v>
      </c>
      <c r="J3197" s="81" t="s">
        <v>187</v>
      </c>
      <c r="K3197" s="81" t="s">
        <v>187</v>
      </c>
      <c r="L3197" s="81" t="s">
        <v>187</v>
      </c>
    </row>
    <row r="3198" ht="15.75" customHeight="1">
      <c r="A3198" s="262"/>
      <c r="B3198" s="262"/>
      <c r="C3198" s="263"/>
      <c r="D3198" s="262"/>
      <c r="E3198" s="81" t="s">
        <v>187</v>
      </c>
      <c r="F3198" s="81" t="s">
        <v>187</v>
      </c>
      <c r="G3198" s="81" t="s">
        <v>187</v>
      </c>
      <c r="H3198" s="81" t="s">
        <v>187</v>
      </c>
      <c r="I3198" s="81" t="s">
        <v>187</v>
      </c>
      <c r="J3198" s="81" t="s">
        <v>187</v>
      </c>
      <c r="K3198" s="81" t="s">
        <v>187</v>
      </c>
      <c r="L3198" s="81" t="s">
        <v>187</v>
      </c>
    </row>
    <row r="3199" ht="15.75" customHeight="1">
      <c r="A3199" s="262"/>
      <c r="B3199" s="262"/>
      <c r="C3199" s="263"/>
      <c r="D3199" s="262"/>
      <c r="E3199" s="81" t="s">
        <v>187</v>
      </c>
      <c r="F3199" s="81" t="s">
        <v>187</v>
      </c>
      <c r="G3199" s="81" t="s">
        <v>187</v>
      </c>
      <c r="H3199" s="81" t="s">
        <v>187</v>
      </c>
      <c r="I3199" s="81" t="s">
        <v>187</v>
      </c>
      <c r="J3199" s="81" t="s">
        <v>187</v>
      </c>
      <c r="K3199" s="81" t="s">
        <v>187</v>
      </c>
      <c r="L3199" s="81" t="s">
        <v>187</v>
      </c>
    </row>
    <row r="3200" ht="15.75" customHeight="1">
      <c r="A3200" s="262"/>
      <c r="B3200" s="262"/>
      <c r="C3200" s="263"/>
      <c r="D3200" s="262"/>
      <c r="E3200" s="81" t="s">
        <v>187</v>
      </c>
      <c r="F3200" s="81" t="s">
        <v>187</v>
      </c>
      <c r="G3200" s="81" t="s">
        <v>187</v>
      </c>
      <c r="H3200" s="81" t="s">
        <v>187</v>
      </c>
      <c r="I3200" s="81" t="s">
        <v>187</v>
      </c>
      <c r="J3200" s="81" t="s">
        <v>187</v>
      </c>
      <c r="K3200" s="81" t="s">
        <v>187</v>
      </c>
      <c r="L3200" s="81" t="s">
        <v>187</v>
      </c>
    </row>
    <row r="3201" ht="15.75" customHeight="1">
      <c r="A3201" s="262"/>
      <c r="B3201" s="262"/>
      <c r="C3201" s="263"/>
      <c r="D3201" s="262"/>
      <c r="E3201" s="81" t="s">
        <v>187</v>
      </c>
      <c r="F3201" s="81" t="s">
        <v>187</v>
      </c>
      <c r="G3201" s="81" t="s">
        <v>187</v>
      </c>
      <c r="H3201" s="81" t="s">
        <v>187</v>
      </c>
      <c r="I3201" s="81" t="s">
        <v>187</v>
      </c>
      <c r="J3201" s="81" t="s">
        <v>187</v>
      </c>
      <c r="K3201" s="81" t="s">
        <v>187</v>
      </c>
      <c r="L3201" s="81" t="s">
        <v>187</v>
      </c>
    </row>
    <row r="3202" ht="15.75" customHeight="1">
      <c r="A3202" s="262"/>
      <c r="B3202" s="262"/>
      <c r="C3202" s="263"/>
      <c r="D3202" s="262"/>
      <c r="E3202" s="81" t="s">
        <v>187</v>
      </c>
      <c r="F3202" s="81" t="s">
        <v>187</v>
      </c>
      <c r="G3202" s="81" t="s">
        <v>187</v>
      </c>
      <c r="H3202" s="81" t="s">
        <v>187</v>
      </c>
      <c r="I3202" s="81" t="s">
        <v>187</v>
      </c>
      <c r="J3202" s="81" t="s">
        <v>187</v>
      </c>
      <c r="K3202" s="81" t="s">
        <v>187</v>
      </c>
      <c r="L3202" s="81" t="s">
        <v>187</v>
      </c>
    </row>
    <row r="3203" ht="15.75" customHeight="1">
      <c r="A3203" s="262"/>
      <c r="B3203" s="262"/>
      <c r="C3203" s="263"/>
      <c r="D3203" s="262"/>
      <c r="E3203" s="81" t="s">
        <v>187</v>
      </c>
      <c r="F3203" s="81" t="s">
        <v>187</v>
      </c>
      <c r="G3203" s="81" t="s">
        <v>187</v>
      </c>
      <c r="H3203" s="81" t="s">
        <v>187</v>
      </c>
      <c r="I3203" s="81" t="s">
        <v>187</v>
      </c>
      <c r="J3203" s="81" t="s">
        <v>187</v>
      </c>
      <c r="K3203" s="81" t="s">
        <v>187</v>
      </c>
      <c r="L3203" s="81" t="s">
        <v>187</v>
      </c>
    </row>
    <row r="3204" ht="15.75" customHeight="1">
      <c r="A3204" s="262"/>
      <c r="B3204" s="262"/>
      <c r="C3204" s="263"/>
      <c r="D3204" s="262"/>
      <c r="E3204" s="81" t="s">
        <v>187</v>
      </c>
      <c r="F3204" s="81" t="s">
        <v>187</v>
      </c>
      <c r="G3204" s="81" t="s">
        <v>187</v>
      </c>
      <c r="H3204" s="81" t="s">
        <v>187</v>
      </c>
      <c r="I3204" s="81" t="s">
        <v>187</v>
      </c>
      <c r="J3204" s="81" t="s">
        <v>187</v>
      </c>
      <c r="K3204" s="81" t="s">
        <v>187</v>
      </c>
      <c r="L3204" s="81" t="s">
        <v>187</v>
      </c>
    </row>
    <row r="3205" ht="15.75" customHeight="1">
      <c r="A3205" s="262"/>
      <c r="B3205" s="262"/>
      <c r="C3205" s="263"/>
      <c r="D3205" s="262"/>
      <c r="E3205" s="81" t="s">
        <v>187</v>
      </c>
      <c r="F3205" s="81" t="s">
        <v>187</v>
      </c>
      <c r="G3205" s="81" t="s">
        <v>187</v>
      </c>
      <c r="H3205" s="81" t="s">
        <v>187</v>
      </c>
      <c r="I3205" s="81" t="s">
        <v>187</v>
      </c>
      <c r="J3205" s="81" t="s">
        <v>187</v>
      </c>
      <c r="K3205" s="81" t="s">
        <v>187</v>
      </c>
      <c r="L3205" s="81" t="s">
        <v>187</v>
      </c>
    </row>
    <row r="3206" ht="15.75" customHeight="1">
      <c r="A3206" s="262"/>
      <c r="B3206" s="262"/>
      <c r="C3206" s="263"/>
      <c r="D3206" s="262"/>
      <c r="E3206" s="81" t="s">
        <v>187</v>
      </c>
      <c r="F3206" s="81" t="s">
        <v>187</v>
      </c>
      <c r="G3206" s="81" t="s">
        <v>187</v>
      </c>
      <c r="H3206" s="81" t="s">
        <v>187</v>
      </c>
      <c r="I3206" s="81" t="s">
        <v>187</v>
      </c>
      <c r="J3206" s="81" t="s">
        <v>187</v>
      </c>
      <c r="K3206" s="81" t="s">
        <v>187</v>
      </c>
      <c r="L3206" s="81" t="s">
        <v>187</v>
      </c>
    </row>
    <row r="3207" ht="15.75" customHeight="1">
      <c r="A3207" s="262"/>
      <c r="B3207" s="262"/>
      <c r="C3207" s="263"/>
      <c r="D3207" s="262"/>
      <c r="E3207" s="81" t="s">
        <v>187</v>
      </c>
      <c r="F3207" s="81" t="s">
        <v>187</v>
      </c>
      <c r="G3207" s="81" t="s">
        <v>187</v>
      </c>
      <c r="H3207" s="81" t="s">
        <v>187</v>
      </c>
      <c r="I3207" s="81" t="s">
        <v>187</v>
      </c>
      <c r="J3207" s="81" t="s">
        <v>187</v>
      </c>
      <c r="K3207" s="81" t="s">
        <v>187</v>
      </c>
      <c r="L3207" s="81" t="s">
        <v>187</v>
      </c>
    </row>
    <row r="3208" ht="15.75" customHeight="1">
      <c r="A3208" s="262"/>
      <c r="B3208" s="262"/>
      <c r="C3208" s="263"/>
      <c r="D3208" s="262"/>
      <c r="E3208" s="81" t="s">
        <v>187</v>
      </c>
      <c r="F3208" s="81" t="s">
        <v>187</v>
      </c>
      <c r="G3208" s="81" t="s">
        <v>187</v>
      </c>
      <c r="H3208" s="81" t="s">
        <v>187</v>
      </c>
      <c r="I3208" s="81" t="s">
        <v>187</v>
      </c>
      <c r="J3208" s="81" t="s">
        <v>187</v>
      </c>
      <c r="K3208" s="81" t="s">
        <v>187</v>
      </c>
      <c r="L3208" s="81" t="s">
        <v>187</v>
      </c>
    </row>
    <row r="3209" ht="15.75" customHeight="1">
      <c r="A3209" s="262"/>
      <c r="B3209" s="262"/>
      <c r="C3209" s="263"/>
      <c r="D3209" s="262"/>
      <c r="E3209" s="81" t="s">
        <v>187</v>
      </c>
      <c r="F3209" s="81" t="s">
        <v>187</v>
      </c>
      <c r="G3209" s="81" t="s">
        <v>187</v>
      </c>
      <c r="H3209" s="81" t="s">
        <v>187</v>
      </c>
      <c r="I3209" s="81" t="s">
        <v>187</v>
      </c>
      <c r="J3209" s="81" t="s">
        <v>187</v>
      </c>
      <c r="K3209" s="81" t="s">
        <v>187</v>
      </c>
      <c r="L3209" s="81" t="s">
        <v>187</v>
      </c>
    </row>
    <row r="3210" ht="15.75" customHeight="1">
      <c r="A3210" s="262"/>
      <c r="B3210" s="262"/>
      <c r="C3210" s="263"/>
      <c r="D3210" s="262"/>
      <c r="E3210" s="81" t="s">
        <v>187</v>
      </c>
      <c r="F3210" s="81" t="s">
        <v>187</v>
      </c>
      <c r="G3210" s="81" t="s">
        <v>187</v>
      </c>
      <c r="H3210" s="81" t="s">
        <v>187</v>
      </c>
      <c r="I3210" s="81" t="s">
        <v>187</v>
      </c>
      <c r="J3210" s="81" t="s">
        <v>187</v>
      </c>
      <c r="K3210" s="81" t="s">
        <v>187</v>
      </c>
      <c r="L3210" s="81" t="s">
        <v>187</v>
      </c>
    </row>
    <row r="3211" ht="15.75" customHeight="1">
      <c r="A3211" s="262"/>
      <c r="B3211" s="262"/>
      <c r="C3211" s="263"/>
      <c r="D3211" s="262"/>
      <c r="E3211" s="81" t="s">
        <v>187</v>
      </c>
      <c r="F3211" s="81" t="s">
        <v>187</v>
      </c>
      <c r="G3211" s="81" t="s">
        <v>187</v>
      </c>
      <c r="H3211" s="81" t="s">
        <v>187</v>
      </c>
      <c r="I3211" s="81" t="s">
        <v>187</v>
      </c>
      <c r="J3211" s="81" t="s">
        <v>187</v>
      </c>
      <c r="K3211" s="81" t="s">
        <v>187</v>
      </c>
      <c r="L3211" s="81" t="s">
        <v>187</v>
      </c>
    </row>
    <row r="3212" ht="15.75" customHeight="1">
      <c r="A3212" s="262"/>
      <c r="B3212" s="262"/>
      <c r="C3212" s="263"/>
      <c r="D3212" s="262"/>
      <c r="E3212" s="81" t="s">
        <v>187</v>
      </c>
      <c r="F3212" s="81" t="s">
        <v>187</v>
      </c>
      <c r="G3212" s="81" t="s">
        <v>187</v>
      </c>
      <c r="H3212" s="81" t="s">
        <v>187</v>
      </c>
      <c r="I3212" s="81" t="s">
        <v>187</v>
      </c>
      <c r="J3212" s="81" t="s">
        <v>187</v>
      </c>
      <c r="K3212" s="81" t="s">
        <v>187</v>
      </c>
      <c r="L3212" s="81" t="s">
        <v>187</v>
      </c>
    </row>
    <row r="3213" ht="15.75" customHeight="1">
      <c r="A3213" s="262"/>
      <c r="B3213" s="262"/>
      <c r="C3213" s="263"/>
      <c r="D3213" s="262"/>
      <c r="E3213" s="81" t="s">
        <v>187</v>
      </c>
      <c r="F3213" s="81" t="s">
        <v>187</v>
      </c>
      <c r="G3213" s="81" t="s">
        <v>187</v>
      </c>
      <c r="H3213" s="81" t="s">
        <v>187</v>
      </c>
      <c r="I3213" s="81" t="s">
        <v>187</v>
      </c>
      <c r="J3213" s="81" t="s">
        <v>187</v>
      </c>
      <c r="K3213" s="81" t="s">
        <v>187</v>
      </c>
      <c r="L3213" s="81" t="s">
        <v>187</v>
      </c>
    </row>
    <row r="3214" ht="15.75" customHeight="1">
      <c r="A3214" s="262"/>
      <c r="B3214" s="262"/>
      <c r="C3214" s="263"/>
      <c r="D3214" s="262"/>
      <c r="E3214" s="81" t="s">
        <v>187</v>
      </c>
      <c r="F3214" s="81" t="s">
        <v>187</v>
      </c>
      <c r="G3214" s="81" t="s">
        <v>187</v>
      </c>
      <c r="H3214" s="81" t="s">
        <v>187</v>
      </c>
      <c r="I3214" s="81" t="s">
        <v>187</v>
      </c>
      <c r="J3214" s="81" t="s">
        <v>187</v>
      </c>
      <c r="K3214" s="81" t="s">
        <v>187</v>
      </c>
      <c r="L3214" s="81" t="s">
        <v>187</v>
      </c>
    </row>
    <row r="3215" ht="15.75" customHeight="1">
      <c r="A3215" s="262"/>
      <c r="B3215" s="262"/>
      <c r="C3215" s="263"/>
      <c r="D3215" s="262"/>
      <c r="E3215" s="81" t="s">
        <v>187</v>
      </c>
      <c r="F3215" s="81" t="s">
        <v>187</v>
      </c>
      <c r="G3215" s="81" t="s">
        <v>187</v>
      </c>
      <c r="H3215" s="81" t="s">
        <v>187</v>
      </c>
      <c r="I3215" s="81" t="s">
        <v>187</v>
      </c>
      <c r="J3215" s="81" t="s">
        <v>187</v>
      </c>
      <c r="K3215" s="81" t="s">
        <v>187</v>
      </c>
      <c r="L3215" s="81" t="s">
        <v>187</v>
      </c>
    </row>
    <row r="3216" ht="15.75" customHeight="1">
      <c r="A3216" s="262"/>
      <c r="B3216" s="262"/>
      <c r="C3216" s="263"/>
      <c r="D3216" s="262"/>
      <c r="E3216" s="81" t="s">
        <v>187</v>
      </c>
      <c r="F3216" s="81" t="s">
        <v>187</v>
      </c>
      <c r="G3216" s="81" t="s">
        <v>187</v>
      </c>
      <c r="H3216" s="81" t="s">
        <v>187</v>
      </c>
      <c r="I3216" s="81" t="s">
        <v>187</v>
      </c>
      <c r="J3216" s="81" t="s">
        <v>187</v>
      </c>
      <c r="K3216" s="81" t="s">
        <v>187</v>
      </c>
      <c r="L3216" s="81" t="s">
        <v>187</v>
      </c>
    </row>
    <row r="3217" ht="15.75" customHeight="1">
      <c r="A3217" s="262"/>
      <c r="B3217" s="262"/>
      <c r="C3217" s="263"/>
      <c r="D3217" s="262"/>
      <c r="E3217" s="81" t="s">
        <v>187</v>
      </c>
      <c r="F3217" s="81" t="s">
        <v>187</v>
      </c>
      <c r="G3217" s="81" t="s">
        <v>187</v>
      </c>
      <c r="H3217" s="81" t="s">
        <v>187</v>
      </c>
      <c r="I3217" s="81" t="s">
        <v>187</v>
      </c>
      <c r="J3217" s="81" t="s">
        <v>187</v>
      </c>
      <c r="K3217" s="81" t="s">
        <v>187</v>
      </c>
      <c r="L3217" s="81" t="s">
        <v>187</v>
      </c>
    </row>
    <row r="3218" ht="15.75" customHeight="1">
      <c r="A3218" s="262"/>
      <c r="B3218" s="262"/>
      <c r="C3218" s="263"/>
      <c r="D3218" s="262"/>
      <c r="E3218" s="81" t="s">
        <v>187</v>
      </c>
      <c r="F3218" s="81" t="s">
        <v>187</v>
      </c>
      <c r="G3218" s="81" t="s">
        <v>187</v>
      </c>
      <c r="H3218" s="81" t="s">
        <v>187</v>
      </c>
      <c r="I3218" s="81" t="s">
        <v>187</v>
      </c>
      <c r="J3218" s="81" t="s">
        <v>187</v>
      </c>
      <c r="K3218" s="81" t="s">
        <v>187</v>
      </c>
      <c r="L3218" s="81" t="s">
        <v>187</v>
      </c>
    </row>
    <row r="3219" ht="15.75" customHeight="1">
      <c r="A3219" s="262"/>
      <c r="B3219" s="262"/>
      <c r="C3219" s="263"/>
      <c r="D3219" s="262"/>
      <c r="E3219" s="81" t="s">
        <v>187</v>
      </c>
      <c r="F3219" s="81" t="s">
        <v>187</v>
      </c>
      <c r="G3219" s="81" t="s">
        <v>187</v>
      </c>
      <c r="H3219" s="81" t="s">
        <v>187</v>
      </c>
      <c r="I3219" s="81" t="s">
        <v>187</v>
      </c>
      <c r="J3219" s="81" t="s">
        <v>187</v>
      </c>
      <c r="K3219" s="81" t="s">
        <v>187</v>
      </c>
      <c r="L3219" s="81" t="s">
        <v>187</v>
      </c>
    </row>
    <row r="3220" ht="15.75" customHeight="1">
      <c r="A3220" s="262"/>
      <c r="B3220" s="262"/>
      <c r="C3220" s="263"/>
      <c r="D3220" s="262"/>
      <c r="E3220" s="81" t="s">
        <v>187</v>
      </c>
      <c r="F3220" s="81" t="s">
        <v>187</v>
      </c>
      <c r="G3220" s="81" t="s">
        <v>187</v>
      </c>
      <c r="H3220" s="81" t="s">
        <v>187</v>
      </c>
      <c r="I3220" s="81" t="s">
        <v>187</v>
      </c>
      <c r="J3220" s="81" t="s">
        <v>187</v>
      </c>
      <c r="K3220" s="81" t="s">
        <v>187</v>
      </c>
      <c r="L3220" s="81" t="s">
        <v>187</v>
      </c>
    </row>
    <row r="3221" ht="15.75" customHeight="1">
      <c r="A3221" s="262"/>
      <c r="B3221" s="262"/>
      <c r="C3221" s="263"/>
      <c r="D3221" s="262"/>
      <c r="E3221" s="81" t="s">
        <v>187</v>
      </c>
      <c r="F3221" s="81" t="s">
        <v>187</v>
      </c>
      <c r="G3221" s="81" t="s">
        <v>187</v>
      </c>
      <c r="H3221" s="81" t="s">
        <v>187</v>
      </c>
      <c r="I3221" s="81" t="s">
        <v>187</v>
      </c>
      <c r="J3221" s="81" t="s">
        <v>187</v>
      </c>
      <c r="K3221" s="81" t="s">
        <v>187</v>
      </c>
      <c r="L3221" s="81" t="s">
        <v>187</v>
      </c>
    </row>
    <row r="3222" ht="15.75" customHeight="1">
      <c r="A3222" s="262"/>
      <c r="B3222" s="262"/>
      <c r="C3222" s="263"/>
      <c r="D3222" s="262"/>
      <c r="E3222" s="81" t="s">
        <v>187</v>
      </c>
      <c r="F3222" s="81" t="s">
        <v>187</v>
      </c>
      <c r="G3222" s="81" t="s">
        <v>187</v>
      </c>
      <c r="H3222" s="81" t="s">
        <v>187</v>
      </c>
      <c r="I3222" s="81" t="s">
        <v>187</v>
      </c>
      <c r="J3222" s="81" t="s">
        <v>187</v>
      </c>
      <c r="K3222" s="81" t="s">
        <v>187</v>
      </c>
      <c r="L3222" s="81" t="s">
        <v>187</v>
      </c>
    </row>
    <row r="3223" ht="15.75" customHeight="1">
      <c r="A3223" s="262"/>
      <c r="B3223" s="262"/>
      <c r="C3223" s="263"/>
      <c r="D3223" s="262"/>
      <c r="E3223" s="81" t="s">
        <v>187</v>
      </c>
      <c r="F3223" s="81" t="s">
        <v>187</v>
      </c>
      <c r="G3223" s="81" t="s">
        <v>187</v>
      </c>
      <c r="H3223" s="81" t="s">
        <v>187</v>
      </c>
      <c r="I3223" s="81" t="s">
        <v>187</v>
      </c>
      <c r="J3223" s="81" t="s">
        <v>187</v>
      </c>
      <c r="K3223" s="81" t="s">
        <v>187</v>
      </c>
      <c r="L3223" s="81" t="s">
        <v>187</v>
      </c>
    </row>
    <row r="3224" ht="15.75" customHeight="1">
      <c r="A3224" s="262"/>
      <c r="B3224" s="262"/>
      <c r="C3224" s="263"/>
      <c r="D3224" s="262"/>
      <c r="E3224" s="81" t="s">
        <v>187</v>
      </c>
      <c r="F3224" s="81" t="s">
        <v>187</v>
      </c>
      <c r="G3224" s="81" t="s">
        <v>187</v>
      </c>
      <c r="H3224" s="81" t="s">
        <v>187</v>
      </c>
      <c r="I3224" s="81" t="s">
        <v>187</v>
      </c>
      <c r="J3224" s="81" t="s">
        <v>187</v>
      </c>
      <c r="K3224" s="81" t="s">
        <v>187</v>
      </c>
      <c r="L3224" s="81" t="s">
        <v>187</v>
      </c>
    </row>
    <row r="3225" ht="15.75" customHeight="1">
      <c r="A3225" s="262"/>
      <c r="B3225" s="262"/>
      <c r="C3225" s="263"/>
      <c r="D3225" s="262"/>
      <c r="E3225" s="81" t="s">
        <v>187</v>
      </c>
      <c r="F3225" s="81" t="s">
        <v>187</v>
      </c>
      <c r="G3225" s="81" t="s">
        <v>187</v>
      </c>
      <c r="H3225" s="81" t="s">
        <v>187</v>
      </c>
      <c r="I3225" s="81" t="s">
        <v>187</v>
      </c>
      <c r="J3225" s="81" t="s">
        <v>187</v>
      </c>
      <c r="K3225" s="81" t="s">
        <v>187</v>
      </c>
      <c r="L3225" s="81" t="s">
        <v>187</v>
      </c>
    </row>
    <row r="3226" ht="15.75" customHeight="1">
      <c r="A3226" s="262"/>
      <c r="B3226" s="262"/>
      <c r="C3226" s="263"/>
      <c r="D3226" s="262"/>
      <c r="E3226" s="81" t="s">
        <v>187</v>
      </c>
      <c r="F3226" s="81" t="s">
        <v>187</v>
      </c>
      <c r="G3226" s="81" t="s">
        <v>187</v>
      </c>
      <c r="H3226" s="81" t="s">
        <v>187</v>
      </c>
      <c r="I3226" s="81" t="s">
        <v>187</v>
      </c>
      <c r="J3226" s="81" t="s">
        <v>187</v>
      </c>
      <c r="K3226" s="81" t="s">
        <v>187</v>
      </c>
      <c r="L3226" s="81" t="s">
        <v>187</v>
      </c>
    </row>
    <row r="3227" ht="15.75" customHeight="1">
      <c r="A3227" s="262"/>
      <c r="B3227" s="262"/>
      <c r="C3227" s="263"/>
      <c r="D3227" s="262"/>
      <c r="E3227" s="81" t="s">
        <v>187</v>
      </c>
      <c r="F3227" s="81" t="s">
        <v>187</v>
      </c>
      <c r="G3227" s="81" t="s">
        <v>187</v>
      </c>
      <c r="H3227" s="81" t="s">
        <v>187</v>
      </c>
      <c r="I3227" s="81" t="s">
        <v>187</v>
      </c>
      <c r="J3227" s="81" t="s">
        <v>187</v>
      </c>
      <c r="K3227" s="81" t="s">
        <v>187</v>
      </c>
      <c r="L3227" s="81" t="s">
        <v>187</v>
      </c>
    </row>
    <row r="3228" ht="15.75" customHeight="1">
      <c r="A3228" s="262"/>
      <c r="B3228" s="262"/>
      <c r="C3228" s="263"/>
      <c r="D3228" s="262"/>
      <c r="E3228" s="81" t="s">
        <v>187</v>
      </c>
      <c r="F3228" s="81" t="s">
        <v>187</v>
      </c>
      <c r="G3228" s="81" t="s">
        <v>187</v>
      </c>
      <c r="H3228" s="81" t="s">
        <v>187</v>
      </c>
      <c r="I3228" s="81" t="s">
        <v>187</v>
      </c>
      <c r="J3228" s="81" t="s">
        <v>187</v>
      </c>
      <c r="K3228" s="81" t="s">
        <v>187</v>
      </c>
      <c r="L3228" s="81" t="s">
        <v>187</v>
      </c>
    </row>
    <row r="3229" ht="15.75" customHeight="1">
      <c r="A3229" s="262"/>
      <c r="B3229" s="262"/>
      <c r="C3229" s="263"/>
      <c r="D3229" s="262"/>
      <c r="E3229" s="81" t="s">
        <v>187</v>
      </c>
      <c r="F3229" s="81" t="s">
        <v>187</v>
      </c>
      <c r="G3229" s="81" t="s">
        <v>187</v>
      </c>
      <c r="H3229" s="81" t="s">
        <v>187</v>
      </c>
      <c r="I3229" s="81" t="s">
        <v>187</v>
      </c>
      <c r="J3229" s="81" t="s">
        <v>187</v>
      </c>
      <c r="K3229" s="81" t="s">
        <v>187</v>
      </c>
      <c r="L3229" s="81" t="s">
        <v>187</v>
      </c>
    </row>
    <row r="3230" ht="15.75" customHeight="1">
      <c r="A3230" s="262"/>
      <c r="B3230" s="262"/>
      <c r="C3230" s="263"/>
      <c r="D3230" s="262"/>
      <c r="E3230" s="81" t="s">
        <v>187</v>
      </c>
      <c r="F3230" s="81" t="s">
        <v>187</v>
      </c>
      <c r="G3230" s="81" t="s">
        <v>187</v>
      </c>
      <c r="H3230" s="81" t="s">
        <v>187</v>
      </c>
      <c r="I3230" s="81" t="s">
        <v>187</v>
      </c>
      <c r="J3230" s="81" t="s">
        <v>187</v>
      </c>
      <c r="K3230" s="81" t="s">
        <v>187</v>
      </c>
      <c r="L3230" s="81" t="s">
        <v>187</v>
      </c>
    </row>
    <row r="3231" ht="15.75" customHeight="1">
      <c r="A3231" s="262"/>
      <c r="B3231" s="262"/>
      <c r="C3231" s="263"/>
      <c r="D3231" s="262"/>
      <c r="E3231" s="81" t="s">
        <v>187</v>
      </c>
      <c r="F3231" s="81" t="s">
        <v>187</v>
      </c>
      <c r="G3231" s="81" t="s">
        <v>187</v>
      </c>
      <c r="H3231" s="81" t="s">
        <v>187</v>
      </c>
      <c r="I3231" s="81" t="s">
        <v>187</v>
      </c>
      <c r="J3231" s="81" t="s">
        <v>187</v>
      </c>
      <c r="K3231" s="81" t="s">
        <v>187</v>
      </c>
      <c r="L3231" s="81" t="s">
        <v>187</v>
      </c>
    </row>
    <row r="3232" ht="15.75" customHeight="1">
      <c r="A3232" s="262"/>
      <c r="B3232" s="262"/>
      <c r="C3232" s="263"/>
      <c r="D3232" s="262"/>
      <c r="E3232" s="81" t="s">
        <v>187</v>
      </c>
      <c r="F3232" s="81" t="s">
        <v>187</v>
      </c>
      <c r="G3232" s="81" t="s">
        <v>187</v>
      </c>
      <c r="H3232" s="81" t="s">
        <v>187</v>
      </c>
      <c r="I3232" s="81" t="s">
        <v>187</v>
      </c>
      <c r="J3232" s="81" t="s">
        <v>187</v>
      </c>
      <c r="K3232" s="81" t="s">
        <v>187</v>
      </c>
      <c r="L3232" s="81" t="s">
        <v>187</v>
      </c>
    </row>
    <row r="3233" ht="15.75" customHeight="1">
      <c r="A3233" s="262"/>
      <c r="B3233" s="262"/>
      <c r="C3233" s="263"/>
      <c r="D3233" s="262"/>
      <c r="E3233" s="81" t="s">
        <v>187</v>
      </c>
      <c r="F3233" s="81" t="s">
        <v>187</v>
      </c>
      <c r="G3233" s="81" t="s">
        <v>187</v>
      </c>
      <c r="H3233" s="81" t="s">
        <v>187</v>
      </c>
      <c r="I3233" s="81" t="s">
        <v>187</v>
      </c>
      <c r="J3233" s="81" t="s">
        <v>187</v>
      </c>
      <c r="K3233" s="81" t="s">
        <v>187</v>
      </c>
      <c r="L3233" s="81" t="s">
        <v>187</v>
      </c>
    </row>
    <row r="3234" ht="15.75" customHeight="1">
      <c r="A3234" s="262"/>
      <c r="B3234" s="262"/>
      <c r="C3234" s="263"/>
      <c r="D3234" s="262"/>
      <c r="E3234" s="81" t="s">
        <v>187</v>
      </c>
      <c r="F3234" s="81" t="s">
        <v>187</v>
      </c>
      <c r="G3234" s="81" t="s">
        <v>187</v>
      </c>
      <c r="H3234" s="81" t="s">
        <v>187</v>
      </c>
      <c r="I3234" s="81" t="s">
        <v>187</v>
      </c>
      <c r="J3234" s="81" t="s">
        <v>187</v>
      </c>
      <c r="K3234" s="81" t="s">
        <v>187</v>
      </c>
      <c r="L3234" s="81" t="s">
        <v>187</v>
      </c>
    </row>
    <row r="3235" ht="15.75" customHeight="1">
      <c r="A3235" s="262"/>
      <c r="B3235" s="262"/>
      <c r="C3235" s="263"/>
      <c r="D3235" s="262"/>
      <c r="E3235" s="81" t="s">
        <v>187</v>
      </c>
      <c r="F3235" s="81" t="s">
        <v>187</v>
      </c>
      <c r="G3235" s="81" t="s">
        <v>187</v>
      </c>
      <c r="H3235" s="81" t="s">
        <v>187</v>
      </c>
      <c r="I3235" s="81" t="s">
        <v>187</v>
      </c>
      <c r="J3235" s="81" t="s">
        <v>187</v>
      </c>
      <c r="K3235" s="81" t="s">
        <v>187</v>
      </c>
      <c r="L3235" s="81" t="s">
        <v>187</v>
      </c>
    </row>
    <row r="3236" ht="15.75" customHeight="1">
      <c r="A3236" s="262"/>
      <c r="B3236" s="262"/>
      <c r="C3236" s="263"/>
      <c r="D3236" s="262"/>
      <c r="E3236" s="81" t="s">
        <v>187</v>
      </c>
      <c r="F3236" s="81" t="s">
        <v>187</v>
      </c>
      <c r="G3236" s="81" t="s">
        <v>187</v>
      </c>
      <c r="H3236" s="81" t="s">
        <v>187</v>
      </c>
      <c r="I3236" s="81" t="s">
        <v>187</v>
      </c>
      <c r="J3236" s="81" t="s">
        <v>187</v>
      </c>
      <c r="K3236" s="81" t="s">
        <v>187</v>
      </c>
      <c r="L3236" s="81" t="s">
        <v>187</v>
      </c>
    </row>
    <row r="3237" ht="15.75" customHeight="1">
      <c r="A3237" s="262"/>
      <c r="B3237" s="262"/>
      <c r="C3237" s="263"/>
      <c r="D3237" s="262"/>
      <c r="E3237" s="81" t="s">
        <v>187</v>
      </c>
      <c r="F3237" s="81" t="s">
        <v>187</v>
      </c>
      <c r="G3237" s="81" t="s">
        <v>187</v>
      </c>
      <c r="H3237" s="81" t="s">
        <v>187</v>
      </c>
      <c r="I3237" s="81" t="s">
        <v>187</v>
      </c>
      <c r="J3237" s="81" t="s">
        <v>187</v>
      </c>
      <c r="K3237" s="81" t="s">
        <v>187</v>
      </c>
      <c r="L3237" s="81" t="s">
        <v>187</v>
      </c>
    </row>
    <row r="3238" ht="15.75" customHeight="1">
      <c r="A3238" s="262"/>
      <c r="B3238" s="262"/>
      <c r="C3238" s="263"/>
      <c r="D3238" s="262"/>
      <c r="E3238" s="81" t="s">
        <v>187</v>
      </c>
      <c r="F3238" s="81" t="s">
        <v>187</v>
      </c>
      <c r="G3238" s="81" t="s">
        <v>187</v>
      </c>
      <c r="H3238" s="81" t="s">
        <v>187</v>
      </c>
      <c r="I3238" s="81" t="s">
        <v>187</v>
      </c>
      <c r="J3238" s="81" t="s">
        <v>187</v>
      </c>
      <c r="K3238" s="81" t="s">
        <v>187</v>
      </c>
      <c r="L3238" s="81" t="s">
        <v>187</v>
      </c>
    </row>
    <row r="3239" ht="15.75" customHeight="1">
      <c r="A3239" s="262"/>
      <c r="B3239" s="262"/>
      <c r="C3239" s="263"/>
      <c r="D3239" s="262"/>
      <c r="E3239" s="81" t="s">
        <v>187</v>
      </c>
      <c r="F3239" s="81" t="s">
        <v>187</v>
      </c>
      <c r="G3239" s="81" t="s">
        <v>187</v>
      </c>
      <c r="H3239" s="81" t="s">
        <v>187</v>
      </c>
      <c r="I3239" s="81" t="s">
        <v>187</v>
      </c>
      <c r="J3239" s="81" t="s">
        <v>187</v>
      </c>
      <c r="K3239" s="81" t="s">
        <v>187</v>
      </c>
      <c r="L3239" s="81" t="s">
        <v>187</v>
      </c>
    </row>
    <row r="3240" ht="15.75" customHeight="1">
      <c r="A3240" s="262"/>
      <c r="B3240" s="262"/>
      <c r="C3240" s="263"/>
      <c r="D3240" s="262"/>
      <c r="E3240" s="81" t="s">
        <v>187</v>
      </c>
      <c r="F3240" s="81" t="s">
        <v>187</v>
      </c>
      <c r="G3240" s="81" t="s">
        <v>187</v>
      </c>
      <c r="H3240" s="81" t="s">
        <v>187</v>
      </c>
      <c r="I3240" s="81" t="s">
        <v>187</v>
      </c>
      <c r="J3240" s="81" t="s">
        <v>187</v>
      </c>
      <c r="K3240" s="81" t="s">
        <v>187</v>
      </c>
      <c r="L3240" s="81" t="s">
        <v>187</v>
      </c>
    </row>
    <row r="3241" ht="15.75" customHeight="1">
      <c r="A3241" s="262"/>
      <c r="B3241" s="262"/>
      <c r="C3241" s="263"/>
      <c r="D3241" s="262"/>
      <c r="E3241" s="81" t="s">
        <v>187</v>
      </c>
      <c r="F3241" s="81" t="s">
        <v>187</v>
      </c>
      <c r="G3241" s="81" t="s">
        <v>187</v>
      </c>
      <c r="H3241" s="81" t="s">
        <v>187</v>
      </c>
      <c r="I3241" s="81" t="s">
        <v>187</v>
      </c>
      <c r="J3241" s="81" t="s">
        <v>187</v>
      </c>
      <c r="K3241" s="81" t="s">
        <v>187</v>
      </c>
      <c r="L3241" s="81" t="s">
        <v>187</v>
      </c>
    </row>
    <row r="3242" ht="15.75" customHeight="1">
      <c r="A3242" s="262"/>
      <c r="B3242" s="262"/>
      <c r="C3242" s="263"/>
      <c r="D3242" s="262"/>
      <c r="E3242" s="81" t="s">
        <v>187</v>
      </c>
      <c r="F3242" s="81" t="s">
        <v>187</v>
      </c>
      <c r="G3242" s="81" t="s">
        <v>187</v>
      </c>
      <c r="H3242" s="81" t="s">
        <v>187</v>
      </c>
      <c r="I3242" s="81" t="s">
        <v>187</v>
      </c>
      <c r="J3242" s="81" t="s">
        <v>187</v>
      </c>
      <c r="K3242" s="81" t="s">
        <v>187</v>
      </c>
      <c r="L3242" s="81" t="s">
        <v>187</v>
      </c>
    </row>
    <row r="3243" ht="15.75" customHeight="1">
      <c r="A3243" s="262"/>
      <c r="B3243" s="262"/>
      <c r="C3243" s="263"/>
      <c r="D3243" s="262"/>
      <c r="E3243" s="81" t="s">
        <v>187</v>
      </c>
      <c r="F3243" s="81" t="s">
        <v>187</v>
      </c>
      <c r="G3243" s="81" t="s">
        <v>187</v>
      </c>
      <c r="H3243" s="81" t="s">
        <v>187</v>
      </c>
      <c r="I3243" s="81" t="s">
        <v>187</v>
      </c>
      <c r="J3243" s="81" t="s">
        <v>187</v>
      </c>
      <c r="K3243" s="81" t="s">
        <v>187</v>
      </c>
      <c r="L3243" s="81" t="s">
        <v>187</v>
      </c>
    </row>
    <row r="3244" ht="15.75" customHeight="1">
      <c r="A3244" s="262"/>
      <c r="B3244" s="262"/>
      <c r="C3244" s="263"/>
      <c r="D3244" s="262"/>
      <c r="E3244" s="81" t="s">
        <v>187</v>
      </c>
      <c r="F3244" s="81" t="s">
        <v>187</v>
      </c>
      <c r="G3244" s="81" t="s">
        <v>187</v>
      </c>
      <c r="H3244" s="81" t="s">
        <v>187</v>
      </c>
      <c r="I3244" s="81" t="s">
        <v>187</v>
      </c>
      <c r="J3244" s="81" t="s">
        <v>187</v>
      </c>
      <c r="K3244" s="81" t="s">
        <v>187</v>
      </c>
      <c r="L3244" s="81" t="s">
        <v>187</v>
      </c>
    </row>
    <row r="3245" ht="15.75" customHeight="1">
      <c r="A3245" s="262"/>
      <c r="B3245" s="262"/>
      <c r="C3245" s="263"/>
      <c r="D3245" s="262"/>
      <c r="E3245" s="81" t="s">
        <v>187</v>
      </c>
      <c r="F3245" s="81" t="s">
        <v>187</v>
      </c>
      <c r="G3245" s="81" t="s">
        <v>187</v>
      </c>
      <c r="H3245" s="81" t="s">
        <v>187</v>
      </c>
      <c r="I3245" s="81" t="s">
        <v>187</v>
      </c>
      <c r="J3245" s="81" t="s">
        <v>187</v>
      </c>
      <c r="K3245" s="81" t="s">
        <v>187</v>
      </c>
      <c r="L3245" s="81" t="s">
        <v>187</v>
      </c>
    </row>
    <row r="3246" ht="15.75" customHeight="1">
      <c r="A3246" s="262"/>
      <c r="B3246" s="262"/>
      <c r="C3246" s="263"/>
      <c r="D3246" s="262"/>
      <c r="E3246" s="81" t="s">
        <v>187</v>
      </c>
      <c r="F3246" s="81" t="s">
        <v>187</v>
      </c>
      <c r="G3246" s="81" t="s">
        <v>187</v>
      </c>
      <c r="H3246" s="81" t="s">
        <v>187</v>
      </c>
      <c r="I3246" s="81" t="s">
        <v>187</v>
      </c>
      <c r="J3246" s="81" t="s">
        <v>187</v>
      </c>
      <c r="K3246" s="81" t="s">
        <v>187</v>
      </c>
      <c r="L3246" s="81" t="s">
        <v>187</v>
      </c>
    </row>
    <row r="3247" ht="15.75" customHeight="1">
      <c r="A3247" s="262"/>
      <c r="B3247" s="262"/>
      <c r="C3247" s="263"/>
      <c r="D3247" s="262"/>
      <c r="E3247" s="81" t="s">
        <v>187</v>
      </c>
      <c r="F3247" s="81" t="s">
        <v>187</v>
      </c>
      <c r="G3247" s="81" t="s">
        <v>187</v>
      </c>
      <c r="H3247" s="81" t="s">
        <v>187</v>
      </c>
      <c r="I3247" s="81" t="s">
        <v>187</v>
      </c>
      <c r="J3247" s="81" t="s">
        <v>187</v>
      </c>
      <c r="K3247" s="81" t="s">
        <v>187</v>
      </c>
      <c r="L3247" s="81" t="s">
        <v>187</v>
      </c>
    </row>
    <row r="3248" ht="15.75" customHeight="1">
      <c r="A3248" s="262"/>
      <c r="B3248" s="262"/>
      <c r="C3248" s="263"/>
      <c r="D3248" s="262"/>
      <c r="E3248" s="81" t="s">
        <v>187</v>
      </c>
      <c r="F3248" s="81" t="s">
        <v>187</v>
      </c>
      <c r="G3248" s="81" t="s">
        <v>187</v>
      </c>
      <c r="H3248" s="81" t="s">
        <v>187</v>
      </c>
      <c r="I3248" s="81" t="s">
        <v>187</v>
      </c>
      <c r="J3248" s="81" t="s">
        <v>187</v>
      </c>
      <c r="K3248" s="81" t="s">
        <v>187</v>
      </c>
      <c r="L3248" s="81" t="s">
        <v>187</v>
      </c>
    </row>
    <row r="3249" ht="15.75" customHeight="1">
      <c r="A3249" s="262"/>
      <c r="B3249" s="262"/>
      <c r="C3249" s="263"/>
      <c r="D3249" s="262"/>
      <c r="E3249" s="81" t="s">
        <v>187</v>
      </c>
      <c r="F3249" s="81" t="s">
        <v>187</v>
      </c>
      <c r="G3249" s="81" t="s">
        <v>187</v>
      </c>
      <c r="H3249" s="81" t="s">
        <v>187</v>
      </c>
      <c r="I3249" s="81" t="s">
        <v>187</v>
      </c>
      <c r="J3249" s="81" t="s">
        <v>187</v>
      </c>
      <c r="K3249" s="81" t="s">
        <v>187</v>
      </c>
      <c r="L3249" s="81" t="s">
        <v>187</v>
      </c>
    </row>
    <row r="3250" ht="15.75" customHeight="1">
      <c r="A3250" s="262"/>
      <c r="B3250" s="262"/>
      <c r="C3250" s="263"/>
      <c r="D3250" s="262"/>
      <c r="E3250" s="81" t="s">
        <v>187</v>
      </c>
      <c r="F3250" s="81" t="s">
        <v>187</v>
      </c>
      <c r="G3250" s="81" t="s">
        <v>187</v>
      </c>
      <c r="H3250" s="81" t="s">
        <v>187</v>
      </c>
      <c r="I3250" s="81" t="s">
        <v>187</v>
      </c>
      <c r="J3250" s="81" t="s">
        <v>187</v>
      </c>
      <c r="K3250" s="81" t="s">
        <v>187</v>
      </c>
      <c r="L3250" s="81" t="s">
        <v>187</v>
      </c>
    </row>
    <row r="3251" ht="15.75" customHeight="1">
      <c r="A3251" s="262"/>
      <c r="B3251" s="262"/>
      <c r="C3251" s="263"/>
      <c r="D3251" s="262"/>
      <c r="E3251" s="81" t="s">
        <v>187</v>
      </c>
      <c r="F3251" s="81" t="s">
        <v>187</v>
      </c>
      <c r="G3251" s="81" t="s">
        <v>187</v>
      </c>
      <c r="H3251" s="81" t="s">
        <v>187</v>
      </c>
      <c r="I3251" s="81" t="s">
        <v>187</v>
      </c>
      <c r="J3251" s="81" t="s">
        <v>187</v>
      </c>
      <c r="K3251" s="81" t="s">
        <v>187</v>
      </c>
      <c r="L3251" s="81" t="s">
        <v>187</v>
      </c>
    </row>
    <row r="3252" ht="15.75" customHeight="1">
      <c r="A3252" s="262"/>
      <c r="B3252" s="262"/>
      <c r="C3252" s="263"/>
      <c r="D3252" s="262"/>
      <c r="E3252" s="81" t="s">
        <v>187</v>
      </c>
      <c r="F3252" s="81" t="s">
        <v>187</v>
      </c>
      <c r="G3252" s="81" t="s">
        <v>187</v>
      </c>
      <c r="H3252" s="81" t="s">
        <v>187</v>
      </c>
      <c r="I3252" s="81" t="s">
        <v>187</v>
      </c>
      <c r="J3252" s="81" t="s">
        <v>187</v>
      </c>
      <c r="K3252" s="81" t="s">
        <v>187</v>
      </c>
      <c r="L3252" s="81" t="s">
        <v>187</v>
      </c>
    </row>
    <row r="3253" ht="15.75" customHeight="1">
      <c r="A3253" s="262"/>
      <c r="B3253" s="262"/>
      <c r="C3253" s="263"/>
      <c r="D3253" s="262"/>
      <c r="E3253" s="81" t="s">
        <v>187</v>
      </c>
      <c r="F3253" s="81" t="s">
        <v>187</v>
      </c>
      <c r="G3253" s="81" t="s">
        <v>187</v>
      </c>
      <c r="H3253" s="81" t="s">
        <v>187</v>
      </c>
      <c r="I3253" s="81" t="s">
        <v>187</v>
      </c>
      <c r="J3253" s="81" t="s">
        <v>187</v>
      </c>
      <c r="K3253" s="81" t="s">
        <v>187</v>
      </c>
      <c r="L3253" s="81" t="s">
        <v>187</v>
      </c>
    </row>
    <row r="3254" ht="15.75" customHeight="1">
      <c r="A3254" s="262"/>
      <c r="B3254" s="262"/>
      <c r="C3254" s="263"/>
      <c r="D3254" s="262"/>
      <c r="E3254" s="81" t="s">
        <v>187</v>
      </c>
      <c r="F3254" s="81" t="s">
        <v>187</v>
      </c>
      <c r="G3254" s="81" t="s">
        <v>187</v>
      </c>
      <c r="H3254" s="81" t="s">
        <v>187</v>
      </c>
      <c r="I3254" s="81" t="s">
        <v>187</v>
      </c>
      <c r="J3254" s="81" t="s">
        <v>187</v>
      </c>
      <c r="K3254" s="81" t="s">
        <v>187</v>
      </c>
      <c r="L3254" s="81" t="s">
        <v>187</v>
      </c>
    </row>
    <row r="3255" ht="15.75" customHeight="1">
      <c r="A3255" s="262"/>
      <c r="B3255" s="262"/>
      <c r="C3255" s="263"/>
      <c r="D3255" s="262"/>
      <c r="E3255" s="81" t="s">
        <v>187</v>
      </c>
      <c r="F3255" s="81" t="s">
        <v>187</v>
      </c>
      <c r="G3255" s="81" t="s">
        <v>187</v>
      </c>
      <c r="H3255" s="81" t="s">
        <v>187</v>
      </c>
      <c r="I3255" s="81" t="s">
        <v>187</v>
      </c>
      <c r="J3255" s="81" t="s">
        <v>187</v>
      </c>
      <c r="K3255" s="81" t="s">
        <v>187</v>
      </c>
      <c r="L3255" s="81" t="s">
        <v>187</v>
      </c>
    </row>
    <row r="3256" ht="15.75" customHeight="1">
      <c r="A3256" s="262"/>
      <c r="B3256" s="262"/>
      <c r="C3256" s="263"/>
      <c r="D3256" s="262"/>
      <c r="E3256" s="81" t="s">
        <v>187</v>
      </c>
      <c r="F3256" s="81" t="s">
        <v>187</v>
      </c>
      <c r="G3256" s="81" t="s">
        <v>187</v>
      </c>
      <c r="H3256" s="81" t="s">
        <v>187</v>
      </c>
      <c r="I3256" s="81" t="s">
        <v>187</v>
      </c>
      <c r="J3256" s="81" t="s">
        <v>187</v>
      </c>
      <c r="K3256" s="81" t="s">
        <v>187</v>
      </c>
      <c r="L3256" s="81" t="s">
        <v>187</v>
      </c>
    </row>
    <row r="3257" ht="15.75" customHeight="1">
      <c r="A3257" s="262"/>
      <c r="B3257" s="262"/>
      <c r="C3257" s="263"/>
      <c r="D3257" s="262"/>
      <c r="E3257" s="81" t="s">
        <v>187</v>
      </c>
      <c r="F3257" s="81" t="s">
        <v>187</v>
      </c>
      <c r="G3257" s="81" t="s">
        <v>187</v>
      </c>
      <c r="H3257" s="81" t="s">
        <v>187</v>
      </c>
      <c r="I3257" s="81" t="s">
        <v>187</v>
      </c>
      <c r="J3257" s="81" t="s">
        <v>187</v>
      </c>
      <c r="K3257" s="81" t="s">
        <v>187</v>
      </c>
      <c r="L3257" s="81" t="s">
        <v>187</v>
      </c>
    </row>
    <row r="3258" ht="15.75" customHeight="1">
      <c r="A3258" s="262"/>
      <c r="B3258" s="262"/>
      <c r="C3258" s="263"/>
      <c r="D3258" s="262"/>
      <c r="E3258" s="81" t="s">
        <v>187</v>
      </c>
      <c r="F3258" s="81" t="s">
        <v>187</v>
      </c>
      <c r="G3258" s="81" t="s">
        <v>187</v>
      </c>
      <c r="H3258" s="81" t="s">
        <v>187</v>
      </c>
      <c r="I3258" s="81" t="s">
        <v>187</v>
      </c>
      <c r="J3258" s="81" t="s">
        <v>187</v>
      </c>
      <c r="K3258" s="81" t="s">
        <v>187</v>
      </c>
      <c r="L3258" s="81" t="s">
        <v>187</v>
      </c>
    </row>
    <row r="3259" ht="15.75" customHeight="1">
      <c r="A3259" s="262"/>
      <c r="B3259" s="262"/>
      <c r="C3259" s="263"/>
      <c r="D3259" s="262"/>
      <c r="E3259" s="81" t="s">
        <v>187</v>
      </c>
      <c r="F3259" s="81" t="s">
        <v>187</v>
      </c>
      <c r="G3259" s="81" t="s">
        <v>187</v>
      </c>
      <c r="H3259" s="81" t="s">
        <v>187</v>
      </c>
      <c r="I3259" s="81" t="s">
        <v>187</v>
      </c>
      <c r="J3259" s="81" t="s">
        <v>187</v>
      </c>
      <c r="K3259" s="81" t="s">
        <v>187</v>
      </c>
      <c r="L3259" s="81" t="s">
        <v>187</v>
      </c>
    </row>
    <row r="3260" ht="15.75" customHeight="1">
      <c r="A3260" s="262"/>
      <c r="B3260" s="262"/>
      <c r="C3260" s="263"/>
      <c r="D3260" s="262"/>
      <c r="E3260" s="81" t="s">
        <v>187</v>
      </c>
      <c r="F3260" s="81" t="s">
        <v>187</v>
      </c>
      <c r="G3260" s="81" t="s">
        <v>187</v>
      </c>
      <c r="H3260" s="81" t="s">
        <v>187</v>
      </c>
      <c r="I3260" s="81" t="s">
        <v>187</v>
      </c>
      <c r="J3260" s="81" t="s">
        <v>187</v>
      </c>
      <c r="K3260" s="81" t="s">
        <v>187</v>
      </c>
      <c r="L3260" s="81" t="s">
        <v>187</v>
      </c>
    </row>
    <row r="3261" ht="15.75" customHeight="1">
      <c r="A3261" s="262"/>
      <c r="B3261" s="262"/>
      <c r="C3261" s="263"/>
      <c r="D3261" s="262"/>
      <c r="E3261" s="81" t="s">
        <v>187</v>
      </c>
      <c r="F3261" s="81" t="s">
        <v>187</v>
      </c>
      <c r="G3261" s="81" t="s">
        <v>187</v>
      </c>
      <c r="H3261" s="81" t="s">
        <v>187</v>
      </c>
      <c r="I3261" s="81" t="s">
        <v>187</v>
      </c>
      <c r="J3261" s="81" t="s">
        <v>187</v>
      </c>
      <c r="K3261" s="81" t="s">
        <v>187</v>
      </c>
      <c r="L3261" s="81" t="s">
        <v>187</v>
      </c>
    </row>
    <row r="3262" ht="15.75" customHeight="1">
      <c r="A3262" s="262"/>
      <c r="B3262" s="262"/>
      <c r="C3262" s="263"/>
      <c r="D3262" s="262"/>
      <c r="E3262" s="81" t="s">
        <v>187</v>
      </c>
      <c r="F3262" s="81" t="s">
        <v>187</v>
      </c>
      <c r="G3262" s="81" t="s">
        <v>187</v>
      </c>
      <c r="H3262" s="81" t="s">
        <v>187</v>
      </c>
      <c r="I3262" s="81" t="s">
        <v>187</v>
      </c>
      <c r="J3262" s="81" t="s">
        <v>187</v>
      </c>
      <c r="K3262" s="81" t="s">
        <v>187</v>
      </c>
      <c r="L3262" s="81" t="s">
        <v>187</v>
      </c>
    </row>
    <row r="3263" ht="15.75" customHeight="1">
      <c r="A3263" s="262"/>
      <c r="B3263" s="262"/>
      <c r="C3263" s="263"/>
      <c r="D3263" s="262"/>
      <c r="E3263" s="81" t="s">
        <v>187</v>
      </c>
      <c r="F3263" s="81" t="s">
        <v>187</v>
      </c>
      <c r="G3263" s="81" t="s">
        <v>187</v>
      </c>
      <c r="H3263" s="81" t="s">
        <v>187</v>
      </c>
      <c r="I3263" s="81" t="s">
        <v>187</v>
      </c>
      <c r="J3263" s="81" t="s">
        <v>187</v>
      </c>
      <c r="K3263" s="81" t="s">
        <v>187</v>
      </c>
      <c r="L3263" s="81" t="s">
        <v>187</v>
      </c>
    </row>
    <row r="3264" ht="15.75" customHeight="1">
      <c r="A3264" s="262"/>
      <c r="B3264" s="262"/>
      <c r="C3264" s="263"/>
      <c r="D3264" s="262"/>
      <c r="E3264" s="81" t="s">
        <v>187</v>
      </c>
      <c r="F3264" s="81" t="s">
        <v>187</v>
      </c>
      <c r="G3264" s="81" t="s">
        <v>187</v>
      </c>
      <c r="H3264" s="81" t="s">
        <v>187</v>
      </c>
      <c r="I3264" s="81" t="s">
        <v>187</v>
      </c>
      <c r="J3264" s="81" t="s">
        <v>187</v>
      </c>
      <c r="K3264" s="81" t="s">
        <v>187</v>
      </c>
      <c r="L3264" s="81" t="s">
        <v>187</v>
      </c>
    </row>
    <row r="3265" ht="15.75" customHeight="1">
      <c r="A3265" s="262"/>
      <c r="B3265" s="262"/>
      <c r="C3265" s="263"/>
      <c r="D3265" s="262"/>
      <c r="E3265" s="81" t="s">
        <v>187</v>
      </c>
      <c r="F3265" s="81" t="s">
        <v>187</v>
      </c>
      <c r="G3265" s="81" t="s">
        <v>187</v>
      </c>
      <c r="H3265" s="81" t="s">
        <v>187</v>
      </c>
      <c r="I3265" s="81" t="s">
        <v>187</v>
      </c>
      <c r="J3265" s="81" t="s">
        <v>187</v>
      </c>
      <c r="K3265" s="81" t="s">
        <v>187</v>
      </c>
      <c r="L3265" s="81" t="s">
        <v>187</v>
      </c>
    </row>
    <row r="3266" ht="15.75" customHeight="1">
      <c r="A3266" s="262"/>
      <c r="B3266" s="262"/>
      <c r="C3266" s="263"/>
      <c r="D3266" s="262"/>
      <c r="E3266" s="81" t="s">
        <v>187</v>
      </c>
      <c r="F3266" s="81" t="s">
        <v>187</v>
      </c>
      <c r="G3266" s="81" t="s">
        <v>187</v>
      </c>
      <c r="H3266" s="81" t="s">
        <v>187</v>
      </c>
      <c r="I3266" s="81" t="s">
        <v>187</v>
      </c>
      <c r="J3266" s="81" t="s">
        <v>187</v>
      </c>
      <c r="K3266" s="81" t="s">
        <v>187</v>
      </c>
      <c r="L3266" s="81" t="s">
        <v>187</v>
      </c>
    </row>
    <row r="3267" ht="15.75" customHeight="1">
      <c r="A3267" s="262"/>
      <c r="B3267" s="262"/>
      <c r="C3267" s="263"/>
      <c r="D3267" s="262"/>
      <c r="E3267" s="81" t="s">
        <v>187</v>
      </c>
      <c r="F3267" s="81" t="s">
        <v>187</v>
      </c>
      <c r="G3267" s="81" t="s">
        <v>187</v>
      </c>
      <c r="H3267" s="81" t="s">
        <v>187</v>
      </c>
      <c r="I3267" s="81" t="s">
        <v>187</v>
      </c>
      <c r="J3267" s="81" t="s">
        <v>187</v>
      </c>
      <c r="K3267" s="81" t="s">
        <v>187</v>
      </c>
      <c r="L3267" s="81" t="s">
        <v>187</v>
      </c>
    </row>
    <row r="3268" ht="15.75" customHeight="1">
      <c r="A3268" s="262"/>
      <c r="B3268" s="262"/>
      <c r="C3268" s="263"/>
      <c r="D3268" s="262"/>
      <c r="E3268" s="81" t="s">
        <v>187</v>
      </c>
      <c r="F3268" s="81" t="s">
        <v>187</v>
      </c>
      <c r="G3268" s="81" t="s">
        <v>187</v>
      </c>
      <c r="H3268" s="81" t="s">
        <v>187</v>
      </c>
      <c r="I3268" s="81" t="s">
        <v>187</v>
      </c>
      <c r="J3268" s="81" t="s">
        <v>187</v>
      </c>
      <c r="K3268" s="81" t="s">
        <v>187</v>
      </c>
      <c r="L3268" s="81" t="s">
        <v>187</v>
      </c>
    </row>
    <row r="3269" ht="15.75" customHeight="1">
      <c r="A3269" s="262"/>
      <c r="B3269" s="262"/>
      <c r="C3269" s="263"/>
      <c r="D3269" s="262"/>
      <c r="E3269" s="81" t="s">
        <v>187</v>
      </c>
      <c r="F3269" s="81" t="s">
        <v>187</v>
      </c>
      <c r="G3269" s="81" t="s">
        <v>187</v>
      </c>
      <c r="H3269" s="81" t="s">
        <v>187</v>
      </c>
      <c r="I3269" s="81" t="s">
        <v>187</v>
      </c>
      <c r="J3269" s="81" t="s">
        <v>187</v>
      </c>
      <c r="K3269" s="81" t="s">
        <v>187</v>
      </c>
      <c r="L3269" s="81" t="s">
        <v>187</v>
      </c>
    </row>
    <row r="3270" ht="15.75" customHeight="1">
      <c r="A3270" s="262"/>
      <c r="B3270" s="262"/>
      <c r="C3270" s="263"/>
      <c r="D3270" s="262"/>
      <c r="E3270" s="81" t="s">
        <v>187</v>
      </c>
      <c r="F3270" s="81" t="s">
        <v>187</v>
      </c>
      <c r="G3270" s="81" t="s">
        <v>187</v>
      </c>
      <c r="H3270" s="81" t="s">
        <v>187</v>
      </c>
      <c r="I3270" s="81" t="s">
        <v>187</v>
      </c>
      <c r="J3270" s="81" t="s">
        <v>187</v>
      </c>
      <c r="K3270" s="81" t="s">
        <v>187</v>
      </c>
      <c r="L3270" s="81" t="s">
        <v>187</v>
      </c>
    </row>
    <row r="3271" ht="15.75" customHeight="1">
      <c r="A3271" s="262"/>
      <c r="B3271" s="262"/>
      <c r="C3271" s="263"/>
      <c r="D3271" s="262"/>
      <c r="E3271" s="81" t="s">
        <v>187</v>
      </c>
      <c r="F3271" s="81" t="s">
        <v>187</v>
      </c>
      <c r="G3271" s="81" t="s">
        <v>187</v>
      </c>
      <c r="H3271" s="81" t="s">
        <v>187</v>
      </c>
      <c r="I3271" s="81" t="s">
        <v>187</v>
      </c>
      <c r="J3271" s="81" t="s">
        <v>187</v>
      </c>
      <c r="K3271" s="81" t="s">
        <v>187</v>
      </c>
      <c r="L3271" s="81" t="s">
        <v>187</v>
      </c>
    </row>
    <row r="3272" ht="15.75" customHeight="1">
      <c r="A3272" s="262"/>
      <c r="B3272" s="262"/>
      <c r="C3272" s="263"/>
      <c r="D3272" s="262"/>
      <c r="E3272" s="81" t="s">
        <v>187</v>
      </c>
      <c r="F3272" s="81" t="s">
        <v>187</v>
      </c>
      <c r="G3272" s="81" t="s">
        <v>187</v>
      </c>
      <c r="H3272" s="81" t="s">
        <v>187</v>
      </c>
      <c r="I3272" s="81" t="s">
        <v>187</v>
      </c>
      <c r="J3272" s="81" t="s">
        <v>187</v>
      </c>
      <c r="K3272" s="81" t="s">
        <v>187</v>
      </c>
      <c r="L3272" s="81" t="s">
        <v>187</v>
      </c>
    </row>
    <row r="3273" ht="15.75" customHeight="1">
      <c r="A3273" s="262"/>
      <c r="B3273" s="262"/>
      <c r="C3273" s="263"/>
      <c r="D3273" s="262"/>
      <c r="E3273" s="81" t="s">
        <v>187</v>
      </c>
      <c r="F3273" s="81" t="s">
        <v>187</v>
      </c>
      <c r="G3273" s="81" t="s">
        <v>187</v>
      </c>
      <c r="H3273" s="81" t="s">
        <v>187</v>
      </c>
      <c r="I3273" s="81" t="s">
        <v>187</v>
      </c>
      <c r="J3273" s="81" t="s">
        <v>187</v>
      </c>
      <c r="K3273" s="81" t="s">
        <v>187</v>
      </c>
      <c r="L3273" s="81" t="s">
        <v>187</v>
      </c>
    </row>
    <row r="3274" ht="15.75" customHeight="1">
      <c r="A3274" s="262"/>
      <c r="B3274" s="262"/>
      <c r="C3274" s="263"/>
      <c r="D3274" s="262"/>
      <c r="E3274" s="81" t="s">
        <v>187</v>
      </c>
      <c r="F3274" s="81" t="s">
        <v>187</v>
      </c>
      <c r="G3274" s="81" t="s">
        <v>187</v>
      </c>
      <c r="H3274" s="81" t="s">
        <v>187</v>
      </c>
      <c r="I3274" s="81" t="s">
        <v>187</v>
      </c>
      <c r="J3274" s="81" t="s">
        <v>187</v>
      </c>
      <c r="K3274" s="81" t="s">
        <v>187</v>
      </c>
      <c r="L3274" s="81" t="s">
        <v>187</v>
      </c>
    </row>
    <row r="3275" ht="15.75" customHeight="1">
      <c r="A3275" s="262"/>
      <c r="B3275" s="262"/>
      <c r="C3275" s="263"/>
      <c r="D3275" s="262"/>
      <c r="E3275" s="81" t="s">
        <v>187</v>
      </c>
      <c r="F3275" s="81" t="s">
        <v>187</v>
      </c>
      <c r="G3275" s="81" t="s">
        <v>187</v>
      </c>
      <c r="H3275" s="81" t="s">
        <v>187</v>
      </c>
      <c r="I3275" s="81" t="s">
        <v>187</v>
      </c>
      <c r="J3275" s="81" t="s">
        <v>187</v>
      </c>
      <c r="K3275" s="81" t="s">
        <v>187</v>
      </c>
      <c r="L3275" s="81" t="s">
        <v>187</v>
      </c>
    </row>
    <row r="3276" ht="15.75" customHeight="1">
      <c r="A3276" s="262"/>
      <c r="B3276" s="262"/>
      <c r="C3276" s="263"/>
      <c r="D3276" s="262"/>
      <c r="E3276" s="81" t="s">
        <v>187</v>
      </c>
      <c r="F3276" s="81" t="s">
        <v>187</v>
      </c>
      <c r="G3276" s="81" t="s">
        <v>187</v>
      </c>
      <c r="H3276" s="81" t="s">
        <v>187</v>
      </c>
      <c r="I3276" s="81" t="s">
        <v>187</v>
      </c>
      <c r="J3276" s="81" t="s">
        <v>187</v>
      </c>
      <c r="K3276" s="81" t="s">
        <v>187</v>
      </c>
      <c r="L3276" s="81" t="s">
        <v>187</v>
      </c>
    </row>
    <row r="3277" ht="15.75" customHeight="1">
      <c r="A3277" s="262"/>
      <c r="B3277" s="262"/>
      <c r="C3277" s="263"/>
      <c r="D3277" s="262"/>
      <c r="E3277" s="81" t="s">
        <v>187</v>
      </c>
      <c r="F3277" s="81" t="s">
        <v>187</v>
      </c>
      <c r="G3277" s="81" t="s">
        <v>187</v>
      </c>
      <c r="H3277" s="81" t="s">
        <v>187</v>
      </c>
      <c r="I3277" s="81" t="s">
        <v>187</v>
      </c>
      <c r="J3277" s="81" t="s">
        <v>187</v>
      </c>
      <c r="K3277" s="81" t="s">
        <v>187</v>
      </c>
      <c r="L3277" s="81" t="s">
        <v>187</v>
      </c>
    </row>
    <row r="3278" ht="15.75" customHeight="1">
      <c r="A3278" s="262"/>
      <c r="B3278" s="262"/>
      <c r="C3278" s="263"/>
      <c r="D3278" s="262"/>
      <c r="E3278" s="81" t="s">
        <v>187</v>
      </c>
      <c r="F3278" s="81" t="s">
        <v>187</v>
      </c>
      <c r="G3278" s="81" t="s">
        <v>187</v>
      </c>
      <c r="H3278" s="81" t="s">
        <v>187</v>
      </c>
      <c r="I3278" s="81" t="s">
        <v>187</v>
      </c>
      <c r="J3278" s="81" t="s">
        <v>187</v>
      </c>
      <c r="K3278" s="81" t="s">
        <v>187</v>
      </c>
      <c r="L3278" s="81" t="s">
        <v>187</v>
      </c>
    </row>
    <row r="3279" ht="15.75" customHeight="1">
      <c r="A3279" s="262"/>
      <c r="B3279" s="262"/>
      <c r="C3279" s="263"/>
      <c r="D3279" s="262"/>
      <c r="E3279" s="81" t="s">
        <v>187</v>
      </c>
      <c r="F3279" s="81" t="s">
        <v>187</v>
      </c>
      <c r="G3279" s="81" t="s">
        <v>187</v>
      </c>
      <c r="H3279" s="81" t="s">
        <v>187</v>
      </c>
      <c r="I3279" s="81" t="s">
        <v>187</v>
      </c>
      <c r="J3279" s="81" t="s">
        <v>187</v>
      </c>
      <c r="K3279" s="81" t="s">
        <v>187</v>
      </c>
      <c r="L3279" s="81" t="s">
        <v>187</v>
      </c>
    </row>
    <row r="3280" ht="15.75" customHeight="1">
      <c r="A3280" s="262"/>
      <c r="B3280" s="262"/>
      <c r="C3280" s="263"/>
      <c r="D3280" s="262"/>
      <c r="E3280" s="81" t="s">
        <v>187</v>
      </c>
      <c r="F3280" s="81" t="s">
        <v>187</v>
      </c>
      <c r="G3280" s="81" t="s">
        <v>187</v>
      </c>
      <c r="H3280" s="81" t="s">
        <v>187</v>
      </c>
      <c r="I3280" s="81" t="s">
        <v>187</v>
      </c>
      <c r="J3280" s="81" t="s">
        <v>187</v>
      </c>
      <c r="K3280" s="81" t="s">
        <v>187</v>
      </c>
      <c r="L3280" s="81" t="s">
        <v>187</v>
      </c>
    </row>
    <row r="3281" ht="15.75" customHeight="1">
      <c r="A3281" s="262"/>
      <c r="B3281" s="262"/>
      <c r="C3281" s="263"/>
      <c r="D3281" s="262"/>
      <c r="E3281" s="81" t="s">
        <v>187</v>
      </c>
      <c r="F3281" s="81" t="s">
        <v>187</v>
      </c>
      <c r="G3281" s="81" t="s">
        <v>187</v>
      </c>
      <c r="H3281" s="81" t="s">
        <v>187</v>
      </c>
      <c r="I3281" s="81" t="s">
        <v>187</v>
      </c>
      <c r="J3281" s="81" t="s">
        <v>187</v>
      </c>
      <c r="K3281" s="81" t="s">
        <v>187</v>
      </c>
      <c r="L3281" s="81" t="s">
        <v>187</v>
      </c>
    </row>
    <row r="3282" ht="15.75" customHeight="1">
      <c r="A3282" s="262"/>
      <c r="B3282" s="262"/>
      <c r="C3282" s="263"/>
      <c r="D3282" s="262"/>
      <c r="E3282" s="81" t="s">
        <v>187</v>
      </c>
      <c r="F3282" s="81" t="s">
        <v>187</v>
      </c>
      <c r="G3282" s="81" t="s">
        <v>187</v>
      </c>
      <c r="H3282" s="81" t="s">
        <v>187</v>
      </c>
      <c r="I3282" s="81" t="s">
        <v>187</v>
      </c>
      <c r="J3282" s="81" t="s">
        <v>187</v>
      </c>
      <c r="K3282" s="81" t="s">
        <v>187</v>
      </c>
      <c r="L3282" s="81" t="s">
        <v>187</v>
      </c>
    </row>
    <row r="3283" ht="15.75" customHeight="1">
      <c r="A3283" s="262"/>
      <c r="B3283" s="262"/>
      <c r="C3283" s="263"/>
      <c r="D3283" s="262"/>
      <c r="E3283" s="81" t="s">
        <v>187</v>
      </c>
      <c r="F3283" s="81" t="s">
        <v>187</v>
      </c>
      <c r="G3283" s="81" t="s">
        <v>187</v>
      </c>
      <c r="H3283" s="81" t="s">
        <v>187</v>
      </c>
      <c r="I3283" s="81" t="s">
        <v>187</v>
      </c>
      <c r="J3283" s="81" t="s">
        <v>187</v>
      </c>
      <c r="K3283" s="81" t="s">
        <v>187</v>
      </c>
      <c r="L3283" s="81" t="s">
        <v>187</v>
      </c>
    </row>
    <row r="3284" ht="15.75" customHeight="1">
      <c r="A3284" s="262"/>
      <c r="B3284" s="262"/>
      <c r="C3284" s="263"/>
      <c r="D3284" s="262"/>
      <c r="E3284" s="81" t="s">
        <v>187</v>
      </c>
      <c r="F3284" s="81" t="s">
        <v>187</v>
      </c>
      <c r="G3284" s="81" t="s">
        <v>187</v>
      </c>
      <c r="H3284" s="81" t="s">
        <v>187</v>
      </c>
      <c r="I3284" s="81" t="s">
        <v>187</v>
      </c>
      <c r="J3284" s="81" t="s">
        <v>187</v>
      </c>
      <c r="K3284" s="81" t="s">
        <v>187</v>
      </c>
      <c r="L3284" s="81" t="s">
        <v>187</v>
      </c>
    </row>
    <row r="3285" ht="15.75" customHeight="1">
      <c r="A3285" s="262"/>
      <c r="B3285" s="262"/>
      <c r="C3285" s="263"/>
      <c r="D3285" s="262"/>
      <c r="E3285" s="81" t="s">
        <v>187</v>
      </c>
      <c r="F3285" s="81" t="s">
        <v>187</v>
      </c>
      <c r="G3285" s="81" t="s">
        <v>187</v>
      </c>
      <c r="H3285" s="81" t="s">
        <v>187</v>
      </c>
      <c r="I3285" s="81" t="s">
        <v>187</v>
      </c>
      <c r="J3285" s="81" t="s">
        <v>187</v>
      </c>
      <c r="K3285" s="81" t="s">
        <v>187</v>
      </c>
      <c r="L3285" s="81" t="s">
        <v>187</v>
      </c>
    </row>
    <row r="3286" ht="15.75" customHeight="1">
      <c r="A3286" s="262"/>
      <c r="B3286" s="262"/>
      <c r="C3286" s="263"/>
      <c r="D3286" s="262"/>
      <c r="E3286" s="81" t="s">
        <v>187</v>
      </c>
      <c r="F3286" s="81" t="s">
        <v>187</v>
      </c>
      <c r="G3286" s="81" t="s">
        <v>187</v>
      </c>
      <c r="H3286" s="81" t="s">
        <v>187</v>
      </c>
      <c r="I3286" s="81" t="s">
        <v>187</v>
      </c>
      <c r="J3286" s="81" t="s">
        <v>187</v>
      </c>
      <c r="K3286" s="81" t="s">
        <v>187</v>
      </c>
      <c r="L3286" s="81" t="s">
        <v>187</v>
      </c>
    </row>
    <row r="3287" ht="15.75" customHeight="1">
      <c r="A3287" s="262"/>
      <c r="B3287" s="262"/>
      <c r="C3287" s="263"/>
      <c r="D3287" s="262"/>
      <c r="E3287" s="81" t="s">
        <v>187</v>
      </c>
      <c r="F3287" s="81" t="s">
        <v>187</v>
      </c>
      <c r="G3287" s="81" t="s">
        <v>187</v>
      </c>
      <c r="H3287" s="81" t="s">
        <v>187</v>
      </c>
      <c r="I3287" s="81" t="s">
        <v>187</v>
      </c>
      <c r="J3287" s="81" t="s">
        <v>187</v>
      </c>
      <c r="K3287" s="81" t="s">
        <v>187</v>
      </c>
      <c r="L3287" s="81" t="s">
        <v>187</v>
      </c>
    </row>
    <row r="3288" ht="15.75" customHeight="1">
      <c r="A3288" s="262"/>
      <c r="B3288" s="262"/>
      <c r="C3288" s="263"/>
      <c r="D3288" s="262"/>
      <c r="E3288" s="81" t="s">
        <v>187</v>
      </c>
      <c r="F3288" s="81" t="s">
        <v>187</v>
      </c>
      <c r="G3288" s="81" t="s">
        <v>187</v>
      </c>
      <c r="H3288" s="81" t="s">
        <v>187</v>
      </c>
      <c r="I3288" s="81" t="s">
        <v>187</v>
      </c>
      <c r="J3288" s="81" t="s">
        <v>187</v>
      </c>
      <c r="K3288" s="81" t="s">
        <v>187</v>
      </c>
      <c r="L3288" s="81" t="s">
        <v>187</v>
      </c>
    </row>
    <row r="3289" ht="15.75" customHeight="1">
      <c r="A3289" s="262"/>
      <c r="B3289" s="262"/>
      <c r="C3289" s="263"/>
      <c r="D3289" s="262"/>
      <c r="E3289" s="81" t="s">
        <v>187</v>
      </c>
      <c r="F3289" s="81" t="s">
        <v>187</v>
      </c>
      <c r="G3289" s="81" t="s">
        <v>187</v>
      </c>
      <c r="H3289" s="81" t="s">
        <v>187</v>
      </c>
      <c r="I3289" s="81" t="s">
        <v>187</v>
      </c>
      <c r="J3289" s="81" t="s">
        <v>187</v>
      </c>
      <c r="K3289" s="81" t="s">
        <v>187</v>
      </c>
      <c r="L3289" s="81" t="s">
        <v>187</v>
      </c>
    </row>
    <row r="3290" ht="15.75" customHeight="1">
      <c r="A3290" s="262"/>
      <c r="B3290" s="262"/>
      <c r="C3290" s="263"/>
      <c r="D3290" s="262"/>
      <c r="E3290" s="81" t="s">
        <v>187</v>
      </c>
      <c r="F3290" s="81" t="s">
        <v>187</v>
      </c>
      <c r="G3290" s="81" t="s">
        <v>187</v>
      </c>
      <c r="H3290" s="81" t="s">
        <v>187</v>
      </c>
      <c r="I3290" s="81" t="s">
        <v>187</v>
      </c>
      <c r="J3290" s="81" t="s">
        <v>187</v>
      </c>
      <c r="K3290" s="81" t="s">
        <v>187</v>
      </c>
      <c r="L3290" s="81" t="s">
        <v>187</v>
      </c>
    </row>
    <row r="3291" ht="15.75" customHeight="1">
      <c r="A3291" s="262"/>
      <c r="B3291" s="262"/>
      <c r="C3291" s="263"/>
      <c r="D3291" s="262"/>
      <c r="E3291" s="81" t="s">
        <v>187</v>
      </c>
      <c r="F3291" s="81" t="s">
        <v>187</v>
      </c>
      <c r="G3291" s="81" t="s">
        <v>187</v>
      </c>
      <c r="H3291" s="81" t="s">
        <v>187</v>
      </c>
      <c r="I3291" s="81" t="s">
        <v>187</v>
      </c>
      <c r="J3291" s="81" t="s">
        <v>187</v>
      </c>
      <c r="K3291" s="81" t="s">
        <v>187</v>
      </c>
      <c r="L3291" s="81" t="s">
        <v>187</v>
      </c>
    </row>
    <row r="3292" ht="15.75" customHeight="1">
      <c r="A3292" s="262"/>
      <c r="B3292" s="262"/>
      <c r="C3292" s="263"/>
      <c r="D3292" s="262"/>
      <c r="E3292" s="81" t="s">
        <v>187</v>
      </c>
      <c r="F3292" s="81" t="s">
        <v>187</v>
      </c>
      <c r="G3292" s="81" t="s">
        <v>187</v>
      </c>
      <c r="H3292" s="81" t="s">
        <v>187</v>
      </c>
      <c r="I3292" s="81" t="s">
        <v>187</v>
      </c>
      <c r="J3292" s="81" t="s">
        <v>187</v>
      </c>
      <c r="K3292" s="81" t="s">
        <v>187</v>
      </c>
      <c r="L3292" s="81" t="s">
        <v>187</v>
      </c>
    </row>
    <row r="3293" ht="15.75" customHeight="1">
      <c r="A3293" s="262"/>
      <c r="B3293" s="262"/>
      <c r="C3293" s="263"/>
      <c r="D3293" s="262"/>
      <c r="E3293" s="81" t="s">
        <v>187</v>
      </c>
      <c r="F3293" s="81" t="s">
        <v>187</v>
      </c>
      <c r="G3293" s="81" t="s">
        <v>187</v>
      </c>
      <c r="H3293" s="81" t="s">
        <v>187</v>
      </c>
      <c r="I3293" s="81" t="s">
        <v>187</v>
      </c>
      <c r="J3293" s="81" t="s">
        <v>187</v>
      </c>
      <c r="K3293" s="81" t="s">
        <v>187</v>
      </c>
      <c r="L3293" s="81" t="s">
        <v>187</v>
      </c>
    </row>
    <row r="3294" ht="15.75" customHeight="1">
      <c r="A3294" s="262"/>
      <c r="B3294" s="262"/>
      <c r="C3294" s="263"/>
      <c r="D3294" s="262"/>
      <c r="E3294" s="81" t="s">
        <v>187</v>
      </c>
      <c r="F3294" s="81" t="s">
        <v>187</v>
      </c>
      <c r="G3294" s="81" t="s">
        <v>187</v>
      </c>
      <c r="H3294" s="81" t="s">
        <v>187</v>
      </c>
      <c r="I3294" s="81" t="s">
        <v>187</v>
      </c>
      <c r="J3294" s="81" t="s">
        <v>187</v>
      </c>
      <c r="K3294" s="81" t="s">
        <v>187</v>
      </c>
      <c r="L3294" s="81" t="s">
        <v>187</v>
      </c>
    </row>
    <row r="3295" ht="15.75" customHeight="1">
      <c r="A3295" s="262"/>
      <c r="B3295" s="262"/>
      <c r="C3295" s="263"/>
      <c r="D3295" s="262"/>
      <c r="E3295" s="81" t="s">
        <v>187</v>
      </c>
      <c r="F3295" s="81" t="s">
        <v>187</v>
      </c>
      <c r="G3295" s="81" t="s">
        <v>187</v>
      </c>
      <c r="H3295" s="81" t="s">
        <v>187</v>
      </c>
      <c r="I3295" s="81" t="s">
        <v>187</v>
      </c>
      <c r="J3295" s="81" t="s">
        <v>187</v>
      </c>
      <c r="K3295" s="81" t="s">
        <v>187</v>
      </c>
      <c r="L3295" s="81" t="s">
        <v>187</v>
      </c>
    </row>
    <row r="3296" ht="15.75" customHeight="1">
      <c r="A3296" s="262"/>
      <c r="B3296" s="262"/>
      <c r="C3296" s="263"/>
      <c r="D3296" s="262"/>
      <c r="E3296" s="81" t="s">
        <v>187</v>
      </c>
      <c r="F3296" s="81" t="s">
        <v>187</v>
      </c>
      <c r="G3296" s="81" t="s">
        <v>187</v>
      </c>
      <c r="H3296" s="81" t="s">
        <v>187</v>
      </c>
      <c r="I3296" s="81" t="s">
        <v>187</v>
      </c>
      <c r="J3296" s="81" t="s">
        <v>187</v>
      </c>
      <c r="K3296" s="81" t="s">
        <v>187</v>
      </c>
      <c r="L3296" s="81" t="s">
        <v>187</v>
      </c>
    </row>
    <row r="3297" ht="15.75" customHeight="1">
      <c r="A3297" s="262"/>
      <c r="B3297" s="262"/>
      <c r="C3297" s="263"/>
      <c r="D3297" s="262"/>
      <c r="E3297" s="81" t="s">
        <v>187</v>
      </c>
      <c r="F3297" s="81" t="s">
        <v>187</v>
      </c>
      <c r="G3297" s="81" t="s">
        <v>187</v>
      </c>
      <c r="H3297" s="81" t="s">
        <v>187</v>
      </c>
      <c r="I3297" s="81" t="s">
        <v>187</v>
      </c>
      <c r="J3297" s="81" t="s">
        <v>187</v>
      </c>
      <c r="K3297" s="81" t="s">
        <v>187</v>
      </c>
      <c r="L3297" s="81" t="s">
        <v>187</v>
      </c>
    </row>
    <row r="3298" ht="15.75" customHeight="1">
      <c r="A3298" s="262"/>
      <c r="B3298" s="262"/>
      <c r="C3298" s="263"/>
      <c r="D3298" s="262"/>
      <c r="E3298" s="81" t="s">
        <v>187</v>
      </c>
      <c r="F3298" s="81" t="s">
        <v>187</v>
      </c>
      <c r="G3298" s="81" t="s">
        <v>187</v>
      </c>
      <c r="H3298" s="81" t="s">
        <v>187</v>
      </c>
      <c r="I3298" s="81" t="s">
        <v>187</v>
      </c>
      <c r="J3298" s="81" t="s">
        <v>187</v>
      </c>
      <c r="K3298" s="81" t="s">
        <v>187</v>
      </c>
      <c r="L3298" s="81" t="s">
        <v>187</v>
      </c>
    </row>
    <row r="3299" ht="15.75" customHeight="1">
      <c r="A3299" s="262"/>
      <c r="B3299" s="262"/>
      <c r="C3299" s="263"/>
      <c r="D3299" s="262"/>
      <c r="E3299" s="81" t="s">
        <v>187</v>
      </c>
      <c r="F3299" s="81" t="s">
        <v>187</v>
      </c>
      <c r="G3299" s="81" t="s">
        <v>187</v>
      </c>
      <c r="H3299" s="81" t="s">
        <v>187</v>
      </c>
      <c r="I3299" s="81" t="s">
        <v>187</v>
      </c>
      <c r="J3299" s="81" t="s">
        <v>187</v>
      </c>
      <c r="K3299" s="81" t="s">
        <v>187</v>
      </c>
      <c r="L3299" s="81" t="s">
        <v>187</v>
      </c>
    </row>
    <row r="3300" ht="15.75" customHeight="1">
      <c r="A3300" s="262"/>
      <c r="B3300" s="262"/>
      <c r="C3300" s="263"/>
      <c r="D3300" s="262"/>
      <c r="E3300" s="81" t="s">
        <v>187</v>
      </c>
      <c r="F3300" s="81" t="s">
        <v>187</v>
      </c>
      <c r="G3300" s="81" t="s">
        <v>187</v>
      </c>
      <c r="H3300" s="81" t="s">
        <v>187</v>
      </c>
      <c r="I3300" s="81" t="s">
        <v>187</v>
      </c>
      <c r="J3300" s="81" t="s">
        <v>187</v>
      </c>
      <c r="K3300" s="81" t="s">
        <v>187</v>
      </c>
      <c r="L3300" s="81" t="s">
        <v>187</v>
      </c>
    </row>
    <row r="3301" ht="15.75" customHeight="1">
      <c r="A3301" s="262"/>
      <c r="B3301" s="262"/>
      <c r="C3301" s="263"/>
      <c r="D3301" s="262"/>
      <c r="E3301" s="81" t="s">
        <v>187</v>
      </c>
      <c r="F3301" s="81" t="s">
        <v>187</v>
      </c>
      <c r="G3301" s="81" t="s">
        <v>187</v>
      </c>
      <c r="H3301" s="81" t="s">
        <v>187</v>
      </c>
      <c r="I3301" s="81" t="s">
        <v>187</v>
      </c>
      <c r="J3301" s="81" t="s">
        <v>187</v>
      </c>
      <c r="K3301" s="81" t="s">
        <v>187</v>
      </c>
      <c r="L3301" s="81" t="s">
        <v>187</v>
      </c>
    </row>
    <row r="3302" ht="15.75" customHeight="1">
      <c r="A3302" s="262"/>
      <c r="B3302" s="262"/>
      <c r="C3302" s="263"/>
      <c r="D3302" s="262"/>
      <c r="E3302" s="81" t="s">
        <v>187</v>
      </c>
      <c r="F3302" s="81" t="s">
        <v>187</v>
      </c>
      <c r="G3302" s="81" t="s">
        <v>187</v>
      </c>
      <c r="H3302" s="81" t="s">
        <v>187</v>
      </c>
      <c r="I3302" s="81" t="s">
        <v>187</v>
      </c>
      <c r="J3302" s="81" t="s">
        <v>187</v>
      </c>
      <c r="K3302" s="81" t="s">
        <v>187</v>
      </c>
      <c r="L3302" s="81" t="s">
        <v>187</v>
      </c>
    </row>
    <row r="3303" ht="15.75" customHeight="1">
      <c r="A3303" s="262"/>
      <c r="B3303" s="262"/>
      <c r="C3303" s="263"/>
      <c r="D3303" s="262"/>
      <c r="E3303" s="81" t="s">
        <v>187</v>
      </c>
      <c r="F3303" s="81" t="s">
        <v>187</v>
      </c>
      <c r="G3303" s="81" t="s">
        <v>187</v>
      </c>
      <c r="H3303" s="81" t="s">
        <v>187</v>
      </c>
      <c r="I3303" s="81" t="s">
        <v>187</v>
      </c>
      <c r="J3303" s="81" t="s">
        <v>187</v>
      </c>
      <c r="K3303" s="81" t="s">
        <v>187</v>
      </c>
      <c r="L3303" s="81" t="s">
        <v>187</v>
      </c>
    </row>
    <row r="3304" ht="15.75" customHeight="1">
      <c r="A3304" s="262"/>
      <c r="B3304" s="262"/>
      <c r="C3304" s="263"/>
      <c r="D3304" s="262"/>
      <c r="E3304" s="81" t="s">
        <v>187</v>
      </c>
      <c r="F3304" s="81" t="s">
        <v>187</v>
      </c>
      <c r="G3304" s="81" t="s">
        <v>187</v>
      </c>
      <c r="H3304" s="81" t="s">
        <v>187</v>
      </c>
      <c r="I3304" s="81" t="s">
        <v>187</v>
      </c>
      <c r="J3304" s="81" t="s">
        <v>187</v>
      </c>
      <c r="K3304" s="81" t="s">
        <v>187</v>
      </c>
      <c r="L3304" s="81" t="s">
        <v>187</v>
      </c>
    </row>
    <row r="3305" ht="15.75" customHeight="1">
      <c r="A3305" s="262"/>
      <c r="B3305" s="262"/>
      <c r="C3305" s="263"/>
      <c r="D3305" s="262"/>
      <c r="E3305" s="81" t="s">
        <v>187</v>
      </c>
      <c r="F3305" s="81" t="s">
        <v>187</v>
      </c>
      <c r="G3305" s="81" t="s">
        <v>187</v>
      </c>
      <c r="H3305" s="81" t="s">
        <v>187</v>
      </c>
      <c r="I3305" s="81" t="s">
        <v>187</v>
      </c>
      <c r="J3305" s="81" t="s">
        <v>187</v>
      </c>
      <c r="K3305" s="81" t="s">
        <v>187</v>
      </c>
      <c r="L3305" s="81" t="s">
        <v>187</v>
      </c>
    </row>
    <row r="3306" ht="15.75" customHeight="1">
      <c r="A3306" s="262"/>
      <c r="B3306" s="262"/>
      <c r="C3306" s="263"/>
      <c r="D3306" s="262"/>
      <c r="E3306" s="81" t="s">
        <v>187</v>
      </c>
      <c r="F3306" s="81" t="s">
        <v>187</v>
      </c>
      <c r="G3306" s="81" t="s">
        <v>187</v>
      </c>
      <c r="H3306" s="81" t="s">
        <v>187</v>
      </c>
      <c r="I3306" s="81" t="s">
        <v>187</v>
      </c>
      <c r="J3306" s="81" t="s">
        <v>187</v>
      </c>
      <c r="K3306" s="81" t="s">
        <v>187</v>
      </c>
      <c r="L3306" s="81" t="s">
        <v>187</v>
      </c>
    </row>
    <row r="3307" ht="15.75" customHeight="1">
      <c r="A3307" s="262"/>
      <c r="B3307" s="262"/>
      <c r="C3307" s="263"/>
      <c r="D3307" s="262"/>
      <c r="E3307" s="81" t="s">
        <v>187</v>
      </c>
      <c r="F3307" s="81" t="s">
        <v>187</v>
      </c>
      <c r="G3307" s="81" t="s">
        <v>187</v>
      </c>
      <c r="H3307" s="81" t="s">
        <v>187</v>
      </c>
      <c r="I3307" s="81" t="s">
        <v>187</v>
      </c>
      <c r="J3307" s="81" t="s">
        <v>187</v>
      </c>
      <c r="K3307" s="81" t="s">
        <v>187</v>
      </c>
      <c r="L3307" s="81" t="s">
        <v>187</v>
      </c>
    </row>
    <row r="3308" ht="15.75" customHeight="1">
      <c r="A3308" s="262"/>
      <c r="B3308" s="262"/>
      <c r="C3308" s="263"/>
      <c r="D3308" s="262"/>
      <c r="E3308" s="81" t="s">
        <v>187</v>
      </c>
      <c r="F3308" s="81" t="s">
        <v>187</v>
      </c>
      <c r="G3308" s="81" t="s">
        <v>187</v>
      </c>
      <c r="H3308" s="81" t="s">
        <v>187</v>
      </c>
      <c r="I3308" s="81" t="s">
        <v>187</v>
      </c>
      <c r="J3308" s="81" t="s">
        <v>187</v>
      </c>
      <c r="K3308" s="81" t="s">
        <v>187</v>
      </c>
      <c r="L3308" s="81" t="s">
        <v>187</v>
      </c>
    </row>
    <row r="3309" ht="15.75" customHeight="1">
      <c r="A3309" s="262"/>
      <c r="B3309" s="262"/>
      <c r="C3309" s="263"/>
      <c r="D3309" s="262"/>
      <c r="E3309" s="81" t="s">
        <v>187</v>
      </c>
      <c r="F3309" s="81" t="s">
        <v>187</v>
      </c>
      <c r="G3309" s="81" t="s">
        <v>187</v>
      </c>
      <c r="H3309" s="81" t="s">
        <v>187</v>
      </c>
      <c r="I3309" s="81" t="s">
        <v>187</v>
      </c>
      <c r="J3309" s="81" t="s">
        <v>187</v>
      </c>
      <c r="K3309" s="81" t="s">
        <v>187</v>
      </c>
      <c r="L3309" s="81" t="s">
        <v>187</v>
      </c>
    </row>
    <row r="3310" ht="15.75" customHeight="1">
      <c r="A3310" s="262"/>
      <c r="B3310" s="262"/>
      <c r="C3310" s="263"/>
      <c r="D3310" s="262"/>
      <c r="E3310" s="81" t="s">
        <v>187</v>
      </c>
      <c r="F3310" s="81" t="s">
        <v>187</v>
      </c>
      <c r="G3310" s="81" t="s">
        <v>187</v>
      </c>
      <c r="H3310" s="81" t="s">
        <v>187</v>
      </c>
      <c r="I3310" s="81" t="s">
        <v>187</v>
      </c>
      <c r="J3310" s="81" t="s">
        <v>187</v>
      </c>
      <c r="K3310" s="81" t="s">
        <v>187</v>
      </c>
      <c r="L3310" s="81" t="s">
        <v>187</v>
      </c>
    </row>
    <row r="3311" ht="15.75" customHeight="1">
      <c r="A3311" s="262"/>
      <c r="B3311" s="262"/>
      <c r="C3311" s="263"/>
      <c r="D3311" s="262"/>
      <c r="E3311" s="81" t="s">
        <v>187</v>
      </c>
      <c r="F3311" s="81" t="s">
        <v>187</v>
      </c>
      <c r="G3311" s="81" t="s">
        <v>187</v>
      </c>
      <c r="H3311" s="81" t="s">
        <v>187</v>
      </c>
      <c r="I3311" s="81" t="s">
        <v>187</v>
      </c>
      <c r="J3311" s="81" t="s">
        <v>187</v>
      </c>
      <c r="K3311" s="81" t="s">
        <v>187</v>
      </c>
      <c r="L3311" s="81" t="s">
        <v>187</v>
      </c>
    </row>
    <row r="3312" ht="15.75" customHeight="1">
      <c r="A3312" s="262"/>
      <c r="B3312" s="262"/>
      <c r="C3312" s="263"/>
      <c r="D3312" s="262"/>
      <c r="E3312" s="81" t="s">
        <v>187</v>
      </c>
      <c r="F3312" s="81" t="s">
        <v>187</v>
      </c>
      <c r="G3312" s="81" t="s">
        <v>187</v>
      </c>
      <c r="H3312" s="81" t="s">
        <v>187</v>
      </c>
      <c r="I3312" s="81" t="s">
        <v>187</v>
      </c>
      <c r="J3312" s="81" t="s">
        <v>187</v>
      </c>
      <c r="K3312" s="81" t="s">
        <v>187</v>
      </c>
      <c r="L3312" s="81" t="s">
        <v>187</v>
      </c>
    </row>
    <row r="3313" ht="15.75" customHeight="1">
      <c r="A3313" s="262"/>
      <c r="B3313" s="262"/>
      <c r="C3313" s="263"/>
      <c r="D3313" s="262"/>
      <c r="E3313" s="81" t="s">
        <v>187</v>
      </c>
      <c r="F3313" s="81" t="s">
        <v>187</v>
      </c>
      <c r="G3313" s="81" t="s">
        <v>187</v>
      </c>
      <c r="H3313" s="81" t="s">
        <v>187</v>
      </c>
      <c r="I3313" s="81" t="s">
        <v>187</v>
      </c>
      <c r="J3313" s="81" t="s">
        <v>187</v>
      </c>
      <c r="K3313" s="81" t="s">
        <v>187</v>
      </c>
      <c r="L3313" s="81" t="s">
        <v>187</v>
      </c>
    </row>
    <row r="3314" ht="15.75" customHeight="1">
      <c r="A3314" s="262"/>
      <c r="B3314" s="262"/>
      <c r="C3314" s="263"/>
      <c r="D3314" s="262"/>
      <c r="E3314" s="81" t="s">
        <v>187</v>
      </c>
      <c r="F3314" s="81" t="s">
        <v>187</v>
      </c>
      <c r="G3314" s="81" t="s">
        <v>187</v>
      </c>
      <c r="H3314" s="81" t="s">
        <v>187</v>
      </c>
      <c r="I3314" s="81" t="s">
        <v>187</v>
      </c>
      <c r="J3314" s="81" t="s">
        <v>187</v>
      </c>
      <c r="K3314" s="81" t="s">
        <v>187</v>
      </c>
      <c r="L3314" s="81" t="s">
        <v>187</v>
      </c>
    </row>
    <row r="3315" ht="15.75" customHeight="1">
      <c r="A3315" s="262"/>
      <c r="B3315" s="262"/>
      <c r="C3315" s="263"/>
      <c r="D3315" s="262"/>
      <c r="E3315" s="81" t="s">
        <v>187</v>
      </c>
      <c r="F3315" s="81" t="s">
        <v>187</v>
      </c>
      <c r="G3315" s="81" t="s">
        <v>187</v>
      </c>
      <c r="H3315" s="81" t="s">
        <v>187</v>
      </c>
      <c r="I3315" s="81" t="s">
        <v>187</v>
      </c>
      <c r="J3315" s="81" t="s">
        <v>187</v>
      </c>
      <c r="K3315" s="81" t="s">
        <v>187</v>
      </c>
      <c r="L3315" s="81" t="s">
        <v>187</v>
      </c>
    </row>
    <row r="3316" ht="15.75" customHeight="1">
      <c r="A3316" s="262"/>
      <c r="B3316" s="262"/>
      <c r="C3316" s="263"/>
      <c r="D3316" s="262"/>
      <c r="E3316" s="81" t="s">
        <v>187</v>
      </c>
      <c r="F3316" s="81" t="s">
        <v>187</v>
      </c>
      <c r="G3316" s="81" t="s">
        <v>187</v>
      </c>
      <c r="H3316" s="81" t="s">
        <v>187</v>
      </c>
      <c r="I3316" s="81" t="s">
        <v>187</v>
      </c>
      <c r="J3316" s="81" t="s">
        <v>187</v>
      </c>
      <c r="K3316" s="81" t="s">
        <v>187</v>
      </c>
      <c r="L3316" s="81" t="s">
        <v>187</v>
      </c>
    </row>
    <row r="3317" ht="15.75" customHeight="1">
      <c r="A3317" s="262"/>
      <c r="B3317" s="262"/>
      <c r="C3317" s="263"/>
      <c r="D3317" s="262"/>
      <c r="E3317" s="81" t="s">
        <v>187</v>
      </c>
      <c r="F3317" s="81" t="s">
        <v>187</v>
      </c>
      <c r="G3317" s="81" t="s">
        <v>187</v>
      </c>
      <c r="H3317" s="81" t="s">
        <v>187</v>
      </c>
      <c r="I3317" s="81" t="s">
        <v>187</v>
      </c>
      <c r="J3317" s="81" t="s">
        <v>187</v>
      </c>
      <c r="K3317" s="81" t="s">
        <v>187</v>
      </c>
      <c r="L3317" s="81" t="s">
        <v>187</v>
      </c>
    </row>
    <row r="3318" ht="15.75" customHeight="1">
      <c r="A3318" s="262"/>
      <c r="B3318" s="262"/>
      <c r="C3318" s="263"/>
      <c r="D3318" s="262"/>
      <c r="E3318" s="81" t="s">
        <v>187</v>
      </c>
      <c r="F3318" s="81" t="s">
        <v>187</v>
      </c>
      <c r="G3318" s="81" t="s">
        <v>187</v>
      </c>
      <c r="H3318" s="81" t="s">
        <v>187</v>
      </c>
      <c r="I3318" s="81" t="s">
        <v>187</v>
      </c>
      <c r="J3318" s="81" t="s">
        <v>187</v>
      </c>
      <c r="K3318" s="81" t="s">
        <v>187</v>
      </c>
      <c r="L3318" s="81" t="s">
        <v>187</v>
      </c>
    </row>
    <row r="3319" ht="15.75" customHeight="1">
      <c r="A3319" s="262"/>
      <c r="B3319" s="262"/>
      <c r="C3319" s="263"/>
      <c r="D3319" s="262"/>
      <c r="E3319" s="81" t="s">
        <v>187</v>
      </c>
      <c r="F3319" s="81" t="s">
        <v>187</v>
      </c>
      <c r="G3319" s="81" t="s">
        <v>187</v>
      </c>
      <c r="H3319" s="81" t="s">
        <v>187</v>
      </c>
      <c r="I3319" s="81" t="s">
        <v>187</v>
      </c>
      <c r="J3319" s="81" t="s">
        <v>187</v>
      </c>
      <c r="K3319" s="81" t="s">
        <v>187</v>
      </c>
      <c r="L3319" s="81" t="s">
        <v>187</v>
      </c>
    </row>
    <row r="3320" ht="15.75" customHeight="1">
      <c r="A3320" s="262"/>
      <c r="B3320" s="262"/>
      <c r="C3320" s="263"/>
      <c r="D3320" s="262"/>
      <c r="E3320" s="81" t="s">
        <v>187</v>
      </c>
      <c r="F3320" s="81" t="s">
        <v>187</v>
      </c>
      <c r="G3320" s="81" t="s">
        <v>187</v>
      </c>
      <c r="H3320" s="81" t="s">
        <v>187</v>
      </c>
      <c r="I3320" s="81" t="s">
        <v>187</v>
      </c>
      <c r="J3320" s="81" t="s">
        <v>187</v>
      </c>
      <c r="K3320" s="81" t="s">
        <v>187</v>
      </c>
      <c r="L3320" s="81" t="s">
        <v>187</v>
      </c>
    </row>
    <row r="3321" ht="15.75" customHeight="1">
      <c r="A3321" s="262"/>
      <c r="B3321" s="262"/>
      <c r="C3321" s="263"/>
      <c r="D3321" s="262"/>
      <c r="E3321" s="81" t="s">
        <v>187</v>
      </c>
      <c r="F3321" s="81" t="s">
        <v>187</v>
      </c>
      <c r="G3321" s="81" t="s">
        <v>187</v>
      </c>
      <c r="H3321" s="81" t="s">
        <v>187</v>
      </c>
      <c r="I3321" s="81" t="s">
        <v>187</v>
      </c>
      <c r="J3321" s="81" t="s">
        <v>187</v>
      </c>
      <c r="K3321" s="81" t="s">
        <v>187</v>
      </c>
      <c r="L3321" s="81" t="s">
        <v>187</v>
      </c>
    </row>
    <row r="3322" ht="15.75" customHeight="1">
      <c r="A3322" s="262"/>
      <c r="B3322" s="262"/>
      <c r="C3322" s="263"/>
      <c r="D3322" s="262"/>
      <c r="E3322" s="81" t="s">
        <v>187</v>
      </c>
      <c r="F3322" s="81" t="s">
        <v>187</v>
      </c>
      <c r="G3322" s="81" t="s">
        <v>187</v>
      </c>
      <c r="H3322" s="81" t="s">
        <v>187</v>
      </c>
      <c r="I3322" s="81" t="s">
        <v>187</v>
      </c>
      <c r="J3322" s="81" t="s">
        <v>187</v>
      </c>
      <c r="K3322" s="81" t="s">
        <v>187</v>
      </c>
      <c r="L3322" s="81" t="s">
        <v>187</v>
      </c>
    </row>
    <row r="3323" ht="15.75" customHeight="1">
      <c r="A3323" s="262"/>
      <c r="B3323" s="262"/>
      <c r="C3323" s="263"/>
      <c r="D3323" s="262"/>
      <c r="E3323" s="81" t="s">
        <v>187</v>
      </c>
      <c r="F3323" s="81" t="s">
        <v>187</v>
      </c>
      <c r="G3323" s="81" t="s">
        <v>187</v>
      </c>
      <c r="H3323" s="81" t="s">
        <v>187</v>
      </c>
      <c r="I3323" s="81" t="s">
        <v>187</v>
      </c>
      <c r="J3323" s="81" t="s">
        <v>187</v>
      </c>
      <c r="K3323" s="81" t="s">
        <v>187</v>
      </c>
      <c r="L3323" s="81" t="s">
        <v>187</v>
      </c>
    </row>
    <row r="3324" ht="15.75" customHeight="1">
      <c r="A3324" s="262"/>
      <c r="B3324" s="262"/>
      <c r="C3324" s="263"/>
      <c r="D3324" s="262"/>
      <c r="E3324" s="81" t="s">
        <v>187</v>
      </c>
      <c r="F3324" s="81" t="s">
        <v>187</v>
      </c>
      <c r="G3324" s="81" t="s">
        <v>187</v>
      </c>
      <c r="H3324" s="81" t="s">
        <v>187</v>
      </c>
      <c r="I3324" s="81" t="s">
        <v>187</v>
      </c>
      <c r="J3324" s="81" t="s">
        <v>187</v>
      </c>
      <c r="K3324" s="81" t="s">
        <v>187</v>
      </c>
      <c r="L3324" s="81" t="s">
        <v>187</v>
      </c>
    </row>
    <row r="3325" ht="15.75" customHeight="1">
      <c r="A3325" s="262"/>
      <c r="B3325" s="262"/>
      <c r="C3325" s="263"/>
      <c r="D3325" s="262"/>
      <c r="E3325" s="81" t="s">
        <v>187</v>
      </c>
      <c r="F3325" s="81" t="s">
        <v>187</v>
      </c>
      <c r="G3325" s="81" t="s">
        <v>187</v>
      </c>
      <c r="H3325" s="81" t="s">
        <v>187</v>
      </c>
      <c r="I3325" s="81" t="s">
        <v>187</v>
      </c>
      <c r="J3325" s="81" t="s">
        <v>187</v>
      </c>
      <c r="K3325" s="81" t="s">
        <v>187</v>
      </c>
      <c r="L3325" s="81" t="s">
        <v>187</v>
      </c>
    </row>
    <row r="3326" ht="15.75" customHeight="1">
      <c r="A3326" s="262"/>
      <c r="B3326" s="262"/>
      <c r="C3326" s="263"/>
      <c r="D3326" s="262"/>
      <c r="E3326" s="81" t="s">
        <v>187</v>
      </c>
      <c r="F3326" s="81" t="s">
        <v>187</v>
      </c>
      <c r="G3326" s="81" t="s">
        <v>187</v>
      </c>
      <c r="H3326" s="81" t="s">
        <v>187</v>
      </c>
      <c r="I3326" s="81" t="s">
        <v>187</v>
      </c>
      <c r="J3326" s="81" t="s">
        <v>187</v>
      </c>
      <c r="K3326" s="81" t="s">
        <v>187</v>
      </c>
      <c r="L3326" s="81" t="s">
        <v>187</v>
      </c>
    </row>
    <row r="3327" ht="15.75" customHeight="1">
      <c r="A3327" s="262"/>
      <c r="B3327" s="262"/>
      <c r="C3327" s="263"/>
      <c r="D3327" s="262"/>
      <c r="E3327" s="81" t="s">
        <v>187</v>
      </c>
      <c r="F3327" s="81" t="s">
        <v>187</v>
      </c>
      <c r="G3327" s="81" t="s">
        <v>187</v>
      </c>
      <c r="H3327" s="81" t="s">
        <v>187</v>
      </c>
      <c r="I3327" s="81" t="s">
        <v>187</v>
      </c>
      <c r="J3327" s="81" t="s">
        <v>187</v>
      </c>
      <c r="K3327" s="81" t="s">
        <v>187</v>
      </c>
      <c r="L3327" s="81" t="s">
        <v>187</v>
      </c>
    </row>
    <row r="3328" ht="15.75" customHeight="1">
      <c r="A3328" s="262"/>
      <c r="B3328" s="262"/>
      <c r="C3328" s="263"/>
      <c r="D3328" s="262"/>
      <c r="E3328" s="81" t="s">
        <v>187</v>
      </c>
      <c r="F3328" s="81" t="s">
        <v>187</v>
      </c>
      <c r="G3328" s="81" t="s">
        <v>187</v>
      </c>
      <c r="H3328" s="81" t="s">
        <v>187</v>
      </c>
      <c r="I3328" s="81" t="s">
        <v>187</v>
      </c>
      <c r="J3328" s="81" t="s">
        <v>187</v>
      </c>
      <c r="K3328" s="81" t="s">
        <v>187</v>
      </c>
      <c r="L3328" s="81" t="s">
        <v>187</v>
      </c>
    </row>
    <row r="3329" ht="15.75" customHeight="1">
      <c r="A3329" s="262"/>
      <c r="B3329" s="262"/>
      <c r="C3329" s="263"/>
      <c r="D3329" s="262"/>
      <c r="E3329" s="81" t="s">
        <v>187</v>
      </c>
      <c r="F3329" s="81" t="s">
        <v>187</v>
      </c>
      <c r="G3329" s="81" t="s">
        <v>187</v>
      </c>
      <c r="H3329" s="81" t="s">
        <v>187</v>
      </c>
      <c r="I3329" s="81" t="s">
        <v>187</v>
      </c>
      <c r="J3329" s="81" t="s">
        <v>187</v>
      </c>
      <c r="K3329" s="81" t="s">
        <v>187</v>
      </c>
      <c r="L3329" s="81" t="s">
        <v>187</v>
      </c>
    </row>
    <row r="3330" ht="15.75" customHeight="1">
      <c r="A3330" s="262"/>
      <c r="B3330" s="262"/>
      <c r="C3330" s="263"/>
      <c r="D3330" s="262"/>
      <c r="E3330" s="81" t="s">
        <v>187</v>
      </c>
      <c r="F3330" s="81" t="s">
        <v>187</v>
      </c>
      <c r="G3330" s="81" t="s">
        <v>187</v>
      </c>
      <c r="H3330" s="81" t="s">
        <v>187</v>
      </c>
      <c r="I3330" s="81" t="s">
        <v>187</v>
      </c>
      <c r="J3330" s="81" t="s">
        <v>187</v>
      </c>
      <c r="K3330" s="81" t="s">
        <v>187</v>
      </c>
      <c r="L3330" s="81" t="s">
        <v>187</v>
      </c>
    </row>
    <row r="3331" ht="15.75" customHeight="1">
      <c r="A3331" s="262"/>
      <c r="B3331" s="262"/>
      <c r="C3331" s="263"/>
      <c r="D3331" s="262"/>
      <c r="E3331" s="81" t="s">
        <v>187</v>
      </c>
      <c r="F3331" s="81" t="s">
        <v>187</v>
      </c>
      <c r="G3331" s="81" t="s">
        <v>187</v>
      </c>
      <c r="H3331" s="81" t="s">
        <v>187</v>
      </c>
      <c r="I3331" s="81" t="s">
        <v>187</v>
      </c>
      <c r="J3331" s="81" t="s">
        <v>187</v>
      </c>
      <c r="K3331" s="81" t="s">
        <v>187</v>
      </c>
      <c r="L3331" s="81" t="s">
        <v>187</v>
      </c>
    </row>
    <row r="3332" ht="15.75" customHeight="1">
      <c r="A3332" s="262"/>
      <c r="B3332" s="262"/>
      <c r="C3332" s="263"/>
      <c r="D3332" s="262"/>
      <c r="E3332" s="81" t="s">
        <v>187</v>
      </c>
      <c r="F3332" s="81" t="s">
        <v>187</v>
      </c>
      <c r="G3332" s="81" t="s">
        <v>187</v>
      </c>
      <c r="H3332" s="81" t="s">
        <v>187</v>
      </c>
      <c r="I3332" s="81" t="s">
        <v>187</v>
      </c>
      <c r="J3332" s="81" t="s">
        <v>187</v>
      </c>
      <c r="K3332" s="81" t="s">
        <v>187</v>
      </c>
      <c r="L3332" s="81" t="s">
        <v>187</v>
      </c>
    </row>
    <row r="3333" ht="15.75" customHeight="1">
      <c r="A3333" s="262"/>
      <c r="B3333" s="262"/>
      <c r="C3333" s="263"/>
      <c r="D3333" s="262"/>
      <c r="E3333" s="81" t="s">
        <v>187</v>
      </c>
      <c r="F3333" s="81" t="s">
        <v>187</v>
      </c>
      <c r="G3333" s="81" t="s">
        <v>187</v>
      </c>
      <c r="H3333" s="81" t="s">
        <v>187</v>
      </c>
      <c r="I3333" s="81" t="s">
        <v>187</v>
      </c>
      <c r="J3333" s="81" t="s">
        <v>187</v>
      </c>
      <c r="K3333" s="81" t="s">
        <v>187</v>
      </c>
      <c r="L3333" s="81" t="s">
        <v>187</v>
      </c>
    </row>
    <row r="3334" ht="15.75" customHeight="1">
      <c r="A3334" s="262"/>
      <c r="B3334" s="262"/>
      <c r="C3334" s="263"/>
      <c r="D3334" s="262"/>
      <c r="E3334" s="81" t="s">
        <v>187</v>
      </c>
      <c r="F3334" s="81" t="s">
        <v>187</v>
      </c>
      <c r="G3334" s="81" t="s">
        <v>187</v>
      </c>
      <c r="H3334" s="81" t="s">
        <v>187</v>
      </c>
      <c r="I3334" s="81" t="s">
        <v>187</v>
      </c>
      <c r="J3334" s="81" t="s">
        <v>187</v>
      </c>
      <c r="K3334" s="81" t="s">
        <v>187</v>
      </c>
      <c r="L3334" s="81" t="s">
        <v>187</v>
      </c>
    </row>
    <row r="3335" ht="15.75" customHeight="1">
      <c r="A3335" s="262"/>
      <c r="B3335" s="262"/>
      <c r="C3335" s="263"/>
      <c r="D3335" s="262"/>
      <c r="E3335" s="81" t="s">
        <v>187</v>
      </c>
      <c r="F3335" s="81" t="s">
        <v>187</v>
      </c>
      <c r="G3335" s="81" t="s">
        <v>187</v>
      </c>
      <c r="H3335" s="81" t="s">
        <v>187</v>
      </c>
      <c r="I3335" s="81" t="s">
        <v>187</v>
      </c>
      <c r="J3335" s="81" t="s">
        <v>187</v>
      </c>
      <c r="K3335" s="81" t="s">
        <v>187</v>
      </c>
      <c r="L3335" s="81" t="s">
        <v>187</v>
      </c>
    </row>
    <row r="3336" ht="15.75" customHeight="1">
      <c r="A3336" s="262"/>
      <c r="B3336" s="262"/>
      <c r="C3336" s="263"/>
      <c r="D3336" s="262"/>
      <c r="E3336" s="81" t="s">
        <v>187</v>
      </c>
      <c r="F3336" s="81" t="s">
        <v>187</v>
      </c>
      <c r="G3336" s="81" t="s">
        <v>187</v>
      </c>
      <c r="H3336" s="81" t="s">
        <v>187</v>
      </c>
      <c r="I3336" s="81" t="s">
        <v>187</v>
      </c>
      <c r="J3336" s="81" t="s">
        <v>187</v>
      </c>
      <c r="K3336" s="81" t="s">
        <v>187</v>
      </c>
      <c r="L3336" s="81" t="s">
        <v>187</v>
      </c>
    </row>
    <row r="3337" ht="15.75" customHeight="1">
      <c r="A3337" s="262"/>
      <c r="B3337" s="262"/>
      <c r="C3337" s="263"/>
      <c r="D3337" s="262"/>
      <c r="E3337" s="81" t="s">
        <v>187</v>
      </c>
      <c r="F3337" s="81" t="s">
        <v>187</v>
      </c>
      <c r="G3337" s="81" t="s">
        <v>187</v>
      </c>
      <c r="H3337" s="81" t="s">
        <v>187</v>
      </c>
      <c r="I3337" s="81" t="s">
        <v>187</v>
      </c>
      <c r="J3337" s="81" t="s">
        <v>187</v>
      </c>
      <c r="K3337" s="81" t="s">
        <v>187</v>
      </c>
      <c r="L3337" s="81" t="s">
        <v>187</v>
      </c>
    </row>
    <row r="3338" ht="15.75" customHeight="1">
      <c r="A3338" s="262"/>
      <c r="B3338" s="262"/>
      <c r="C3338" s="263"/>
      <c r="D3338" s="262"/>
      <c r="E3338" s="81" t="s">
        <v>187</v>
      </c>
      <c r="F3338" s="81" t="s">
        <v>187</v>
      </c>
      <c r="G3338" s="81" t="s">
        <v>187</v>
      </c>
      <c r="H3338" s="81" t="s">
        <v>187</v>
      </c>
      <c r="I3338" s="81" t="s">
        <v>187</v>
      </c>
      <c r="J3338" s="81" t="s">
        <v>187</v>
      </c>
      <c r="K3338" s="81" t="s">
        <v>187</v>
      </c>
      <c r="L3338" s="81" t="s">
        <v>187</v>
      </c>
    </row>
    <row r="3339" ht="15.75" customHeight="1">
      <c r="A3339" s="262"/>
      <c r="B3339" s="262"/>
      <c r="C3339" s="263"/>
      <c r="D3339" s="262"/>
      <c r="E3339" s="81" t="s">
        <v>187</v>
      </c>
      <c r="F3339" s="81" t="s">
        <v>187</v>
      </c>
      <c r="G3339" s="81" t="s">
        <v>187</v>
      </c>
      <c r="H3339" s="81" t="s">
        <v>187</v>
      </c>
      <c r="I3339" s="81" t="s">
        <v>187</v>
      </c>
      <c r="J3339" s="81" t="s">
        <v>187</v>
      </c>
      <c r="K3339" s="81" t="s">
        <v>187</v>
      </c>
      <c r="L3339" s="81" t="s">
        <v>187</v>
      </c>
    </row>
    <row r="3340" ht="15.75" customHeight="1">
      <c r="A3340" s="262"/>
      <c r="B3340" s="262"/>
      <c r="C3340" s="263"/>
      <c r="D3340" s="262"/>
      <c r="E3340" s="81" t="s">
        <v>187</v>
      </c>
      <c r="F3340" s="81" t="s">
        <v>187</v>
      </c>
      <c r="G3340" s="81" t="s">
        <v>187</v>
      </c>
      <c r="H3340" s="81" t="s">
        <v>187</v>
      </c>
      <c r="I3340" s="81" t="s">
        <v>187</v>
      </c>
      <c r="J3340" s="81" t="s">
        <v>187</v>
      </c>
      <c r="K3340" s="81" t="s">
        <v>187</v>
      </c>
      <c r="L3340" s="81" t="s">
        <v>187</v>
      </c>
    </row>
    <row r="3341" ht="15.75" customHeight="1">
      <c r="A3341" s="262"/>
      <c r="B3341" s="262"/>
      <c r="C3341" s="263"/>
      <c r="D3341" s="262"/>
      <c r="E3341" s="81" t="s">
        <v>187</v>
      </c>
      <c r="F3341" s="81" t="s">
        <v>187</v>
      </c>
      <c r="G3341" s="81" t="s">
        <v>187</v>
      </c>
      <c r="H3341" s="81" t="s">
        <v>187</v>
      </c>
      <c r="I3341" s="81" t="s">
        <v>187</v>
      </c>
      <c r="J3341" s="81" t="s">
        <v>187</v>
      </c>
      <c r="K3341" s="81" t="s">
        <v>187</v>
      </c>
      <c r="L3341" s="81" t="s">
        <v>187</v>
      </c>
    </row>
    <row r="3342" ht="15.75" customHeight="1">
      <c r="A3342" s="262"/>
      <c r="B3342" s="262"/>
      <c r="C3342" s="263"/>
      <c r="D3342" s="262"/>
      <c r="E3342" s="81" t="s">
        <v>187</v>
      </c>
      <c r="F3342" s="81" t="s">
        <v>187</v>
      </c>
      <c r="G3342" s="81" t="s">
        <v>187</v>
      </c>
      <c r="H3342" s="81" t="s">
        <v>187</v>
      </c>
      <c r="I3342" s="81" t="s">
        <v>187</v>
      </c>
      <c r="J3342" s="81" t="s">
        <v>187</v>
      </c>
      <c r="K3342" s="81" t="s">
        <v>187</v>
      </c>
      <c r="L3342" s="81" t="s">
        <v>187</v>
      </c>
    </row>
    <row r="3343" ht="15.75" customHeight="1">
      <c r="A3343" s="262"/>
      <c r="B3343" s="262"/>
      <c r="C3343" s="263"/>
      <c r="D3343" s="262"/>
      <c r="E3343" s="81" t="s">
        <v>187</v>
      </c>
      <c r="F3343" s="81" t="s">
        <v>187</v>
      </c>
      <c r="G3343" s="81" t="s">
        <v>187</v>
      </c>
      <c r="H3343" s="81" t="s">
        <v>187</v>
      </c>
      <c r="I3343" s="81" t="s">
        <v>187</v>
      </c>
      <c r="J3343" s="81" t="s">
        <v>187</v>
      </c>
      <c r="K3343" s="81" t="s">
        <v>187</v>
      </c>
      <c r="L3343" s="81" t="s">
        <v>187</v>
      </c>
    </row>
    <row r="3344" ht="15.75" customHeight="1">
      <c r="A3344" s="262"/>
      <c r="B3344" s="262"/>
      <c r="C3344" s="263"/>
      <c r="D3344" s="262"/>
      <c r="E3344" s="81" t="s">
        <v>187</v>
      </c>
      <c r="F3344" s="81" t="s">
        <v>187</v>
      </c>
      <c r="G3344" s="81" t="s">
        <v>187</v>
      </c>
      <c r="H3344" s="81" t="s">
        <v>187</v>
      </c>
      <c r="I3344" s="81" t="s">
        <v>187</v>
      </c>
      <c r="J3344" s="81" t="s">
        <v>187</v>
      </c>
      <c r="K3344" s="81" t="s">
        <v>187</v>
      </c>
      <c r="L3344" s="81" t="s">
        <v>187</v>
      </c>
    </row>
    <row r="3345" ht="15.75" customHeight="1">
      <c r="A3345" s="262"/>
      <c r="B3345" s="262"/>
      <c r="C3345" s="263"/>
      <c r="D3345" s="262"/>
      <c r="E3345" s="81" t="s">
        <v>187</v>
      </c>
      <c r="F3345" s="81" t="s">
        <v>187</v>
      </c>
      <c r="G3345" s="81" t="s">
        <v>187</v>
      </c>
      <c r="H3345" s="81" t="s">
        <v>187</v>
      </c>
      <c r="I3345" s="81" t="s">
        <v>187</v>
      </c>
      <c r="J3345" s="81" t="s">
        <v>187</v>
      </c>
      <c r="K3345" s="81" t="s">
        <v>187</v>
      </c>
      <c r="L3345" s="81" t="s">
        <v>187</v>
      </c>
    </row>
    <row r="3346" ht="15.75" customHeight="1">
      <c r="A3346" s="262"/>
      <c r="B3346" s="262"/>
      <c r="C3346" s="263"/>
      <c r="D3346" s="262"/>
      <c r="E3346" s="81" t="s">
        <v>187</v>
      </c>
      <c r="F3346" s="81" t="s">
        <v>187</v>
      </c>
      <c r="G3346" s="81" t="s">
        <v>187</v>
      </c>
      <c r="H3346" s="81" t="s">
        <v>187</v>
      </c>
      <c r="I3346" s="81" t="s">
        <v>187</v>
      </c>
      <c r="J3346" s="81" t="s">
        <v>187</v>
      </c>
      <c r="K3346" s="81" t="s">
        <v>187</v>
      </c>
      <c r="L3346" s="81" t="s">
        <v>187</v>
      </c>
    </row>
    <row r="3347" ht="15.75" customHeight="1">
      <c r="A3347" s="262"/>
      <c r="B3347" s="262"/>
      <c r="C3347" s="263"/>
      <c r="D3347" s="262"/>
      <c r="E3347" s="81" t="s">
        <v>187</v>
      </c>
      <c r="F3347" s="81" t="s">
        <v>187</v>
      </c>
      <c r="G3347" s="81" t="s">
        <v>187</v>
      </c>
      <c r="H3347" s="81" t="s">
        <v>187</v>
      </c>
      <c r="I3347" s="81" t="s">
        <v>187</v>
      </c>
      <c r="J3347" s="81" t="s">
        <v>187</v>
      </c>
      <c r="K3347" s="81" t="s">
        <v>187</v>
      </c>
      <c r="L3347" s="81" t="s">
        <v>187</v>
      </c>
    </row>
    <row r="3348" ht="15.75" customHeight="1">
      <c r="A3348" s="262"/>
      <c r="B3348" s="262"/>
      <c r="C3348" s="263"/>
      <c r="D3348" s="262"/>
      <c r="E3348" s="81" t="s">
        <v>187</v>
      </c>
      <c r="F3348" s="81" t="s">
        <v>187</v>
      </c>
      <c r="G3348" s="81" t="s">
        <v>187</v>
      </c>
      <c r="H3348" s="81" t="s">
        <v>187</v>
      </c>
      <c r="I3348" s="81" t="s">
        <v>187</v>
      </c>
      <c r="J3348" s="81" t="s">
        <v>187</v>
      </c>
      <c r="K3348" s="81" t="s">
        <v>187</v>
      </c>
      <c r="L3348" s="81" t="s">
        <v>187</v>
      </c>
    </row>
    <row r="3349" ht="15.75" customHeight="1">
      <c r="A3349" s="262"/>
      <c r="B3349" s="262"/>
      <c r="C3349" s="263"/>
      <c r="D3349" s="262"/>
      <c r="E3349" s="81" t="s">
        <v>187</v>
      </c>
      <c r="F3349" s="81" t="s">
        <v>187</v>
      </c>
      <c r="G3349" s="81" t="s">
        <v>187</v>
      </c>
      <c r="H3349" s="81" t="s">
        <v>187</v>
      </c>
      <c r="I3349" s="81" t="s">
        <v>187</v>
      </c>
      <c r="J3349" s="81" t="s">
        <v>187</v>
      </c>
      <c r="K3349" s="81" t="s">
        <v>187</v>
      </c>
      <c r="L3349" s="81" t="s">
        <v>187</v>
      </c>
    </row>
    <row r="3350" ht="15.75" customHeight="1">
      <c r="A3350" s="262"/>
      <c r="B3350" s="262"/>
      <c r="C3350" s="263"/>
      <c r="D3350" s="262"/>
      <c r="E3350" s="81" t="s">
        <v>187</v>
      </c>
      <c r="F3350" s="81" t="s">
        <v>187</v>
      </c>
      <c r="G3350" s="81" t="s">
        <v>187</v>
      </c>
      <c r="H3350" s="81" t="s">
        <v>187</v>
      </c>
      <c r="I3350" s="81" t="s">
        <v>187</v>
      </c>
      <c r="J3350" s="81" t="s">
        <v>187</v>
      </c>
      <c r="K3350" s="81" t="s">
        <v>187</v>
      </c>
      <c r="L3350" s="81" t="s">
        <v>187</v>
      </c>
    </row>
    <row r="3351" ht="15.75" customHeight="1">
      <c r="A3351" s="262"/>
      <c r="B3351" s="262"/>
      <c r="C3351" s="263"/>
      <c r="D3351" s="262"/>
      <c r="E3351" s="81" t="s">
        <v>187</v>
      </c>
      <c r="F3351" s="81" t="s">
        <v>187</v>
      </c>
      <c r="G3351" s="81" t="s">
        <v>187</v>
      </c>
      <c r="H3351" s="81" t="s">
        <v>187</v>
      </c>
      <c r="I3351" s="81" t="s">
        <v>187</v>
      </c>
      <c r="J3351" s="81" t="s">
        <v>187</v>
      </c>
      <c r="K3351" s="81" t="s">
        <v>187</v>
      </c>
      <c r="L3351" s="81" t="s">
        <v>187</v>
      </c>
    </row>
    <row r="3352" ht="15.75" customHeight="1">
      <c r="A3352" s="262"/>
      <c r="B3352" s="262"/>
      <c r="C3352" s="263"/>
      <c r="D3352" s="262"/>
      <c r="E3352" s="81" t="s">
        <v>187</v>
      </c>
      <c r="F3352" s="81" t="s">
        <v>187</v>
      </c>
      <c r="G3352" s="81" t="s">
        <v>187</v>
      </c>
      <c r="H3352" s="81" t="s">
        <v>187</v>
      </c>
      <c r="I3352" s="81" t="s">
        <v>187</v>
      </c>
      <c r="J3352" s="81" t="s">
        <v>187</v>
      </c>
      <c r="K3352" s="81" t="s">
        <v>187</v>
      </c>
      <c r="L3352" s="81" t="s">
        <v>187</v>
      </c>
    </row>
    <row r="3353" ht="15.75" customHeight="1">
      <c r="A3353" s="262"/>
      <c r="B3353" s="262"/>
      <c r="C3353" s="263"/>
      <c r="D3353" s="262"/>
      <c r="E3353" s="81" t="s">
        <v>187</v>
      </c>
      <c r="F3353" s="81" t="s">
        <v>187</v>
      </c>
      <c r="G3353" s="81" t="s">
        <v>187</v>
      </c>
      <c r="H3353" s="81" t="s">
        <v>187</v>
      </c>
      <c r="I3353" s="81" t="s">
        <v>187</v>
      </c>
      <c r="J3353" s="81" t="s">
        <v>187</v>
      </c>
      <c r="K3353" s="81" t="s">
        <v>187</v>
      </c>
      <c r="L3353" s="81" t="s">
        <v>187</v>
      </c>
    </row>
    <row r="3354" ht="15.75" customHeight="1">
      <c r="A3354" s="262"/>
      <c r="B3354" s="262"/>
      <c r="C3354" s="263"/>
      <c r="D3354" s="262"/>
      <c r="E3354" s="81" t="s">
        <v>187</v>
      </c>
      <c r="F3354" s="81" t="s">
        <v>187</v>
      </c>
      <c r="G3354" s="81" t="s">
        <v>187</v>
      </c>
      <c r="H3354" s="81" t="s">
        <v>187</v>
      </c>
      <c r="I3354" s="81" t="s">
        <v>187</v>
      </c>
      <c r="J3354" s="81" t="s">
        <v>187</v>
      </c>
      <c r="K3354" s="81" t="s">
        <v>187</v>
      </c>
      <c r="L3354" s="81" t="s">
        <v>187</v>
      </c>
    </row>
    <row r="3355" ht="15.75" customHeight="1">
      <c r="A3355" s="262"/>
      <c r="B3355" s="262"/>
      <c r="C3355" s="263"/>
      <c r="D3355" s="262"/>
      <c r="E3355" s="81" t="s">
        <v>187</v>
      </c>
      <c r="F3355" s="81" t="s">
        <v>187</v>
      </c>
      <c r="G3355" s="81" t="s">
        <v>187</v>
      </c>
      <c r="H3355" s="81" t="s">
        <v>187</v>
      </c>
      <c r="I3355" s="81" t="s">
        <v>187</v>
      </c>
      <c r="J3355" s="81" t="s">
        <v>187</v>
      </c>
      <c r="K3355" s="81" t="s">
        <v>187</v>
      </c>
      <c r="L3355" s="81" t="s">
        <v>187</v>
      </c>
    </row>
    <row r="3356" ht="15.75" customHeight="1">
      <c r="A3356" s="262"/>
      <c r="B3356" s="262"/>
      <c r="C3356" s="263"/>
      <c r="D3356" s="262"/>
      <c r="E3356" s="81" t="s">
        <v>187</v>
      </c>
      <c r="F3356" s="81" t="s">
        <v>187</v>
      </c>
      <c r="G3356" s="81" t="s">
        <v>187</v>
      </c>
      <c r="H3356" s="81" t="s">
        <v>187</v>
      </c>
      <c r="I3356" s="81" t="s">
        <v>187</v>
      </c>
      <c r="J3356" s="81" t="s">
        <v>187</v>
      </c>
      <c r="K3356" s="81" t="s">
        <v>187</v>
      </c>
      <c r="L3356" s="81" t="s">
        <v>187</v>
      </c>
    </row>
    <row r="3357" ht="15.75" customHeight="1">
      <c r="A3357" s="262"/>
      <c r="B3357" s="262"/>
      <c r="C3357" s="263"/>
      <c r="D3357" s="262"/>
      <c r="E3357" s="81" t="s">
        <v>187</v>
      </c>
      <c r="F3357" s="81" t="s">
        <v>187</v>
      </c>
      <c r="G3357" s="81" t="s">
        <v>187</v>
      </c>
      <c r="H3357" s="81" t="s">
        <v>187</v>
      </c>
      <c r="I3357" s="81" t="s">
        <v>187</v>
      </c>
      <c r="J3357" s="81" t="s">
        <v>187</v>
      </c>
      <c r="K3357" s="81" t="s">
        <v>187</v>
      </c>
      <c r="L3357" s="81" t="s">
        <v>187</v>
      </c>
    </row>
    <row r="3358" ht="15.75" customHeight="1">
      <c r="A3358" s="262"/>
      <c r="B3358" s="262"/>
      <c r="C3358" s="263"/>
      <c r="D3358" s="262"/>
      <c r="E3358" s="81" t="s">
        <v>187</v>
      </c>
      <c r="F3358" s="81" t="s">
        <v>187</v>
      </c>
      <c r="G3358" s="81" t="s">
        <v>187</v>
      </c>
      <c r="H3358" s="81" t="s">
        <v>187</v>
      </c>
      <c r="I3358" s="81" t="s">
        <v>187</v>
      </c>
      <c r="J3358" s="81" t="s">
        <v>187</v>
      </c>
      <c r="K3358" s="81" t="s">
        <v>187</v>
      </c>
      <c r="L3358" s="81" t="s">
        <v>187</v>
      </c>
    </row>
    <row r="3359" ht="15.75" customHeight="1">
      <c r="A3359" s="262"/>
      <c r="B3359" s="262"/>
      <c r="C3359" s="263"/>
      <c r="D3359" s="262"/>
      <c r="E3359" s="81" t="s">
        <v>187</v>
      </c>
      <c r="F3359" s="81" t="s">
        <v>187</v>
      </c>
      <c r="G3359" s="81" t="s">
        <v>187</v>
      </c>
      <c r="H3359" s="81" t="s">
        <v>187</v>
      </c>
      <c r="I3359" s="81" t="s">
        <v>187</v>
      </c>
      <c r="J3359" s="81" t="s">
        <v>187</v>
      </c>
      <c r="K3359" s="81" t="s">
        <v>187</v>
      </c>
      <c r="L3359" s="81" t="s">
        <v>187</v>
      </c>
    </row>
    <row r="3360" ht="15.75" customHeight="1">
      <c r="A3360" s="262"/>
      <c r="B3360" s="262"/>
      <c r="C3360" s="263"/>
      <c r="D3360" s="262"/>
      <c r="E3360" s="81" t="s">
        <v>187</v>
      </c>
      <c r="F3360" s="81" t="s">
        <v>187</v>
      </c>
      <c r="G3360" s="81" t="s">
        <v>187</v>
      </c>
      <c r="H3360" s="81" t="s">
        <v>187</v>
      </c>
      <c r="I3360" s="81" t="s">
        <v>187</v>
      </c>
      <c r="J3360" s="81" t="s">
        <v>187</v>
      </c>
      <c r="K3360" s="81" t="s">
        <v>187</v>
      </c>
      <c r="L3360" s="81" t="s">
        <v>187</v>
      </c>
    </row>
    <row r="3361" ht="15.75" customHeight="1">
      <c r="A3361" s="262"/>
      <c r="B3361" s="262"/>
      <c r="C3361" s="263"/>
      <c r="D3361" s="262"/>
      <c r="E3361" s="81" t="s">
        <v>187</v>
      </c>
      <c r="F3361" s="81" t="s">
        <v>187</v>
      </c>
      <c r="G3361" s="81" t="s">
        <v>187</v>
      </c>
      <c r="H3361" s="81" t="s">
        <v>187</v>
      </c>
      <c r="I3361" s="81" t="s">
        <v>187</v>
      </c>
      <c r="J3361" s="81" t="s">
        <v>187</v>
      </c>
      <c r="K3361" s="81" t="s">
        <v>187</v>
      </c>
      <c r="L3361" s="81" t="s">
        <v>187</v>
      </c>
    </row>
    <row r="3362" ht="15.75" customHeight="1">
      <c r="A3362" s="262"/>
      <c r="B3362" s="262"/>
      <c r="C3362" s="263"/>
      <c r="D3362" s="262"/>
      <c r="E3362" s="81" t="s">
        <v>187</v>
      </c>
      <c r="F3362" s="81" t="s">
        <v>187</v>
      </c>
      <c r="G3362" s="81" t="s">
        <v>187</v>
      </c>
      <c r="H3362" s="81" t="s">
        <v>187</v>
      </c>
      <c r="I3362" s="81" t="s">
        <v>187</v>
      </c>
      <c r="J3362" s="81" t="s">
        <v>187</v>
      </c>
      <c r="K3362" s="81" t="s">
        <v>187</v>
      </c>
      <c r="L3362" s="81" t="s">
        <v>187</v>
      </c>
    </row>
    <row r="3363" ht="15.75" customHeight="1">
      <c r="A3363" s="262"/>
      <c r="B3363" s="262"/>
      <c r="C3363" s="263"/>
      <c r="D3363" s="262"/>
      <c r="E3363" s="81" t="s">
        <v>187</v>
      </c>
      <c r="F3363" s="81" t="s">
        <v>187</v>
      </c>
      <c r="G3363" s="81" t="s">
        <v>187</v>
      </c>
      <c r="H3363" s="81" t="s">
        <v>187</v>
      </c>
      <c r="I3363" s="81" t="s">
        <v>187</v>
      </c>
      <c r="J3363" s="81" t="s">
        <v>187</v>
      </c>
      <c r="K3363" s="81" t="s">
        <v>187</v>
      </c>
      <c r="L3363" s="81" t="s">
        <v>187</v>
      </c>
    </row>
    <row r="3364" ht="15.75" customHeight="1">
      <c r="A3364" s="262"/>
      <c r="B3364" s="262"/>
      <c r="C3364" s="263"/>
      <c r="D3364" s="262"/>
      <c r="E3364" s="81" t="s">
        <v>187</v>
      </c>
      <c r="F3364" s="81" t="s">
        <v>187</v>
      </c>
      <c r="G3364" s="81" t="s">
        <v>187</v>
      </c>
      <c r="H3364" s="81" t="s">
        <v>187</v>
      </c>
      <c r="I3364" s="81" t="s">
        <v>187</v>
      </c>
      <c r="J3364" s="81" t="s">
        <v>187</v>
      </c>
      <c r="K3364" s="81" t="s">
        <v>187</v>
      </c>
      <c r="L3364" s="81" t="s">
        <v>187</v>
      </c>
    </row>
    <row r="3365" ht="15.75" customHeight="1">
      <c r="A3365" s="262"/>
      <c r="B3365" s="262"/>
      <c r="C3365" s="263"/>
      <c r="D3365" s="262"/>
      <c r="E3365" s="81" t="s">
        <v>187</v>
      </c>
      <c r="F3365" s="81" t="s">
        <v>187</v>
      </c>
      <c r="G3365" s="81" t="s">
        <v>187</v>
      </c>
      <c r="H3365" s="81" t="s">
        <v>187</v>
      </c>
      <c r="I3365" s="81" t="s">
        <v>187</v>
      </c>
      <c r="J3365" s="81" t="s">
        <v>187</v>
      </c>
      <c r="K3365" s="81" t="s">
        <v>187</v>
      </c>
      <c r="L3365" s="81" t="s">
        <v>187</v>
      </c>
    </row>
    <row r="3366" ht="15.75" customHeight="1">
      <c r="A3366" s="262"/>
      <c r="B3366" s="262"/>
      <c r="C3366" s="263"/>
      <c r="D3366" s="262"/>
      <c r="E3366" s="81" t="s">
        <v>187</v>
      </c>
      <c r="F3366" s="81" t="s">
        <v>187</v>
      </c>
      <c r="G3366" s="81" t="s">
        <v>187</v>
      </c>
      <c r="H3366" s="81" t="s">
        <v>187</v>
      </c>
      <c r="I3366" s="81" t="s">
        <v>187</v>
      </c>
      <c r="J3366" s="81" t="s">
        <v>187</v>
      </c>
      <c r="K3366" s="81" t="s">
        <v>187</v>
      </c>
      <c r="L3366" s="81" t="s">
        <v>187</v>
      </c>
    </row>
    <row r="3367" ht="15.75" customHeight="1">
      <c r="A3367" s="262"/>
      <c r="B3367" s="262"/>
      <c r="C3367" s="263"/>
      <c r="D3367" s="262"/>
      <c r="E3367" s="81" t="s">
        <v>187</v>
      </c>
      <c r="F3367" s="81" t="s">
        <v>187</v>
      </c>
      <c r="G3367" s="81" t="s">
        <v>187</v>
      </c>
      <c r="H3367" s="81" t="s">
        <v>187</v>
      </c>
      <c r="I3367" s="81" t="s">
        <v>187</v>
      </c>
      <c r="J3367" s="81" t="s">
        <v>187</v>
      </c>
      <c r="K3367" s="81" t="s">
        <v>187</v>
      </c>
      <c r="L3367" s="81" t="s">
        <v>187</v>
      </c>
    </row>
    <row r="3368" ht="15.75" customHeight="1">
      <c r="A3368" s="262"/>
      <c r="B3368" s="262"/>
      <c r="C3368" s="263"/>
      <c r="D3368" s="262"/>
      <c r="E3368" s="81" t="s">
        <v>187</v>
      </c>
      <c r="F3368" s="81" t="s">
        <v>187</v>
      </c>
      <c r="G3368" s="81" t="s">
        <v>187</v>
      </c>
      <c r="H3368" s="81" t="s">
        <v>187</v>
      </c>
      <c r="I3368" s="81" t="s">
        <v>187</v>
      </c>
      <c r="J3368" s="81" t="s">
        <v>187</v>
      </c>
      <c r="K3368" s="81" t="s">
        <v>187</v>
      </c>
      <c r="L3368" s="81" t="s">
        <v>187</v>
      </c>
    </row>
    <row r="3369" ht="15.75" customHeight="1">
      <c r="A3369" s="262"/>
      <c r="B3369" s="262"/>
      <c r="C3369" s="263"/>
      <c r="D3369" s="262"/>
      <c r="E3369" s="81" t="s">
        <v>187</v>
      </c>
      <c r="F3369" s="81" t="s">
        <v>187</v>
      </c>
      <c r="G3369" s="81" t="s">
        <v>187</v>
      </c>
      <c r="H3369" s="81" t="s">
        <v>187</v>
      </c>
      <c r="I3369" s="81" t="s">
        <v>187</v>
      </c>
      <c r="J3369" s="81" t="s">
        <v>187</v>
      </c>
      <c r="K3369" s="81" t="s">
        <v>187</v>
      </c>
      <c r="L3369" s="81" t="s">
        <v>187</v>
      </c>
    </row>
    <row r="3370" ht="15.75" customHeight="1">
      <c r="A3370" s="262"/>
      <c r="B3370" s="262"/>
      <c r="C3370" s="263"/>
      <c r="D3370" s="262"/>
      <c r="E3370" s="81" t="s">
        <v>187</v>
      </c>
      <c r="F3370" s="81" t="s">
        <v>187</v>
      </c>
      <c r="G3370" s="81" t="s">
        <v>187</v>
      </c>
      <c r="H3370" s="81" t="s">
        <v>187</v>
      </c>
      <c r="I3370" s="81" t="s">
        <v>187</v>
      </c>
      <c r="J3370" s="81" t="s">
        <v>187</v>
      </c>
      <c r="K3370" s="81" t="s">
        <v>187</v>
      </c>
      <c r="L3370" s="81" t="s">
        <v>187</v>
      </c>
    </row>
    <row r="3371" ht="15.75" customHeight="1">
      <c r="A3371" s="262"/>
      <c r="B3371" s="262"/>
      <c r="C3371" s="263"/>
      <c r="D3371" s="262"/>
      <c r="E3371" s="81" t="s">
        <v>187</v>
      </c>
      <c r="F3371" s="81" t="s">
        <v>187</v>
      </c>
      <c r="G3371" s="81" t="s">
        <v>187</v>
      </c>
      <c r="H3371" s="81" t="s">
        <v>187</v>
      </c>
      <c r="I3371" s="81" t="s">
        <v>187</v>
      </c>
      <c r="J3371" s="81" t="s">
        <v>187</v>
      </c>
      <c r="K3371" s="81" t="s">
        <v>187</v>
      </c>
      <c r="L3371" s="81" t="s">
        <v>187</v>
      </c>
    </row>
    <row r="3372" ht="15.75" customHeight="1">
      <c r="A3372" s="262"/>
      <c r="B3372" s="262"/>
      <c r="C3372" s="263"/>
      <c r="D3372" s="262"/>
      <c r="E3372" s="81" t="s">
        <v>187</v>
      </c>
      <c r="F3372" s="81" t="s">
        <v>187</v>
      </c>
      <c r="G3372" s="81" t="s">
        <v>187</v>
      </c>
      <c r="H3372" s="81" t="s">
        <v>187</v>
      </c>
      <c r="I3372" s="81" t="s">
        <v>187</v>
      </c>
      <c r="J3372" s="81" t="s">
        <v>187</v>
      </c>
      <c r="K3372" s="81" t="s">
        <v>187</v>
      </c>
      <c r="L3372" s="81" t="s">
        <v>187</v>
      </c>
    </row>
    <row r="3373" ht="15.75" customHeight="1">
      <c r="A3373" s="262"/>
      <c r="B3373" s="262"/>
      <c r="C3373" s="263"/>
      <c r="D3373" s="262"/>
      <c r="E3373" s="81" t="s">
        <v>187</v>
      </c>
      <c r="F3373" s="81" t="s">
        <v>187</v>
      </c>
      <c r="G3373" s="81" t="s">
        <v>187</v>
      </c>
      <c r="H3373" s="81" t="s">
        <v>187</v>
      </c>
      <c r="I3373" s="81" t="s">
        <v>187</v>
      </c>
      <c r="J3373" s="81" t="s">
        <v>187</v>
      </c>
      <c r="K3373" s="81" t="s">
        <v>187</v>
      </c>
      <c r="L3373" s="81" t="s">
        <v>187</v>
      </c>
    </row>
    <row r="3374" ht="15.75" customHeight="1">
      <c r="A3374" s="262"/>
      <c r="B3374" s="262"/>
      <c r="C3374" s="263"/>
      <c r="D3374" s="262"/>
      <c r="E3374" s="81" t="s">
        <v>187</v>
      </c>
      <c r="F3374" s="81" t="s">
        <v>187</v>
      </c>
      <c r="G3374" s="81" t="s">
        <v>187</v>
      </c>
      <c r="H3374" s="81" t="s">
        <v>187</v>
      </c>
      <c r="I3374" s="81" t="s">
        <v>187</v>
      </c>
      <c r="J3374" s="81" t="s">
        <v>187</v>
      </c>
      <c r="K3374" s="81" t="s">
        <v>187</v>
      </c>
      <c r="L3374" s="81" t="s">
        <v>187</v>
      </c>
    </row>
    <row r="3375" ht="15.75" customHeight="1">
      <c r="A3375" s="262"/>
      <c r="B3375" s="262"/>
      <c r="C3375" s="263"/>
      <c r="D3375" s="262"/>
      <c r="E3375" s="81" t="s">
        <v>187</v>
      </c>
      <c r="F3375" s="81" t="s">
        <v>187</v>
      </c>
      <c r="G3375" s="81" t="s">
        <v>187</v>
      </c>
      <c r="H3375" s="81" t="s">
        <v>187</v>
      </c>
      <c r="I3375" s="81" t="s">
        <v>187</v>
      </c>
      <c r="J3375" s="81" t="s">
        <v>187</v>
      </c>
      <c r="K3375" s="81" t="s">
        <v>187</v>
      </c>
      <c r="L3375" s="81" t="s">
        <v>187</v>
      </c>
    </row>
    <row r="3376" ht="15.75" customHeight="1">
      <c r="A3376" s="262"/>
      <c r="B3376" s="262"/>
      <c r="C3376" s="263"/>
      <c r="D3376" s="262"/>
      <c r="E3376" s="81" t="s">
        <v>187</v>
      </c>
      <c r="F3376" s="81" t="s">
        <v>187</v>
      </c>
      <c r="G3376" s="81" t="s">
        <v>187</v>
      </c>
      <c r="H3376" s="81" t="s">
        <v>187</v>
      </c>
      <c r="I3376" s="81" t="s">
        <v>187</v>
      </c>
      <c r="J3376" s="81" t="s">
        <v>187</v>
      </c>
      <c r="K3376" s="81" t="s">
        <v>187</v>
      </c>
      <c r="L3376" s="81" t="s">
        <v>187</v>
      </c>
    </row>
    <row r="3377" ht="15.75" customHeight="1">
      <c r="A3377" s="262"/>
      <c r="B3377" s="262"/>
      <c r="C3377" s="263"/>
      <c r="D3377" s="262"/>
      <c r="E3377" s="81" t="s">
        <v>187</v>
      </c>
      <c r="F3377" s="81" t="s">
        <v>187</v>
      </c>
      <c r="G3377" s="81" t="s">
        <v>187</v>
      </c>
      <c r="H3377" s="81" t="s">
        <v>187</v>
      </c>
      <c r="I3377" s="81" t="s">
        <v>187</v>
      </c>
      <c r="J3377" s="81" t="s">
        <v>187</v>
      </c>
      <c r="K3377" s="81" t="s">
        <v>187</v>
      </c>
      <c r="L3377" s="81" t="s">
        <v>187</v>
      </c>
    </row>
    <row r="3378" ht="15.75" customHeight="1">
      <c r="A3378" s="262"/>
      <c r="B3378" s="262"/>
      <c r="C3378" s="263"/>
      <c r="D3378" s="262"/>
      <c r="E3378" s="81" t="s">
        <v>187</v>
      </c>
      <c r="F3378" s="81" t="s">
        <v>187</v>
      </c>
      <c r="G3378" s="81" t="s">
        <v>187</v>
      </c>
      <c r="H3378" s="81" t="s">
        <v>187</v>
      </c>
      <c r="I3378" s="81" t="s">
        <v>187</v>
      </c>
      <c r="J3378" s="81" t="s">
        <v>187</v>
      </c>
      <c r="K3378" s="81" t="s">
        <v>187</v>
      </c>
      <c r="L3378" s="81" t="s">
        <v>187</v>
      </c>
    </row>
    <row r="3379" ht="15.75" customHeight="1">
      <c r="A3379" s="262"/>
      <c r="B3379" s="262"/>
      <c r="C3379" s="263"/>
      <c r="D3379" s="262"/>
      <c r="E3379" s="81" t="s">
        <v>187</v>
      </c>
      <c r="F3379" s="81" t="s">
        <v>187</v>
      </c>
      <c r="G3379" s="81" t="s">
        <v>187</v>
      </c>
      <c r="H3379" s="81" t="s">
        <v>187</v>
      </c>
      <c r="I3379" s="81" t="s">
        <v>187</v>
      </c>
      <c r="J3379" s="81" t="s">
        <v>187</v>
      </c>
      <c r="K3379" s="81" t="s">
        <v>187</v>
      </c>
      <c r="L3379" s="81" t="s">
        <v>187</v>
      </c>
    </row>
    <row r="3380" ht="15.75" customHeight="1">
      <c r="A3380" s="262"/>
      <c r="B3380" s="262"/>
      <c r="C3380" s="263"/>
      <c r="D3380" s="262"/>
      <c r="E3380" s="81" t="s">
        <v>187</v>
      </c>
      <c r="F3380" s="81" t="s">
        <v>187</v>
      </c>
      <c r="G3380" s="81" t="s">
        <v>187</v>
      </c>
      <c r="H3380" s="81" t="s">
        <v>187</v>
      </c>
      <c r="I3380" s="81" t="s">
        <v>187</v>
      </c>
      <c r="J3380" s="81" t="s">
        <v>187</v>
      </c>
      <c r="K3380" s="81" t="s">
        <v>187</v>
      </c>
      <c r="L3380" s="81" t="s">
        <v>187</v>
      </c>
    </row>
    <row r="3381" ht="15.75" customHeight="1">
      <c r="A3381" s="262"/>
      <c r="B3381" s="262"/>
      <c r="C3381" s="263"/>
      <c r="D3381" s="262"/>
      <c r="E3381" s="81" t="s">
        <v>187</v>
      </c>
      <c r="F3381" s="81" t="s">
        <v>187</v>
      </c>
      <c r="G3381" s="81" t="s">
        <v>187</v>
      </c>
      <c r="H3381" s="81" t="s">
        <v>187</v>
      </c>
      <c r="I3381" s="81" t="s">
        <v>187</v>
      </c>
      <c r="J3381" s="81" t="s">
        <v>187</v>
      </c>
      <c r="K3381" s="81" t="s">
        <v>187</v>
      </c>
      <c r="L3381" s="81" t="s">
        <v>187</v>
      </c>
    </row>
    <row r="3382" ht="15.75" customHeight="1">
      <c r="A3382" s="262"/>
      <c r="B3382" s="262"/>
      <c r="C3382" s="263"/>
      <c r="D3382" s="262"/>
      <c r="E3382" s="81" t="s">
        <v>187</v>
      </c>
      <c r="F3382" s="81" t="s">
        <v>187</v>
      </c>
      <c r="G3382" s="81" t="s">
        <v>187</v>
      </c>
      <c r="H3382" s="81" t="s">
        <v>187</v>
      </c>
      <c r="I3382" s="81" t="s">
        <v>187</v>
      </c>
      <c r="J3382" s="81" t="s">
        <v>187</v>
      </c>
      <c r="K3382" s="81" t="s">
        <v>187</v>
      </c>
      <c r="L3382" s="81" t="s">
        <v>187</v>
      </c>
    </row>
    <row r="3383" ht="15.75" customHeight="1">
      <c r="A3383" s="262"/>
      <c r="B3383" s="262"/>
      <c r="C3383" s="263"/>
      <c r="D3383" s="262"/>
      <c r="E3383" s="81" t="s">
        <v>187</v>
      </c>
      <c r="F3383" s="81" t="s">
        <v>187</v>
      </c>
      <c r="G3383" s="81" t="s">
        <v>187</v>
      </c>
      <c r="H3383" s="81" t="s">
        <v>187</v>
      </c>
      <c r="I3383" s="81" t="s">
        <v>187</v>
      </c>
      <c r="J3383" s="81" t="s">
        <v>187</v>
      </c>
      <c r="K3383" s="81" t="s">
        <v>187</v>
      </c>
      <c r="L3383" s="81" t="s">
        <v>187</v>
      </c>
    </row>
    <row r="3384" ht="15.75" customHeight="1">
      <c r="A3384" s="262"/>
      <c r="B3384" s="262"/>
      <c r="C3384" s="263"/>
      <c r="D3384" s="262"/>
      <c r="E3384" s="81" t="s">
        <v>187</v>
      </c>
      <c r="F3384" s="81" t="s">
        <v>187</v>
      </c>
      <c r="G3384" s="81" t="s">
        <v>187</v>
      </c>
      <c r="H3384" s="81" t="s">
        <v>187</v>
      </c>
      <c r="I3384" s="81" t="s">
        <v>187</v>
      </c>
      <c r="J3384" s="81" t="s">
        <v>187</v>
      </c>
      <c r="K3384" s="81" t="s">
        <v>187</v>
      </c>
      <c r="L3384" s="81" t="s">
        <v>187</v>
      </c>
    </row>
    <row r="3385" ht="15.75" customHeight="1">
      <c r="A3385" s="262"/>
      <c r="B3385" s="262"/>
      <c r="C3385" s="263"/>
      <c r="D3385" s="262"/>
      <c r="E3385" s="81" t="s">
        <v>187</v>
      </c>
      <c r="F3385" s="81" t="s">
        <v>187</v>
      </c>
      <c r="G3385" s="81" t="s">
        <v>187</v>
      </c>
      <c r="H3385" s="81" t="s">
        <v>187</v>
      </c>
      <c r="I3385" s="81" t="s">
        <v>187</v>
      </c>
      <c r="J3385" s="81" t="s">
        <v>187</v>
      </c>
      <c r="K3385" s="81" t="s">
        <v>187</v>
      </c>
      <c r="L3385" s="81" t="s">
        <v>187</v>
      </c>
    </row>
    <row r="3386" ht="15.75" customHeight="1">
      <c r="A3386" s="262"/>
      <c r="B3386" s="262"/>
      <c r="C3386" s="263"/>
      <c r="D3386" s="262"/>
      <c r="E3386" s="81" t="s">
        <v>187</v>
      </c>
      <c r="F3386" s="81" t="s">
        <v>187</v>
      </c>
      <c r="G3386" s="81" t="s">
        <v>187</v>
      </c>
      <c r="H3386" s="81" t="s">
        <v>187</v>
      </c>
      <c r="I3386" s="81" t="s">
        <v>187</v>
      </c>
      <c r="J3386" s="81" t="s">
        <v>187</v>
      </c>
      <c r="K3386" s="81" t="s">
        <v>187</v>
      </c>
      <c r="L3386" s="81" t="s">
        <v>187</v>
      </c>
    </row>
    <row r="3387" ht="15.75" customHeight="1">
      <c r="A3387" s="262"/>
      <c r="B3387" s="262"/>
      <c r="C3387" s="263"/>
      <c r="D3387" s="262"/>
      <c r="E3387" s="81" t="s">
        <v>187</v>
      </c>
      <c r="F3387" s="81" t="s">
        <v>187</v>
      </c>
      <c r="G3387" s="81" t="s">
        <v>187</v>
      </c>
      <c r="H3387" s="81" t="s">
        <v>187</v>
      </c>
      <c r="I3387" s="81" t="s">
        <v>187</v>
      </c>
      <c r="J3387" s="81" t="s">
        <v>187</v>
      </c>
      <c r="K3387" s="81" t="s">
        <v>187</v>
      </c>
      <c r="L3387" s="81" t="s">
        <v>187</v>
      </c>
    </row>
    <row r="3388" ht="15.75" customHeight="1">
      <c r="A3388" s="262"/>
      <c r="B3388" s="262"/>
      <c r="C3388" s="263"/>
      <c r="D3388" s="262"/>
      <c r="E3388" s="81" t="s">
        <v>187</v>
      </c>
      <c r="F3388" s="81" t="s">
        <v>187</v>
      </c>
      <c r="G3388" s="81" t="s">
        <v>187</v>
      </c>
      <c r="H3388" s="81" t="s">
        <v>187</v>
      </c>
      <c r="I3388" s="81" t="s">
        <v>187</v>
      </c>
      <c r="J3388" s="81" t="s">
        <v>187</v>
      </c>
      <c r="K3388" s="81" t="s">
        <v>187</v>
      </c>
      <c r="L3388" s="81" t="s">
        <v>187</v>
      </c>
    </row>
    <row r="3389" ht="15.75" customHeight="1">
      <c r="A3389" s="262"/>
      <c r="B3389" s="262"/>
      <c r="C3389" s="263"/>
      <c r="D3389" s="262"/>
      <c r="E3389" s="81" t="s">
        <v>187</v>
      </c>
      <c r="F3389" s="81" t="s">
        <v>187</v>
      </c>
      <c r="G3389" s="81" t="s">
        <v>187</v>
      </c>
      <c r="H3389" s="81" t="s">
        <v>187</v>
      </c>
      <c r="I3389" s="81" t="s">
        <v>187</v>
      </c>
      <c r="J3389" s="81" t="s">
        <v>187</v>
      </c>
      <c r="K3389" s="81" t="s">
        <v>187</v>
      </c>
      <c r="L3389" s="81" t="s">
        <v>187</v>
      </c>
    </row>
    <row r="3390" ht="15.75" customHeight="1">
      <c r="A3390" s="262"/>
      <c r="B3390" s="262"/>
      <c r="C3390" s="263"/>
      <c r="D3390" s="262"/>
      <c r="E3390" s="81" t="s">
        <v>187</v>
      </c>
      <c r="F3390" s="81" t="s">
        <v>187</v>
      </c>
      <c r="G3390" s="81" t="s">
        <v>187</v>
      </c>
      <c r="H3390" s="81" t="s">
        <v>187</v>
      </c>
      <c r="I3390" s="81" t="s">
        <v>187</v>
      </c>
      <c r="J3390" s="81" t="s">
        <v>187</v>
      </c>
      <c r="K3390" s="81" t="s">
        <v>187</v>
      </c>
      <c r="L3390" s="81" t="s">
        <v>187</v>
      </c>
    </row>
    <row r="3391" ht="15.75" customHeight="1">
      <c r="A3391" s="262"/>
      <c r="B3391" s="262"/>
      <c r="C3391" s="263"/>
      <c r="D3391" s="262"/>
      <c r="E3391" s="81" t="s">
        <v>187</v>
      </c>
      <c r="F3391" s="81" t="s">
        <v>187</v>
      </c>
      <c r="G3391" s="81" t="s">
        <v>187</v>
      </c>
      <c r="H3391" s="81" t="s">
        <v>187</v>
      </c>
      <c r="I3391" s="81" t="s">
        <v>187</v>
      </c>
      <c r="J3391" s="81" t="s">
        <v>187</v>
      </c>
      <c r="K3391" s="81" t="s">
        <v>187</v>
      </c>
      <c r="L3391" s="81" t="s">
        <v>187</v>
      </c>
    </row>
    <row r="3392" ht="15.75" customHeight="1">
      <c r="A3392" s="262"/>
      <c r="B3392" s="262"/>
      <c r="C3392" s="263"/>
      <c r="D3392" s="262"/>
      <c r="E3392" s="81" t="s">
        <v>187</v>
      </c>
      <c r="F3392" s="81" t="s">
        <v>187</v>
      </c>
      <c r="G3392" s="81" t="s">
        <v>187</v>
      </c>
      <c r="H3392" s="81" t="s">
        <v>187</v>
      </c>
      <c r="I3392" s="81" t="s">
        <v>187</v>
      </c>
      <c r="J3392" s="81" t="s">
        <v>187</v>
      </c>
      <c r="K3392" s="81" t="s">
        <v>187</v>
      </c>
      <c r="L3392" s="81" t="s">
        <v>187</v>
      </c>
    </row>
    <row r="3393" ht="15.75" customHeight="1">
      <c r="A3393" s="262"/>
      <c r="B3393" s="262"/>
      <c r="C3393" s="263"/>
      <c r="D3393" s="262"/>
      <c r="E3393" s="81" t="s">
        <v>187</v>
      </c>
      <c r="F3393" s="81" t="s">
        <v>187</v>
      </c>
      <c r="G3393" s="81" t="s">
        <v>187</v>
      </c>
      <c r="H3393" s="81" t="s">
        <v>187</v>
      </c>
      <c r="I3393" s="81" t="s">
        <v>187</v>
      </c>
      <c r="J3393" s="81" t="s">
        <v>187</v>
      </c>
      <c r="K3393" s="81" t="s">
        <v>187</v>
      </c>
      <c r="L3393" s="81" t="s">
        <v>187</v>
      </c>
    </row>
    <row r="3394" ht="15.75" customHeight="1">
      <c r="A3394" s="262"/>
      <c r="B3394" s="262"/>
      <c r="C3394" s="263"/>
      <c r="D3394" s="262"/>
      <c r="E3394" s="81" t="s">
        <v>187</v>
      </c>
      <c r="F3394" s="81" t="s">
        <v>187</v>
      </c>
      <c r="G3394" s="81" t="s">
        <v>187</v>
      </c>
      <c r="H3394" s="81" t="s">
        <v>187</v>
      </c>
      <c r="I3394" s="81" t="s">
        <v>187</v>
      </c>
      <c r="J3394" s="81" t="s">
        <v>187</v>
      </c>
      <c r="K3394" s="81" t="s">
        <v>187</v>
      </c>
      <c r="L3394" s="81" t="s">
        <v>187</v>
      </c>
    </row>
    <row r="3395" ht="15.75" customHeight="1">
      <c r="A3395" s="262"/>
      <c r="B3395" s="262"/>
      <c r="C3395" s="263"/>
      <c r="D3395" s="262"/>
      <c r="E3395" s="81" t="s">
        <v>187</v>
      </c>
      <c r="F3395" s="81" t="s">
        <v>187</v>
      </c>
      <c r="G3395" s="81" t="s">
        <v>187</v>
      </c>
      <c r="H3395" s="81" t="s">
        <v>187</v>
      </c>
      <c r="I3395" s="81" t="s">
        <v>187</v>
      </c>
      <c r="J3395" s="81" t="s">
        <v>187</v>
      </c>
      <c r="K3395" s="81" t="s">
        <v>187</v>
      </c>
      <c r="L3395" s="81" t="s">
        <v>187</v>
      </c>
    </row>
    <row r="3396" ht="15.75" customHeight="1">
      <c r="A3396" s="262"/>
      <c r="B3396" s="262"/>
      <c r="C3396" s="263"/>
      <c r="D3396" s="262"/>
      <c r="E3396" s="81" t="s">
        <v>187</v>
      </c>
      <c r="F3396" s="81" t="s">
        <v>187</v>
      </c>
      <c r="G3396" s="81" t="s">
        <v>187</v>
      </c>
      <c r="H3396" s="81" t="s">
        <v>187</v>
      </c>
      <c r="I3396" s="81" t="s">
        <v>187</v>
      </c>
      <c r="J3396" s="81" t="s">
        <v>187</v>
      </c>
      <c r="K3396" s="81" t="s">
        <v>187</v>
      </c>
      <c r="L3396" s="81" t="s">
        <v>187</v>
      </c>
    </row>
    <row r="3397" ht="15.75" customHeight="1">
      <c r="A3397" s="262"/>
      <c r="B3397" s="262"/>
      <c r="C3397" s="263"/>
      <c r="D3397" s="262"/>
      <c r="E3397" s="81" t="s">
        <v>187</v>
      </c>
      <c r="F3397" s="81" t="s">
        <v>187</v>
      </c>
      <c r="G3397" s="81" t="s">
        <v>187</v>
      </c>
      <c r="H3397" s="81" t="s">
        <v>187</v>
      </c>
      <c r="I3397" s="81" t="s">
        <v>187</v>
      </c>
      <c r="J3397" s="81" t="s">
        <v>187</v>
      </c>
      <c r="K3397" s="81" t="s">
        <v>187</v>
      </c>
      <c r="L3397" s="81" t="s">
        <v>187</v>
      </c>
    </row>
    <row r="3398" ht="15.75" customHeight="1">
      <c r="A3398" s="262"/>
      <c r="B3398" s="262"/>
      <c r="C3398" s="263"/>
      <c r="D3398" s="262"/>
      <c r="E3398" s="81" t="s">
        <v>187</v>
      </c>
      <c r="F3398" s="81" t="s">
        <v>187</v>
      </c>
      <c r="G3398" s="81" t="s">
        <v>187</v>
      </c>
      <c r="H3398" s="81" t="s">
        <v>187</v>
      </c>
      <c r="I3398" s="81" t="s">
        <v>187</v>
      </c>
      <c r="J3398" s="81" t="s">
        <v>187</v>
      </c>
      <c r="K3398" s="81" t="s">
        <v>187</v>
      </c>
      <c r="L3398" s="81" t="s">
        <v>187</v>
      </c>
    </row>
    <row r="3399" ht="15.75" customHeight="1">
      <c r="A3399" s="262"/>
      <c r="B3399" s="262"/>
      <c r="C3399" s="263"/>
      <c r="D3399" s="262"/>
      <c r="E3399" s="81" t="s">
        <v>187</v>
      </c>
      <c r="F3399" s="81" t="s">
        <v>187</v>
      </c>
      <c r="G3399" s="81" t="s">
        <v>187</v>
      </c>
      <c r="H3399" s="81" t="s">
        <v>187</v>
      </c>
      <c r="I3399" s="81" t="s">
        <v>187</v>
      </c>
      <c r="J3399" s="81" t="s">
        <v>187</v>
      </c>
      <c r="K3399" s="81" t="s">
        <v>187</v>
      </c>
      <c r="L3399" s="81" t="s">
        <v>187</v>
      </c>
    </row>
    <row r="3400" ht="15.75" customHeight="1">
      <c r="A3400" s="262"/>
      <c r="B3400" s="262"/>
      <c r="C3400" s="263"/>
      <c r="D3400" s="262"/>
      <c r="E3400" s="81" t="s">
        <v>187</v>
      </c>
      <c r="F3400" s="81" t="s">
        <v>187</v>
      </c>
      <c r="G3400" s="81" t="s">
        <v>187</v>
      </c>
      <c r="H3400" s="81" t="s">
        <v>187</v>
      </c>
      <c r="I3400" s="81" t="s">
        <v>187</v>
      </c>
      <c r="J3400" s="81" t="s">
        <v>187</v>
      </c>
      <c r="K3400" s="81" t="s">
        <v>187</v>
      </c>
      <c r="L3400" s="81" t="s">
        <v>187</v>
      </c>
    </row>
    <row r="3401" ht="15.75" customHeight="1">
      <c r="A3401" s="262"/>
      <c r="B3401" s="262"/>
      <c r="C3401" s="263"/>
      <c r="D3401" s="262"/>
      <c r="E3401" s="81" t="s">
        <v>187</v>
      </c>
      <c r="F3401" s="81" t="s">
        <v>187</v>
      </c>
      <c r="G3401" s="81" t="s">
        <v>187</v>
      </c>
      <c r="H3401" s="81" t="s">
        <v>187</v>
      </c>
      <c r="I3401" s="81" t="s">
        <v>187</v>
      </c>
      <c r="J3401" s="81" t="s">
        <v>187</v>
      </c>
      <c r="K3401" s="81" t="s">
        <v>187</v>
      </c>
      <c r="L3401" s="81" t="s">
        <v>187</v>
      </c>
    </row>
    <row r="3402" ht="15.75" customHeight="1">
      <c r="A3402" s="262"/>
      <c r="B3402" s="262"/>
      <c r="C3402" s="263"/>
      <c r="D3402" s="262"/>
      <c r="E3402" s="81" t="s">
        <v>187</v>
      </c>
      <c r="F3402" s="81" t="s">
        <v>187</v>
      </c>
      <c r="G3402" s="81" t="s">
        <v>187</v>
      </c>
      <c r="H3402" s="81" t="s">
        <v>187</v>
      </c>
      <c r="I3402" s="81" t="s">
        <v>187</v>
      </c>
      <c r="J3402" s="81" t="s">
        <v>187</v>
      </c>
      <c r="K3402" s="81" t="s">
        <v>187</v>
      </c>
      <c r="L3402" s="81" t="s">
        <v>187</v>
      </c>
    </row>
    <row r="3403" ht="15.75" customHeight="1">
      <c r="A3403" s="262"/>
      <c r="B3403" s="262"/>
      <c r="C3403" s="263"/>
      <c r="D3403" s="262"/>
      <c r="E3403" s="81" t="s">
        <v>187</v>
      </c>
      <c r="F3403" s="81" t="s">
        <v>187</v>
      </c>
      <c r="G3403" s="81" t="s">
        <v>187</v>
      </c>
      <c r="H3403" s="81" t="s">
        <v>187</v>
      </c>
      <c r="I3403" s="81" t="s">
        <v>187</v>
      </c>
      <c r="J3403" s="81" t="s">
        <v>187</v>
      </c>
      <c r="K3403" s="81" t="s">
        <v>187</v>
      </c>
      <c r="L3403" s="81" t="s">
        <v>187</v>
      </c>
    </row>
    <row r="3404" ht="15.75" customHeight="1">
      <c r="A3404" s="262"/>
      <c r="B3404" s="262"/>
      <c r="C3404" s="263"/>
      <c r="D3404" s="262"/>
      <c r="E3404" s="81" t="s">
        <v>187</v>
      </c>
      <c r="F3404" s="81" t="s">
        <v>187</v>
      </c>
      <c r="G3404" s="81" t="s">
        <v>187</v>
      </c>
      <c r="H3404" s="81" t="s">
        <v>187</v>
      </c>
      <c r="I3404" s="81" t="s">
        <v>187</v>
      </c>
      <c r="J3404" s="81" t="s">
        <v>187</v>
      </c>
      <c r="K3404" s="81" t="s">
        <v>187</v>
      </c>
      <c r="L3404" s="81" t="s">
        <v>187</v>
      </c>
    </row>
    <row r="3405" ht="15.75" customHeight="1">
      <c r="A3405" s="262"/>
      <c r="B3405" s="262"/>
      <c r="C3405" s="263"/>
      <c r="D3405" s="262"/>
      <c r="E3405" s="81" t="s">
        <v>187</v>
      </c>
      <c r="F3405" s="81" t="s">
        <v>187</v>
      </c>
      <c r="G3405" s="81" t="s">
        <v>187</v>
      </c>
      <c r="H3405" s="81" t="s">
        <v>187</v>
      </c>
      <c r="I3405" s="81" t="s">
        <v>187</v>
      </c>
      <c r="J3405" s="81" t="s">
        <v>187</v>
      </c>
      <c r="K3405" s="81" t="s">
        <v>187</v>
      </c>
      <c r="L3405" s="81" t="s">
        <v>187</v>
      </c>
    </row>
    <row r="3406" ht="15.75" customHeight="1">
      <c r="A3406" s="262"/>
      <c r="B3406" s="262"/>
      <c r="C3406" s="263"/>
      <c r="D3406" s="262"/>
      <c r="E3406" s="81" t="s">
        <v>187</v>
      </c>
      <c r="F3406" s="81" t="s">
        <v>187</v>
      </c>
      <c r="G3406" s="81" t="s">
        <v>187</v>
      </c>
      <c r="H3406" s="81" t="s">
        <v>187</v>
      </c>
      <c r="I3406" s="81" t="s">
        <v>187</v>
      </c>
      <c r="J3406" s="81" t="s">
        <v>187</v>
      </c>
      <c r="K3406" s="81" t="s">
        <v>187</v>
      </c>
      <c r="L3406" s="81" t="s">
        <v>187</v>
      </c>
    </row>
    <row r="3407" ht="15.75" customHeight="1">
      <c r="A3407" s="262"/>
      <c r="B3407" s="262"/>
      <c r="C3407" s="263"/>
      <c r="D3407" s="262"/>
      <c r="E3407" s="81" t="s">
        <v>187</v>
      </c>
      <c r="F3407" s="81" t="s">
        <v>187</v>
      </c>
      <c r="G3407" s="81" t="s">
        <v>187</v>
      </c>
      <c r="H3407" s="81" t="s">
        <v>187</v>
      </c>
      <c r="I3407" s="81" t="s">
        <v>187</v>
      </c>
      <c r="J3407" s="81" t="s">
        <v>187</v>
      </c>
      <c r="K3407" s="81" t="s">
        <v>187</v>
      </c>
      <c r="L3407" s="81" t="s">
        <v>187</v>
      </c>
    </row>
    <row r="3408" ht="15.75" customHeight="1">
      <c r="A3408" s="262"/>
      <c r="B3408" s="262"/>
      <c r="C3408" s="263"/>
      <c r="D3408" s="262"/>
      <c r="E3408" s="81" t="s">
        <v>187</v>
      </c>
      <c r="F3408" s="81" t="s">
        <v>187</v>
      </c>
      <c r="G3408" s="81" t="s">
        <v>187</v>
      </c>
      <c r="H3408" s="81" t="s">
        <v>187</v>
      </c>
      <c r="I3408" s="81" t="s">
        <v>187</v>
      </c>
      <c r="J3408" s="81" t="s">
        <v>187</v>
      </c>
      <c r="K3408" s="81" t="s">
        <v>187</v>
      </c>
      <c r="L3408" s="81" t="s">
        <v>187</v>
      </c>
    </row>
    <row r="3409" ht="15.75" customHeight="1">
      <c r="A3409" s="262"/>
      <c r="B3409" s="262"/>
      <c r="C3409" s="263"/>
      <c r="D3409" s="262"/>
      <c r="E3409" s="81" t="s">
        <v>187</v>
      </c>
      <c r="F3409" s="81" t="s">
        <v>187</v>
      </c>
      <c r="G3409" s="81" t="s">
        <v>187</v>
      </c>
      <c r="H3409" s="81" t="s">
        <v>187</v>
      </c>
      <c r="I3409" s="81" t="s">
        <v>187</v>
      </c>
      <c r="J3409" s="81" t="s">
        <v>187</v>
      </c>
      <c r="K3409" s="81" t="s">
        <v>187</v>
      </c>
      <c r="L3409" s="81" t="s">
        <v>187</v>
      </c>
    </row>
    <row r="3410" ht="15.75" customHeight="1">
      <c r="A3410" s="262"/>
      <c r="B3410" s="262"/>
      <c r="C3410" s="263"/>
      <c r="D3410" s="262"/>
      <c r="E3410" s="81" t="s">
        <v>187</v>
      </c>
      <c r="F3410" s="81" t="s">
        <v>187</v>
      </c>
      <c r="G3410" s="81" t="s">
        <v>187</v>
      </c>
      <c r="H3410" s="81" t="s">
        <v>187</v>
      </c>
      <c r="I3410" s="81" t="s">
        <v>187</v>
      </c>
      <c r="J3410" s="81" t="s">
        <v>187</v>
      </c>
      <c r="K3410" s="81" t="s">
        <v>187</v>
      </c>
      <c r="L3410" s="81" t="s">
        <v>187</v>
      </c>
    </row>
    <row r="3411" ht="15.75" customHeight="1">
      <c r="A3411" s="262"/>
      <c r="B3411" s="262"/>
      <c r="C3411" s="263"/>
      <c r="D3411" s="262"/>
      <c r="E3411" s="81" t="s">
        <v>187</v>
      </c>
      <c r="F3411" s="81" t="s">
        <v>187</v>
      </c>
      <c r="G3411" s="81" t="s">
        <v>187</v>
      </c>
      <c r="H3411" s="81" t="s">
        <v>187</v>
      </c>
      <c r="I3411" s="81" t="s">
        <v>187</v>
      </c>
      <c r="J3411" s="81" t="s">
        <v>187</v>
      </c>
      <c r="K3411" s="81" t="s">
        <v>187</v>
      </c>
      <c r="L3411" s="81" t="s">
        <v>187</v>
      </c>
    </row>
    <row r="3412" ht="15.75" customHeight="1">
      <c r="A3412" s="262"/>
      <c r="B3412" s="262"/>
      <c r="C3412" s="263"/>
      <c r="D3412" s="262"/>
      <c r="E3412" s="81" t="s">
        <v>187</v>
      </c>
      <c r="F3412" s="81" t="s">
        <v>187</v>
      </c>
      <c r="G3412" s="81" t="s">
        <v>187</v>
      </c>
      <c r="H3412" s="81" t="s">
        <v>187</v>
      </c>
      <c r="I3412" s="81" t="s">
        <v>187</v>
      </c>
      <c r="J3412" s="81" t="s">
        <v>187</v>
      </c>
      <c r="K3412" s="81" t="s">
        <v>187</v>
      </c>
      <c r="L3412" s="81" t="s">
        <v>187</v>
      </c>
    </row>
    <row r="3413" ht="15.75" customHeight="1">
      <c r="A3413" s="262"/>
      <c r="B3413" s="262"/>
      <c r="C3413" s="263"/>
      <c r="D3413" s="262"/>
      <c r="E3413" s="81" t="s">
        <v>187</v>
      </c>
      <c r="F3413" s="81" t="s">
        <v>187</v>
      </c>
      <c r="G3413" s="81" t="s">
        <v>187</v>
      </c>
      <c r="H3413" s="81" t="s">
        <v>187</v>
      </c>
      <c r="I3413" s="81" t="s">
        <v>187</v>
      </c>
      <c r="J3413" s="81" t="s">
        <v>187</v>
      </c>
      <c r="K3413" s="81" t="s">
        <v>187</v>
      </c>
      <c r="L3413" s="81" t="s">
        <v>187</v>
      </c>
    </row>
    <row r="3414" ht="15.75" customHeight="1">
      <c r="A3414" s="262"/>
      <c r="B3414" s="262"/>
      <c r="C3414" s="263"/>
      <c r="D3414" s="262"/>
      <c r="E3414" s="81" t="s">
        <v>187</v>
      </c>
      <c r="F3414" s="81" t="s">
        <v>187</v>
      </c>
      <c r="G3414" s="81" t="s">
        <v>187</v>
      </c>
      <c r="H3414" s="81" t="s">
        <v>187</v>
      </c>
      <c r="I3414" s="81" t="s">
        <v>187</v>
      </c>
      <c r="J3414" s="81" t="s">
        <v>187</v>
      </c>
      <c r="K3414" s="81" t="s">
        <v>187</v>
      </c>
      <c r="L3414" s="81" t="s">
        <v>187</v>
      </c>
    </row>
    <row r="3415" ht="15.75" customHeight="1">
      <c r="A3415" s="262"/>
      <c r="B3415" s="262"/>
      <c r="C3415" s="263"/>
      <c r="D3415" s="262"/>
      <c r="E3415" s="81" t="s">
        <v>187</v>
      </c>
      <c r="F3415" s="81" t="s">
        <v>187</v>
      </c>
      <c r="G3415" s="81" t="s">
        <v>187</v>
      </c>
      <c r="H3415" s="81" t="s">
        <v>187</v>
      </c>
      <c r="I3415" s="81" t="s">
        <v>187</v>
      </c>
      <c r="J3415" s="81" t="s">
        <v>187</v>
      </c>
      <c r="K3415" s="81" t="s">
        <v>187</v>
      </c>
      <c r="L3415" s="81" t="s">
        <v>187</v>
      </c>
    </row>
    <row r="3416" ht="15.75" customHeight="1">
      <c r="A3416" s="262"/>
      <c r="B3416" s="262"/>
      <c r="C3416" s="263"/>
      <c r="D3416" s="262"/>
      <c r="E3416" s="81" t="s">
        <v>187</v>
      </c>
      <c r="F3416" s="81" t="s">
        <v>187</v>
      </c>
      <c r="G3416" s="81" t="s">
        <v>187</v>
      </c>
      <c r="H3416" s="81" t="s">
        <v>187</v>
      </c>
      <c r="I3416" s="81" t="s">
        <v>187</v>
      </c>
      <c r="J3416" s="81" t="s">
        <v>187</v>
      </c>
      <c r="K3416" s="81" t="s">
        <v>187</v>
      </c>
      <c r="L3416" s="81" t="s">
        <v>187</v>
      </c>
    </row>
    <row r="3417" ht="15.75" customHeight="1">
      <c r="A3417" s="262"/>
      <c r="B3417" s="262"/>
      <c r="C3417" s="263"/>
      <c r="D3417" s="262"/>
      <c r="E3417" s="81" t="s">
        <v>187</v>
      </c>
      <c r="F3417" s="81" t="s">
        <v>187</v>
      </c>
      <c r="G3417" s="81" t="s">
        <v>187</v>
      </c>
      <c r="H3417" s="81" t="s">
        <v>187</v>
      </c>
      <c r="I3417" s="81" t="s">
        <v>187</v>
      </c>
      <c r="J3417" s="81" t="s">
        <v>187</v>
      </c>
      <c r="K3417" s="81" t="s">
        <v>187</v>
      </c>
      <c r="L3417" s="81" t="s">
        <v>187</v>
      </c>
    </row>
    <row r="3418" ht="15.75" customHeight="1">
      <c r="A3418" s="262"/>
      <c r="B3418" s="262"/>
      <c r="C3418" s="263"/>
      <c r="D3418" s="262"/>
      <c r="E3418" s="81" t="s">
        <v>187</v>
      </c>
      <c r="F3418" s="81" t="s">
        <v>187</v>
      </c>
      <c r="G3418" s="81" t="s">
        <v>187</v>
      </c>
      <c r="H3418" s="81" t="s">
        <v>187</v>
      </c>
      <c r="I3418" s="81" t="s">
        <v>187</v>
      </c>
      <c r="J3418" s="81" t="s">
        <v>187</v>
      </c>
      <c r="K3418" s="81" t="s">
        <v>187</v>
      </c>
      <c r="L3418" s="81" t="s">
        <v>187</v>
      </c>
    </row>
    <row r="3419" ht="15.75" customHeight="1">
      <c r="A3419" s="262"/>
      <c r="B3419" s="262"/>
      <c r="C3419" s="263"/>
      <c r="D3419" s="262"/>
      <c r="E3419" s="81" t="s">
        <v>187</v>
      </c>
      <c r="F3419" s="81" t="s">
        <v>187</v>
      </c>
      <c r="G3419" s="81" t="s">
        <v>187</v>
      </c>
      <c r="H3419" s="81" t="s">
        <v>187</v>
      </c>
      <c r="I3419" s="81" t="s">
        <v>187</v>
      </c>
      <c r="J3419" s="81" t="s">
        <v>187</v>
      </c>
      <c r="K3419" s="81" t="s">
        <v>187</v>
      </c>
      <c r="L3419" s="81" t="s">
        <v>187</v>
      </c>
    </row>
    <row r="3420" ht="15.75" customHeight="1">
      <c r="A3420" s="262"/>
      <c r="B3420" s="262"/>
      <c r="C3420" s="263"/>
      <c r="D3420" s="262"/>
      <c r="E3420" s="81" t="s">
        <v>187</v>
      </c>
      <c r="F3420" s="81" t="s">
        <v>187</v>
      </c>
      <c r="G3420" s="81" t="s">
        <v>187</v>
      </c>
      <c r="H3420" s="81" t="s">
        <v>187</v>
      </c>
      <c r="I3420" s="81" t="s">
        <v>187</v>
      </c>
      <c r="J3420" s="81" t="s">
        <v>187</v>
      </c>
      <c r="K3420" s="81" t="s">
        <v>187</v>
      </c>
      <c r="L3420" s="81" t="s">
        <v>187</v>
      </c>
    </row>
    <row r="3421" ht="15.75" customHeight="1">
      <c r="A3421" s="262"/>
      <c r="B3421" s="262"/>
      <c r="C3421" s="263"/>
      <c r="D3421" s="262"/>
      <c r="E3421" s="81" t="s">
        <v>187</v>
      </c>
      <c r="F3421" s="81" t="s">
        <v>187</v>
      </c>
      <c r="G3421" s="81" t="s">
        <v>187</v>
      </c>
      <c r="H3421" s="81" t="s">
        <v>187</v>
      </c>
      <c r="I3421" s="81" t="s">
        <v>187</v>
      </c>
      <c r="J3421" s="81" t="s">
        <v>187</v>
      </c>
      <c r="K3421" s="81" t="s">
        <v>187</v>
      </c>
      <c r="L3421" s="81" t="s">
        <v>187</v>
      </c>
    </row>
    <row r="3422" ht="15.75" customHeight="1">
      <c r="A3422" s="262"/>
      <c r="B3422" s="262"/>
      <c r="C3422" s="263"/>
      <c r="D3422" s="262"/>
      <c r="E3422" s="81" t="s">
        <v>187</v>
      </c>
      <c r="F3422" s="81" t="s">
        <v>187</v>
      </c>
      <c r="G3422" s="81" t="s">
        <v>187</v>
      </c>
      <c r="H3422" s="81" t="s">
        <v>187</v>
      </c>
      <c r="I3422" s="81" t="s">
        <v>187</v>
      </c>
      <c r="J3422" s="81" t="s">
        <v>187</v>
      </c>
      <c r="K3422" s="81" t="s">
        <v>187</v>
      </c>
      <c r="L3422" s="81" t="s">
        <v>187</v>
      </c>
    </row>
    <row r="3423" ht="15.75" customHeight="1">
      <c r="A3423" s="262"/>
      <c r="B3423" s="262"/>
      <c r="C3423" s="263"/>
      <c r="D3423" s="262"/>
      <c r="E3423" s="81" t="s">
        <v>187</v>
      </c>
      <c r="F3423" s="81" t="s">
        <v>187</v>
      </c>
      <c r="G3423" s="81" t="s">
        <v>187</v>
      </c>
      <c r="H3423" s="81" t="s">
        <v>187</v>
      </c>
      <c r="I3423" s="81" t="s">
        <v>187</v>
      </c>
      <c r="J3423" s="81" t="s">
        <v>187</v>
      </c>
      <c r="K3423" s="81" t="s">
        <v>187</v>
      </c>
      <c r="L3423" s="81" t="s">
        <v>187</v>
      </c>
    </row>
    <row r="3424" ht="15.75" customHeight="1">
      <c r="A3424" s="262"/>
      <c r="B3424" s="262"/>
      <c r="C3424" s="263"/>
      <c r="D3424" s="262"/>
      <c r="E3424" s="81" t="s">
        <v>187</v>
      </c>
      <c r="F3424" s="81" t="s">
        <v>187</v>
      </c>
      <c r="G3424" s="81" t="s">
        <v>187</v>
      </c>
      <c r="H3424" s="81" t="s">
        <v>187</v>
      </c>
      <c r="I3424" s="81" t="s">
        <v>187</v>
      </c>
      <c r="J3424" s="81" t="s">
        <v>187</v>
      </c>
      <c r="K3424" s="81" t="s">
        <v>187</v>
      </c>
      <c r="L3424" s="81" t="s">
        <v>187</v>
      </c>
    </row>
    <row r="3425" ht="15.75" customHeight="1">
      <c r="A3425" s="262"/>
      <c r="B3425" s="262"/>
      <c r="C3425" s="263"/>
      <c r="D3425" s="262"/>
      <c r="E3425" s="81" t="s">
        <v>187</v>
      </c>
      <c r="F3425" s="81" t="s">
        <v>187</v>
      </c>
      <c r="G3425" s="81" t="s">
        <v>187</v>
      </c>
      <c r="H3425" s="81" t="s">
        <v>187</v>
      </c>
      <c r="I3425" s="81" t="s">
        <v>187</v>
      </c>
      <c r="J3425" s="81" t="s">
        <v>187</v>
      </c>
      <c r="K3425" s="81" t="s">
        <v>187</v>
      </c>
      <c r="L3425" s="81" t="s">
        <v>187</v>
      </c>
    </row>
    <row r="3426" ht="15.75" customHeight="1">
      <c r="A3426" s="262"/>
      <c r="B3426" s="262"/>
      <c r="C3426" s="263"/>
      <c r="D3426" s="262"/>
      <c r="E3426" s="81" t="s">
        <v>187</v>
      </c>
      <c r="F3426" s="81" t="s">
        <v>187</v>
      </c>
      <c r="G3426" s="81" t="s">
        <v>187</v>
      </c>
      <c r="H3426" s="81" t="s">
        <v>187</v>
      </c>
      <c r="I3426" s="81" t="s">
        <v>187</v>
      </c>
      <c r="J3426" s="81" t="s">
        <v>187</v>
      </c>
      <c r="K3426" s="81" t="s">
        <v>187</v>
      </c>
      <c r="L3426" s="81" t="s">
        <v>187</v>
      </c>
    </row>
    <row r="3427" ht="15.75" customHeight="1">
      <c r="A3427" s="262"/>
      <c r="B3427" s="262"/>
      <c r="C3427" s="263"/>
      <c r="D3427" s="262"/>
      <c r="E3427" s="81" t="s">
        <v>187</v>
      </c>
      <c r="F3427" s="81" t="s">
        <v>187</v>
      </c>
      <c r="G3427" s="81" t="s">
        <v>187</v>
      </c>
      <c r="H3427" s="81" t="s">
        <v>187</v>
      </c>
      <c r="I3427" s="81" t="s">
        <v>187</v>
      </c>
      <c r="J3427" s="81" t="s">
        <v>187</v>
      </c>
      <c r="K3427" s="81" t="s">
        <v>187</v>
      </c>
      <c r="L3427" s="81" t="s">
        <v>187</v>
      </c>
    </row>
    <row r="3428" ht="15.75" customHeight="1">
      <c r="A3428" s="262"/>
      <c r="B3428" s="262"/>
      <c r="C3428" s="263"/>
      <c r="D3428" s="262"/>
      <c r="E3428" s="81" t="s">
        <v>187</v>
      </c>
      <c r="F3428" s="81" t="s">
        <v>187</v>
      </c>
      <c r="G3428" s="81" t="s">
        <v>187</v>
      </c>
      <c r="H3428" s="81" t="s">
        <v>187</v>
      </c>
      <c r="I3428" s="81" t="s">
        <v>187</v>
      </c>
      <c r="J3428" s="81" t="s">
        <v>187</v>
      </c>
      <c r="K3428" s="81" t="s">
        <v>187</v>
      </c>
      <c r="L3428" s="81" t="s">
        <v>187</v>
      </c>
    </row>
    <row r="3429" ht="15.75" customHeight="1">
      <c r="A3429" s="262"/>
      <c r="B3429" s="262"/>
      <c r="C3429" s="263"/>
      <c r="D3429" s="262"/>
      <c r="E3429" s="81" t="s">
        <v>187</v>
      </c>
      <c r="F3429" s="81" t="s">
        <v>187</v>
      </c>
      <c r="G3429" s="81" t="s">
        <v>187</v>
      </c>
      <c r="H3429" s="81" t="s">
        <v>187</v>
      </c>
      <c r="I3429" s="81" t="s">
        <v>187</v>
      </c>
      <c r="J3429" s="81" t="s">
        <v>187</v>
      </c>
      <c r="K3429" s="81" t="s">
        <v>187</v>
      </c>
      <c r="L3429" s="81" t="s">
        <v>187</v>
      </c>
    </row>
    <row r="3430" ht="15.75" customHeight="1">
      <c r="A3430" s="262"/>
      <c r="B3430" s="262"/>
      <c r="C3430" s="263"/>
      <c r="D3430" s="262"/>
      <c r="E3430" s="81" t="s">
        <v>187</v>
      </c>
      <c r="F3430" s="81" t="s">
        <v>187</v>
      </c>
      <c r="G3430" s="81" t="s">
        <v>187</v>
      </c>
      <c r="H3430" s="81" t="s">
        <v>187</v>
      </c>
      <c r="I3430" s="81" t="s">
        <v>187</v>
      </c>
      <c r="J3430" s="81" t="s">
        <v>187</v>
      </c>
      <c r="K3430" s="81" t="s">
        <v>187</v>
      </c>
      <c r="L3430" s="81" t="s">
        <v>187</v>
      </c>
    </row>
    <row r="3431" ht="15.75" customHeight="1">
      <c r="A3431" s="262"/>
      <c r="B3431" s="262"/>
      <c r="C3431" s="263"/>
      <c r="D3431" s="262"/>
      <c r="E3431" s="81" t="s">
        <v>187</v>
      </c>
      <c r="F3431" s="81" t="s">
        <v>187</v>
      </c>
      <c r="G3431" s="81" t="s">
        <v>187</v>
      </c>
      <c r="H3431" s="81" t="s">
        <v>187</v>
      </c>
      <c r="I3431" s="81" t="s">
        <v>187</v>
      </c>
      <c r="J3431" s="81" t="s">
        <v>187</v>
      </c>
      <c r="K3431" s="81" t="s">
        <v>187</v>
      </c>
      <c r="L3431" s="81" t="s">
        <v>187</v>
      </c>
    </row>
    <row r="3432" ht="15.75" customHeight="1">
      <c r="A3432" s="262"/>
      <c r="B3432" s="262"/>
      <c r="C3432" s="263"/>
      <c r="D3432" s="262"/>
      <c r="E3432" s="81" t="s">
        <v>187</v>
      </c>
      <c r="F3432" s="81" t="s">
        <v>187</v>
      </c>
      <c r="G3432" s="81" t="s">
        <v>187</v>
      </c>
      <c r="H3432" s="81" t="s">
        <v>187</v>
      </c>
      <c r="I3432" s="81" t="s">
        <v>187</v>
      </c>
      <c r="J3432" s="81" t="s">
        <v>187</v>
      </c>
      <c r="K3432" s="81" t="s">
        <v>187</v>
      </c>
      <c r="L3432" s="81" t="s">
        <v>187</v>
      </c>
    </row>
    <row r="3433" ht="15.75" customHeight="1">
      <c r="A3433" s="262"/>
      <c r="B3433" s="262"/>
      <c r="C3433" s="263"/>
      <c r="D3433" s="262"/>
      <c r="E3433" s="81" t="s">
        <v>187</v>
      </c>
      <c r="F3433" s="81" t="s">
        <v>187</v>
      </c>
      <c r="G3433" s="81" t="s">
        <v>187</v>
      </c>
      <c r="H3433" s="81" t="s">
        <v>187</v>
      </c>
      <c r="I3433" s="81" t="s">
        <v>187</v>
      </c>
      <c r="J3433" s="81" t="s">
        <v>187</v>
      </c>
      <c r="K3433" s="81" t="s">
        <v>187</v>
      </c>
      <c r="L3433" s="81" t="s">
        <v>187</v>
      </c>
    </row>
    <row r="3434" ht="15.75" customHeight="1">
      <c r="A3434" s="262"/>
      <c r="B3434" s="262"/>
      <c r="C3434" s="263"/>
      <c r="D3434" s="262"/>
      <c r="E3434" s="81" t="s">
        <v>187</v>
      </c>
      <c r="F3434" s="81" t="s">
        <v>187</v>
      </c>
      <c r="G3434" s="81" t="s">
        <v>187</v>
      </c>
      <c r="H3434" s="81" t="s">
        <v>187</v>
      </c>
      <c r="I3434" s="81" t="s">
        <v>187</v>
      </c>
      <c r="J3434" s="81" t="s">
        <v>187</v>
      </c>
      <c r="K3434" s="81" t="s">
        <v>187</v>
      </c>
      <c r="L3434" s="81" t="s">
        <v>187</v>
      </c>
    </row>
    <row r="3435" ht="15.75" customHeight="1">
      <c r="A3435" s="262"/>
      <c r="B3435" s="262"/>
      <c r="C3435" s="263"/>
      <c r="D3435" s="262"/>
      <c r="E3435" s="81" t="s">
        <v>187</v>
      </c>
      <c r="F3435" s="81" t="s">
        <v>187</v>
      </c>
      <c r="G3435" s="81" t="s">
        <v>187</v>
      </c>
      <c r="H3435" s="81" t="s">
        <v>187</v>
      </c>
      <c r="I3435" s="81" t="s">
        <v>187</v>
      </c>
      <c r="J3435" s="81" t="s">
        <v>187</v>
      </c>
      <c r="K3435" s="81" t="s">
        <v>187</v>
      </c>
      <c r="L3435" s="81" t="s">
        <v>187</v>
      </c>
    </row>
    <row r="3436" ht="15.75" customHeight="1">
      <c r="A3436" s="262"/>
      <c r="B3436" s="262"/>
      <c r="C3436" s="263"/>
      <c r="D3436" s="262"/>
      <c r="E3436" s="81" t="s">
        <v>187</v>
      </c>
      <c r="F3436" s="81" t="s">
        <v>187</v>
      </c>
      <c r="G3436" s="81" t="s">
        <v>187</v>
      </c>
      <c r="H3436" s="81" t="s">
        <v>187</v>
      </c>
      <c r="I3436" s="81" t="s">
        <v>187</v>
      </c>
      <c r="J3436" s="81" t="s">
        <v>187</v>
      </c>
      <c r="K3436" s="81" t="s">
        <v>187</v>
      </c>
      <c r="L3436" s="81" t="s">
        <v>187</v>
      </c>
    </row>
    <row r="3437" ht="15.75" customHeight="1">
      <c r="A3437" s="262"/>
      <c r="B3437" s="262"/>
      <c r="C3437" s="263"/>
      <c r="D3437" s="262"/>
      <c r="E3437" s="81" t="s">
        <v>187</v>
      </c>
      <c r="F3437" s="81" t="s">
        <v>187</v>
      </c>
      <c r="G3437" s="81" t="s">
        <v>187</v>
      </c>
      <c r="H3437" s="81" t="s">
        <v>187</v>
      </c>
      <c r="I3437" s="81" t="s">
        <v>187</v>
      </c>
      <c r="J3437" s="81" t="s">
        <v>187</v>
      </c>
      <c r="K3437" s="81" t="s">
        <v>187</v>
      </c>
      <c r="L3437" s="81" t="s">
        <v>187</v>
      </c>
    </row>
    <row r="3438" ht="15.75" customHeight="1">
      <c r="A3438" s="262"/>
      <c r="B3438" s="262"/>
      <c r="C3438" s="263"/>
      <c r="D3438" s="262"/>
      <c r="E3438" s="81" t="s">
        <v>187</v>
      </c>
      <c r="F3438" s="81" t="s">
        <v>187</v>
      </c>
      <c r="G3438" s="81" t="s">
        <v>187</v>
      </c>
      <c r="H3438" s="81" t="s">
        <v>187</v>
      </c>
      <c r="I3438" s="81" t="s">
        <v>187</v>
      </c>
      <c r="J3438" s="81" t="s">
        <v>187</v>
      </c>
      <c r="K3438" s="81" t="s">
        <v>187</v>
      </c>
      <c r="L3438" s="81" t="s">
        <v>187</v>
      </c>
    </row>
    <row r="3439" ht="15.75" customHeight="1">
      <c r="A3439" s="262"/>
      <c r="B3439" s="262"/>
      <c r="C3439" s="263"/>
      <c r="D3439" s="262"/>
      <c r="E3439" s="81" t="s">
        <v>187</v>
      </c>
      <c r="F3439" s="81" t="s">
        <v>187</v>
      </c>
      <c r="G3439" s="81" t="s">
        <v>187</v>
      </c>
      <c r="H3439" s="81" t="s">
        <v>187</v>
      </c>
      <c r="I3439" s="81" t="s">
        <v>187</v>
      </c>
      <c r="J3439" s="81" t="s">
        <v>187</v>
      </c>
      <c r="K3439" s="81" t="s">
        <v>187</v>
      </c>
      <c r="L3439" s="81" t="s">
        <v>187</v>
      </c>
    </row>
    <row r="3440" ht="15.75" customHeight="1">
      <c r="A3440" s="262"/>
      <c r="B3440" s="262"/>
      <c r="C3440" s="263"/>
      <c r="D3440" s="262"/>
      <c r="E3440" s="81" t="s">
        <v>187</v>
      </c>
      <c r="F3440" s="81" t="s">
        <v>187</v>
      </c>
      <c r="G3440" s="81" t="s">
        <v>187</v>
      </c>
      <c r="H3440" s="81" t="s">
        <v>187</v>
      </c>
      <c r="I3440" s="81" t="s">
        <v>187</v>
      </c>
      <c r="J3440" s="81" t="s">
        <v>187</v>
      </c>
      <c r="K3440" s="81" t="s">
        <v>187</v>
      </c>
      <c r="L3440" s="81" t="s">
        <v>187</v>
      </c>
    </row>
    <row r="3441" ht="15.75" customHeight="1">
      <c r="A3441" s="262"/>
      <c r="B3441" s="262"/>
      <c r="C3441" s="263"/>
      <c r="D3441" s="262"/>
      <c r="E3441" s="81" t="s">
        <v>187</v>
      </c>
      <c r="F3441" s="81" t="s">
        <v>187</v>
      </c>
      <c r="G3441" s="81" t="s">
        <v>187</v>
      </c>
      <c r="H3441" s="81" t="s">
        <v>187</v>
      </c>
      <c r="I3441" s="81" t="s">
        <v>187</v>
      </c>
      <c r="J3441" s="81" t="s">
        <v>187</v>
      </c>
      <c r="K3441" s="81" t="s">
        <v>187</v>
      </c>
      <c r="L3441" s="81" t="s">
        <v>187</v>
      </c>
    </row>
    <row r="3442" ht="15.75" customHeight="1">
      <c r="A3442" s="262"/>
      <c r="B3442" s="262"/>
      <c r="C3442" s="263"/>
      <c r="D3442" s="262"/>
      <c r="E3442" s="81" t="s">
        <v>187</v>
      </c>
      <c r="F3442" s="81" t="s">
        <v>187</v>
      </c>
      <c r="G3442" s="81" t="s">
        <v>187</v>
      </c>
      <c r="H3442" s="81" t="s">
        <v>187</v>
      </c>
      <c r="I3442" s="81" t="s">
        <v>187</v>
      </c>
      <c r="J3442" s="81" t="s">
        <v>187</v>
      </c>
      <c r="K3442" s="81" t="s">
        <v>187</v>
      </c>
      <c r="L3442" s="81" t="s">
        <v>187</v>
      </c>
    </row>
    <row r="3443" ht="15.75" customHeight="1">
      <c r="A3443" s="262"/>
      <c r="B3443" s="262"/>
      <c r="C3443" s="263"/>
      <c r="D3443" s="262"/>
      <c r="E3443" s="81" t="s">
        <v>187</v>
      </c>
      <c r="F3443" s="81" t="s">
        <v>187</v>
      </c>
      <c r="G3443" s="81" t="s">
        <v>187</v>
      </c>
      <c r="H3443" s="81" t="s">
        <v>187</v>
      </c>
      <c r="I3443" s="81" t="s">
        <v>187</v>
      </c>
      <c r="J3443" s="81" t="s">
        <v>187</v>
      </c>
      <c r="K3443" s="81" t="s">
        <v>187</v>
      </c>
      <c r="L3443" s="81" t="s">
        <v>187</v>
      </c>
    </row>
    <row r="3444" ht="15.75" customHeight="1">
      <c r="A3444" s="262"/>
      <c r="B3444" s="262"/>
      <c r="C3444" s="263"/>
      <c r="D3444" s="262"/>
      <c r="E3444" s="81" t="s">
        <v>187</v>
      </c>
      <c r="F3444" s="81" t="s">
        <v>187</v>
      </c>
      <c r="G3444" s="81" t="s">
        <v>187</v>
      </c>
      <c r="H3444" s="81" t="s">
        <v>187</v>
      </c>
      <c r="I3444" s="81" t="s">
        <v>187</v>
      </c>
      <c r="J3444" s="81" t="s">
        <v>187</v>
      </c>
      <c r="K3444" s="81" t="s">
        <v>187</v>
      </c>
      <c r="L3444" s="81" t="s">
        <v>187</v>
      </c>
    </row>
    <row r="3445" ht="15.75" customHeight="1">
      <c r="A3445" s="262"/>
      <c r="B3445" s="262"/>
      <c r="C3445" s="263"/>
      <c r="D3445" s="262"/>
      <c r="E3445" s="81" t="s">
        <v>187</v>
      </c>
      <c r="F3445" s="81" t="s">
        <v>187</v>
      </c>
      <c r="G3445" s="81" t="s">
        <v>187</v>
      </c>
      <c r="H3445" s="81" t="s">
        <v>187</v>
      </c>
      <c r="I3445" s="81" t="s">
        <v>187</v>
      </c>
      <c r="J3445" s="81" t="s">
        <v>187</v>
      </c>
      <c r="K3445" s="81" t="s">
        <v>187</v>
      </c>
      <c r="L3445" s="81" t="s">
        <v>187</v>
      </c>
    </row>
    <row r="3446" ht="15.75" customHeight="1">
      <c r="A3446" s="262"/>
      <c r="B3446" s="262"/>
      <c r="C3446" s="263"/>
      <c r="D3446" s="262"/>
      <c r="E3446" s="81" t="s">
        <v>187</v>
      </c>
      <c r="F3446" s="81" t="s">
        <v>187</v>
      </c>
      <c r="G3446" s="81" t="s">
        <v>187</v>
      </c>
      <c r="H3446" s="81" t="s">
        <v>187</v>
      </c>
      <c r="I3446" s="81" t="s">
        <v>187</v>
      </c>
      <c r="J3446" s="81" t="s">
        <v>187</v>
      </c>
      <c r="K3446" s="81" t="s">
        <v>187</v>
      </c>
      <c r="L3446" s="81" t="s">
        <v>187</v>
      </c>
    </row>
    <row r="3447" ht="15.75" customHeight="1">
      <c r="A3447" s="262"/>
      <c r="B3447" s="262"/>
      <c r="C3447" s="263"/>
      <c r="D3447" s="262"/>
      <c r="E3447" s="81" t="s">
        <v>187</v>
      </c>
      <c r="F3447" s="81" t="s">
        <v>187</v>
      </c>
      <c r="G3447" s="81" t="s">
        <v>187</v>
      </c>
      <c r="H3447" s="81" t="s">
        <v>187</v>
      </c>
      <c r="I3447" s="81" t="s">
        <v>187</v>
      </c>
      <c r="J3447" s="81" t="s">
        <v>187</v>
      </c>
      <c r="K3447" s="81" t="s">
        <v>187</v>
      </c>
      <c r="L3447" s="81" t="s">
        <v>187</v>
      </c>
    </row>
    <row r="3448" ht="15.75" customHeight="1">
      <c r="A3448" s="262"/>
      <c r="B3448" s="262"/>
      <c r="C3448" s="263"/>
      <c r="D3448" s="262"/>
      <c r="E3448" s="81" t="s">
        <v>187</v>
      </c>
      <c r="F3448" s="81" t="s">
        <v>187</v>
      </c>
      <c r="G3448" s="81" t="s">
        <v>187</v>
      </c>
      <c r="H3448" s="81" t="s">
        <v>187</v>
      </c>
      <c r="I3448" s="81" t="s">
        <v>187</v>
      </c>
      <c r="J3448" s="81" t="s">
        <v>187</v>
      </c>
      <c r="K3448" s="81" t="s">
        <v>187</v>
      </c>
      <c r="L3448" s="81" t="s">
        <v>187</v>
      </c>
    </row>
    <row r="3449" ht="15.75" customHeight="1">
      <c r="A3449" s="262"/>
      <c r="B3449" s="262"/>
      <c r="C3449" s="263"/>
      <c r="D3449" s="262"/>
      <c r="E3449" s="81" t="s">
        <v>187</v>
      </c>
      <c r="F3449" s="81" t="s">
        <v>187</v>
      </c>
      <c r="G3449" s="81" t="s">
        <v>187</v>
      </c>
      <c r="H3449" s="81" t="s">
        <v>187</v>
      </c>
      <c r="I3449" s="81" t="s">
        <v>187</v>
      </c>
      <c r="J3449" s="81" t="s">
        <v>187</v>
      </c>
      <c r="K3449" s="81" t="s">
        <v>187</v>
      </c>
      <c r="L3449" s="81" t="s">
        <v>187</v>
      </c>
    </row>
    <row r="3450" ht="15.75" customHeight="1">
      <c r="A3450" s="262"/>
      <c r="B3450" s="262"/>
      <c r="C3450" s="263"/>
      <c r="D3450" s="262"/>
      <c r="E3450" s="81" t="s">
        <v>187</v>
      </c>
      <c r="F3450" s="81" t="s">
        <v>187</v>
      </c>
      <c r="G3450" s="81" t="s">
        <v>187</v>
      </c>
      <c r="H3450" s="81" t="s">
        <v>187</v>
      </c>
      <c r="I3450" s="81" t="s">
        <v>187</v>
      </c>
      <c r="J3450" s="81" t="s">
        <v>187</v>
      </c>
      <c r="K3450" s="81" t="s">
        <v>187</v>
      </c>
      <c r="L3450" s="81" t="s">
        <v>187</v>
      </c>
    </row>
    <row r="3451" ht="15.75" customHeight="1">
      <c r="A3451" s="262"/>
      <c r="B3451" s="262"/>
      <c r="C3451" s="263"/>
      <c r="D3451" s="262"/>
      <c r="E3451" s="81" t="s">
        <v>187</v>
      </c>
      <c r="F3451" s="81" t="s">
        <v>187</v>
      </c>
      <c r="G3451" s="81" t="s">
        <v>187</v>
      </c>
      <c r="H3451" s="81" t="s">
        <v>187</v>
      </c>
      <c r="I3451" s="81" t="s">
        <v>187</v>
      </c>
      <c r="J3451" s="81" t="s">
        <v>187</v>
      </c>
      <c r="K3451" s="81" t="s">
        <v>187</v>
      </c>
      <c r="L3451" s="81" t="s">
        <v>187</v>
      </c>
    </row>
    <row r="3452" ht="15.75" customHeight="1">
      <c r="A3452" s="262"/>
      <c r="B3452" s="262"/>
      <c r="C3452" s="263"/>
      <c r="D3452" s="262"/>
      <c r="E3452" s="81" t="s">
        <v>187</v>
      </c>
      <c r="F3452" s="81" t="s">
        <v>187</v>
      </c>
      <c r="G3452" s="81" t="s">
        <v>187</v>
      </c>
      <c r="H3452" s="81" t="s">
        <v>187</v>
      </c>
      <c r="I3452" s="81" t="s">
        <v>187</v>
      </c>
      <c r="J3452" s="81" t="s">
        <v>187</v>
      </c>
      <c r="K3452" s="81" t="s">
        <v>187</v>
      </c>
      <c r="L3452" s="81" t="s">
        <v>187</v>
      </c>
    </row>
    <row r="3453" ht="15.75" customHeight="1">
      <c r="A3453" s="262"/>
      <c r="B3453" s="262"/>
      <c r="C3453" s="263"/>
      <c r="D3453" s="262"/>
      <c r="E3453" s="81" t="s">
        <v>187</v>
      </c>
      <c r="F3453" s="81" t="s">
        <v>187</v>
      </c>
      <c r="G3453" s="81" t="s">
        <v>187</v>
      </c>
      <c r="H3453" s="81" t="s">
        <v>187</v>
      </c>
      <c r="I3453" s="81" t="s">
        <v>187</v>
      </c>
      <c r="J3453" s="81" t="s">
        <v>187</v>
      </c>
      <c r="K3453" s="81" t="s">
        <v>187</v>
      </c>
      <c r="L3453" s="81" t="s">
        <v>187</v>
      </c>
    </row>
    <row r="3454" ht="15.75" customHeight="1">
      <c r="A3454" s="262"/>
      <c r="B3454" s="262"/>
      <c r="C3454" s="263"/>
      <c r="D3454" s="262"/>
      <c r="E3454" s="81" t="s">
        <v>187</v>
      </c>
      <c r="F3454" s="81" t="s">
        <v>187</v>
      </c>
      <c r="G3454" s="81" t="s">
        <v>187</v>
      </c>
      <c r="H3454" s="81" t="s">
        <v>187</v>
      </c>
      <c r="I3454" s="81" t="s">
        <v>187</v>
      </c>
      <c r="J3454" s="81" t="s">
        <v>187</v>
      </c>
      <c r="K3454" s="81" t="s">
        <v>187</v>
      </c>
      <c r="L3454" s="81" t="s">
        <v>187</v>
      </c>
    </row>
    <row r="3455" ht="15.75" customHeight="1">
      <c r="A3455" s="262"/>
      <c r="B3455" s="262"/>
      <c r="C3455" s="263"/>
      <c r="D3455" s="262"/>
      <c r="E3455" s="81" t="s">
        <v>187</v>
      </c>
      <c r="F3455" s="81" t="s">
        <v>187</v>
      </c>
      <c r="G3455" s="81" t="s">
        <v>187</v>
      </c>
      <c r="H3455" s="81" t="s">
        <v>187</v>
      </c>
      <c r="I3455" s="81" t="s">
        <v>187</v>
      </c>
      <c r="J3455" s="81" t="s">
        <v>187</v>
      </c>
      <c r="K3455" s="81" t="s">
        <v>187</v>
      </c>
      <c r="L3455" s="81" t="s">
        <v>187</v>
      </c>
    </row>
    <row r="3456" ht="15.75" customHeight="1">
      <c r="A3456" s="262"/>
      <c r="B3456" s="262"/>
      <c r="C3456" s="263"/>
      <c r="D3456" s="262"/>
      <c r="E3456" s="81" t="s">
        <v>187</v>
      </c>
      <c r="F3456" s="81" t="s">
        <v>187</v>
      </c>
      <c r="G3456" s="81" t="s">
        <v>187</v>
      </c>
      <c r="H3456" s="81" t="s">
        <v>187</v>
      </c>
      <c r="I3456" s="81" t="s">
        <v>187</v>
      </c>
      <c r="J3456" s="81" t="s">
        <v>187</v>
      </c>
      <c r="K3456" s="81" t="s">
        <v>187</v>
      </c>
      <c r="L3456" s="81" t="s">
        <v>187</v>
      </c>
    </row>
    <row r="3457" ht="15.75" customHeight="1">
      <c r="A3457" s="262"/>
      <c r="B3457" s="262"/>
      <c r="C3457" s="263"/>
      <c r="D3457" s="262"/>
      <c r="E3457" s="81" t="s">
        <v>187</v>
      </c>
      <c r="F3457" s="81" t="s">
        <v>187</v>
      </c>
      <c r="G3457" s="81" t="s">
        <v>187</v>
      </c>
      <c r="H3457" s="81" t="s">
        <v>187</v>
      </c>
      <c r="I3457" s="81" t="s">
        <v>187</v>
      </c>
      <c r="J3457" s="81" t="s">
        <v>187</v>
      </c>
      <c r="K3457" s="81" t="s">
        <v>187</v>
      </c>
      <c r="L3457" s="81" t="s">
        <v>187</v>
      </c>
    </row>
    <row r="3458" ht="15.75" customHeight="1">
      <c r="A3458" s="262"/>
      <c r="B3458" s="262"/>
      <c r="C3458" s="263"/>
      <c r="D3458" s="262"/>
      <c r="E3458" s="81" t="s">
        <v>187</v>
      </c>
      <c r="F3458" s="81" t="s">
        <v>187</v>
      </c>
      <c r="G3458" s="81" t="s">
        <v>187</v>
      </c>
      <c r="H3458" s="81" t="s">
        <v>187</v>
      </c>
      <c r="I3458" s="81" t="s">
        <v>187</v>
      </c>
      <c r="J3458" s="81" t="s">
        <v>187</v>
      </c>
      <c r="K3458" s="81" t="s">
        <v>187</v>
      </c>
      <c r="L3458" s="81" t="s">
        <v>187</v>
      </c>
    </row>
    <row r="3459" ht="15.75" customHeight="1">
      <c r="A3459" s="262"/>
      <c r="B3459" s="262"/>
      <c r="C3459" s="263"/>
      <c r="D3459" s="262"/>
      <c r="E3459" s="81" t="s">
        <v>187</v>
      </c>
      <c r="F3459" s="81" t="s">
        <v>187</v>
      </c>
      <c r="G3459" s="81" t="s">
        <v>187</v>
      </c>
      <c r="H3459" s="81" t="s">
        <v>187</v>
      </c>
      <c r="I3459" s="81" t="s">
        <v>187</v>
      </c>
      <c r="J3459" s="81" t="s">
        <v>187</v>
      </c>
      <c r="K3459" s="81" t="s">
        <v>187</v>
      </c>
      <c r="L3459" s="81" t="s">
        <v>187</v>
      </c>
    </row>
    <row r="3460" ht="15.75" customHeight="1">
      <c r="A3460" s="262"/>
      <c r="B3460" s="262"/>
      <c r="C3460" s="263"/>
      <c r="D3460" s="262"/>
      <c r="E3460" s="81" t="s">
        <v>187</v>
      </c>
      <c r="F3460" s="81" t="s">
        <v>187</v>
      </c>
      <c r="G3460" s="81" t="s">
        <v>187</v>
      </c>
      <c r="H3460" s="81" t="s">
        <v>187</v>
      </c>
      <c r="I3460" s="81" t="s">
        <v>187</v>
      </c>
      <c r="J3460" s="81" t="s">
        <v>187</v>
      </c>
      <c r="K3460" s="81" t="s">
        <v>187</v>
      </c>
      <c r="L3460" s="81" t="s">
        <v>187</v>
      </c>
    </row>
    <row r="3461" ht="15.75" customHeight="1">
      <c r="A3461" s="262"/>
      <c r="B3461" s="262"/>
      <c r="C3461" s="263"/>
      <c r="D3461" s="262"/>
      <c r="E3461" s="81" t="s">
        <v>187</v>
      </c>
      <c r="F3461" s="81" t="s">
        <v>187</v>
      </c>
      <c r="G3461" s="81" t="s">
        <v>187</v>
      </c>
      <c r="H3461" s="81" t="s">
        <v>187</v>
      </c>
      <c r="I3461" s="81" t="s">
        <v>187</v>
      </c>
      <c r="J3461" s="81" t="s">
        <v>187</v>
      </c>
      <c r="K3461" s="81" t="s">
        <v>187</v>
      </c>
      <c r="L3461" s="81" t="s">
        <v>187</v>
      </c>
    </row>
    <row r="3462" ht="15.75" customHeight="1">
      <c r="A3462" s="262"/>
      <c r="B3462" s="262"/>
      <c r="C3462" s="263"/>
      <c r="D3462" s="262"/>
      <c r="E3462" s="81" t="s">
        <v>187</v>
      </c>
      <c r="F3462" s="81" t="s">
        <v>187</v>
      </c>
      <c r="G3462" s="81" t="s">
        <v>187</v>
      </c>
      <c r="H3462" s="81" t="s">
        <v>187</v>
      </c>
      <c r="I3462" s="81" t="s">
        <v>187</v>
      </c>
      <c r="J3462" s="81" t="s">
        <v>187</v>
      </c>
      <c r="K3462" s="81" t="s">
        <v>187</v>
      </c>
      <c r="L3462" s="81" t="s">
        <v>187</v>
      </c>
    </row>
    <row r="3463" ht="15.75" customHeight="1">
      <c r="A3463" s="262"/>
      <c r="B3463" s="262"/>
      <c r="C3463" s="263"/>
      <c r="D3463" s="262"/>
      <c r="E3463" s="81" t="s">
        <v>187</v>
      </c>
      <c r="F3463" s="81" t="s">
        <v>187</v>
      </c>
      <c r="G3463" s="81" t="s">
        <v>187</v>
      </c>
      <c r="H3463" s="81" t="s">
        <v>187</v>
      </c>
      <c r="I3463" s="81" t="s">
        <v>187</v>
      </c>
      <c r="J3463" s="81" t="s">
        <v>187</v>
      </c>
      <c r="K3463" s="81" t="s">
        <v>187</v>
      </c>
      <c r="L3463" s="81" t="s">
        <v>187</v>
      </c>
    </row>
    <row r="3464" ht="15.75" customHeight="1">
      <c r="A3464" s="262"/>
      <c r="B3464" s="262"/>
      <c r="C3464" s="263"/>
      <c r="D3464" s="262"/>
      <c r="E3464" s="81" t="s">
        <v>187</v>
      </c>
      <c r="F3464" s="81" t="s">
        <v>187</v>
      </c>
      <c r="G3464" s="81" t="s">
        <v>187</v>
      </c>
      <c r="H3464" s="81" t="s">
        <v>187</v>
      </c>
      <c r="I3464" s="81" t="s">
        <v>187</v>
      </c>
      <c r="J3464" s="81" t="s">
        <v>187</v>
      </c>
      <c r="K3464" s="81" t="s">
        <v>187</v>
      </c>
      <c r="L3464" s="81" t="s">
        <v>187</v>
      </c>
    </row>
    <row r="3465" ht="15.75" customHeight="1">
      <c r="A3465" s="262"/>
      <c r="B3465" s="262"/>
      <c r="C3465" s="263"/>
      <c r="D3465" s="262"/>
      <c r="E3465" s="81" t="s">
        <v>187</v>
      </c>
      <c r="F3465" s="81" t="s">
        <v>187</v>
      </c>
      <c r="G3465" s="81" t="s">
        <v>187</v>
      </c>
      <c r="H3465" s="81" t="s">
        <v>187</v>
      </c>
      <c r="I3465" s="81" t="s">
        <v>187</v>
      </c>
      <c r="J3465" s="81" t="s">
        <v>187</v>
      </c>
      <c r="K3465" s="81" t="s">
        <v>187</v>
      </c>
      <c r="L3465" s="81" t="s">
        <v>187</v>
      </c>
    </row>
    <row r="3466" ht="15.75" customHeight="1">
      <c r="A3466" s="262"/>
      <c r="B3466" s="262"/>
      <c r="C3466" s="263"/>
      <c r="D3466" s="262"/>
      <c r="E3466" s="81" t="s">
        <v>187</v>
      </c>
      <c r="F3466" s="81" t="s">
        <v>187</v>
      </c>
      <c r="G3466" s="81" t="s">
        <v>187</v>
      </c>
      <c r="H3466" s="81" t="s">
        <v>187</v>
      </c>
      <c r="I3466" s="81" t="s">
        <v>187</v>
      </c>
      <c r="J3466" s="81" t="s">
        <v>187</v>
      </c>
      <c r="K3466" s="81" t="s">
        <v>187</v>
      </c>
      <c r="L3466" s="81" t="s">
        <v>187</v>
      </c>
    </row>
    <row r="3467" ht="15.75" customHeight="1">
      <c r="A3467" s="262"/>
      <c r="B3467" s="262"/>
      <c r="C3467" s="263"/>
      <c r="D3467" s="262"/>
      <c r="E3467" s="81" t="s">
        <v>187</v>
      </c>
      <c r="F3467" s="81" t="s">
        <v>187</v>
      </c>
      <c r="G3467" s="81" t="s">
        <v>187</v>
      </c>
      <c r="H3467" s="81" t="s">
        <v>187</v>
      </c>
      <c r="I3467" s="81" t="s">
        <v>187</v>
      </c>
      <c r="J3467" s="81" t="s">
        <v>187</v>
      </c>
      <c r="K3467" s="81" t="s">
        <v>187</v>
      </c>
      <c r="L3467" s="81" t="s">
        <v>187</v>
      </c>
    </row>
    <row r="3468" ht="15.75" customHeight="1">
      <c r="A3468" s="262"/>
      <c r="B3468" s="262"/>
      <c r="C3468" s="263"/>
      <c r="D3468" s="262"/>
      <c r="E3468" s="81" t="s">
        <v>187</v>
      </c>
      <c r="F3468" s="81" t="s">
        <v>187</v>
      </c>
      <c r="G3468" s="81" t="s">
        <v>187</v>
      </c>
      <c r="H3468" s="81" t="s">
        <v>187</v>
      </c>
      <c r="I3468" s="81" t="s">
        <v>187</v>
      </c>
      <c r="J3468" s="81" t="s">
        <v>187</v>
      </c>
      <c r="K3468" s="81" t="s">
        <v>187</v>
      </c>
      <c r="L3468" s="81" t="s">
        <v>187</v>
      </c>
    </row>
    <row r="3469" ht="15.75" customHeight="1">
      <c r="A3469" s="262"/>
      <c r="B3469" s="262"/>
      <c r="C3469" s="263"/>
      <c r="D3469" s="262"/>
      <c r="E3469" s="81" t="s">
        <v>187</v>
      </c>
      <c r="F3469" s="81" t="s">
        <v>187</v>
      </c>
      <c r="G3469" s="81" t="s">
        <v>187</v>
      </c>
      <c r="H3469" s="81" t="s">
        <v>187</v>
      </c>
      <c r="I3469" s="81" t="s">
        <v>187</v>
      </c>
      <c r="J3469" s="81" t="s">
        <v>187</v>
      </c>
      <c r="K3469" s="81" t="s">
        <v>187</v>
      </c>
      <c r="L3469" s="81" t="s">
        <v>187</v>
      </c>
    </row>
    <row r="3470" ht="15.75" customHeight="1">
      <c r="A3470" s="262"/>
      <c r="B3470" s="262"/>
      <c r="C3470" s="263"/>
      <c r="D3470" s="262"/>
      <c r="E3470" s="81" t="s">
        <v>187</v>
      </c>
      <c r="F3470" s="81" t="s">
        <v>187</v>
      </c>
      <c r="G3470" s="81" t="s">
        <v>187</v>
      </c>
      <c r="H3470" s="81" t="s">
        <v>187</v>
      </c>
      <c r="I3470" s="81" t="s">
        <v>187</v>
      </c>
      <c r="J3470" s="81" t="s">
        <v>187</v>
      </c>
      <c r="K3470" s="81" t="s">
        <v>187</v>
      </c>
      <c r="L3470" s="81" t="s">
        <v>187</v>
      </c>
    </row>
    <row r="3471" ht="15.75" customHeight="1">
      <c r="A3471" s="262"/>
      <c r="B3471" s="262"/>
      <c r="C3471" s="263"/>
      <c r="D3471" s="262"/>
      <c r="E3471" s="81" t="s">
        <v>187</v>
      </c>
      <c r="F3471" s="81" t="s">
        <v>187</v>
      </c>
      <c r="G3471" s="81" t="s">
        <v>187</v>
      </c>
      <c r="H3471" s="81" t="s">
        <v>187</v>
      </c>
      <c r="I3471" s="81" t="s">
        <v>187</v>
      </c>
      <c r="J3471" s="81" t="s">
        <v>187</v>
      </c>
      <c r="K3471" s="81" t="s">
        <v>187</v>
      </c>
      <c r="L3471" s="81" t="s">
        <v>187</v>
      </c>
    </row>
    <row r="3472" ht="15.75" customHeight="1">
      <c r="A3472" s="262"/>
      <c r="B3472" s="262"/>
      <c r="C3472" s="263"/>
      <c r="D3472" s="262"/>
      <c r="E3472" s="81" t="s">
        <v>187</v>
      </c>
      <c r="F3472" s="81" t="s">
        <v>187</v>
      </c>
      <c r="G3472" s="81" t="s">
        <v>187</v>
      </c>
      <c r="H3472" s="81" t="s">
        <v>187</v>
      </c>
      <c r="I3472" s="81" t="s">
        <v>187</v>
      </c>
      <c r="J3472" s="81" t="s">
        <v>187</v>
      </c>
      <c r="K3472" s="81" t="s">
        <v>187</v>
      </c>
      <c r="L3472" s="81" t="s">
        <v>187</v>
      </c>
    </row>
    <row r="3473" ht="15.75" customHeight="1">
      <c r="A3473" s="262"/>
      <c r="B3473" s="262"/>
      <c r="C3473" s="263"/>
      <c r="D3473" s="262"/>
      <c r="E3473" s="81" t="s">
        <v>187</v>
      </c>
      <c r="F3473" s="81" t="s">
        <v>187</v>
      </c>
      <c r="G3473" s="81" t="s">
        <v>187</v>
      </c>
      <c r="H3473" s="81" t="s">
        <v>187</v>
      </c>
      <c r="I3473" s="81" t="s">
        <v>187</v>
      </c>
      <c r="J3473" s="81" t="s">
        <v>187</v>
      </c>
      <c r="K3473" s="81" t="s">
        <v>187</v>
      </c>
      <c r="L3473" s="81" t="s">
        <v>187</v>
      </c>
    </row>
    <row r="3474" ht="15.75" customHeight="1">
      <c r="A3474" s="262"/>
      <c r="B3474" s="262"/>
      <c r="C3474" s="263"/>
      <c r="D3474" s="262"/>
      <c r="E3474" s="81" t="s">
        <v>187</v>
      </c>
      <c r="F3474" s="81" t="s">
        <v>187</v>
      </c>
      <c r="G3474" s="81" t="s">
        <v>187</v>
      </c>
      <c r="H3474" s="81" t="s">
        <v>187</v>
      </c>
      <c r="I3474" s="81" t="s">
        <v>187</v>
      </c>
      <c r="J3474" s="81" t="s">
        <v>187</v>
      </c>
      <c r="K3474" s="81" t="s">
        <v>187</v>
      </c>
      <c r="L3474" s="81" t="s">
        <v>187</v>
      </c>
    </row>
    <row r="3475" ht="15.75" customHeight="1">
      <c r="A3475" s="262"/>
      <c r="B3475" s="262"/>
      <c r="C3475" s="263"/>
      <c r="D3475" s="262"/>
      <c r="E3475" s="81" t="s">
        <v>187</v>
      </c>
      <c r="F3475" s="81" t="s">
        <v>187</v>
      </c>
      <c r="G3475" s="81" t="s">
        <v>187</v>
      </c>
      <c r="H3475" s="81" t="s">
        <v>187</v>
      </c>
      <c r="I3475" s="81" t="s">
        <v>187</v>
      </c>
      <c r="J3475" s="81" t="s">
        <v>187</v>
      </c>
      <c r="K3475" s="81" t="s">
        <v>187</v>
      </c>
      <c r="L3475" s="81" t="s">
        <v>187</v>
      </c>
    </row>
    <row r="3476" ht="15.75" customHeight="1">
      <c r="A3476" s="262"/>
      <c r="B3476" s="262"/>
      <c r="C3476" s="263"/>
      <c r="D3476" s="262"/>
      <c r="E3476" s="81" t="s">
        <v>187</v>
      </c>
      <c r="F3476" s="81" t="s">
        <v>187</v>
      </c>
      <c r="G3476" s="81" t="s">
        <v>187</v>
      </c>
      <c r="H3476" s="81" t="s">
        <v>187</v>
      </c>
      <c r="I3476" s="81" t="s">
        <v>187</v>
      </c>
      <c r="J3476" s="81" t="s">
        <v>187</v>
      </c>
      <c r="K3476" s="81" t="s">
        <v>187</v>
      </c>
      <c r="L3476" s="81" t="s">
        <v>187</v>
      </c>
    </row>
    <row r="3477" ht="15.75" customHeight="1">
      <c r="A3477" s="262"/>
      <c r="B3477" s="262"/>
      <c r="C3477" s="263"/>
      <c r="D3477" s="262"/>
      <c r="E3477" s="81" t="s">
        <v>187</v>
      </c>
      <c r="F3477" s="81" t="s">
        <v>187</v>
      </c>
      <c r="G3477" s="81" t="s">
        <v>187</v>
      </c>
      <c r="H3477" s="81" t="s">
        <v>187</v>
      </c>
      <c r="I3477" s="81" t="s">
        <v>187</v>
      </c>
      <c r="J3477" s="81" t="s">
        <v>187</v>
      </c>
      <c r="K3477" s="81" t="s">
        <v>187</v>
      </c>
      <c r="L3477" s="81" t="s">
        <v>187</v>
      </c>
    </row>
    <row r="3478" ht="15.75" customHeight="1">
      <c r="A3478" s="262"/>
      <c r="B3478" s="262"/>
      <c r="C3478" s="263"/>
      <c r="D3478" s="262"/>
      <c r="E3478" s="81" t="s">
        <v>187</v>
      </c>
      <c r="F3478" s="81" t="s">
        <v>187</v>
      </c>
      <c r="G3478" s="81" t="s">
        <v>187</v>
      </c>
      <c r="H3478" s="81" t="s">
        <v>187</v>
      </c>
      <c r="I3478" s="81" t="s">
        <v>187</v>
      </c>
      <c r="J3478" s="81" t="s">
        <v>187</v>
      </c>
      <c r="K3478" s="81" t="s">
        <v>187</v>
      </c>
      <c r="L3478" s="81" t="s">
        <v>187</v>
      </c>
    </row>
    <row r="3479" ht="15.75" customHeight="1">
      <c r="A3479" s="262"/>
      <c r="B3479" s="262"/>
      <c r="C3479" s="263"/>
      <c r="D3479" s="262"/>
      <c r="E3479" s="81" t="s">
        <v>187</v>
      </c>
      <c r="F3479" s="81" t="s">
        <v>187</v>
      </c>
      <c r="G3479" s="81" t="s">
        <v>187</v>
      </c>
      <c r="H3479" s="81" t="s">
        <v>187</v>
      </c>
      <c r="I3479" s="81" t="s">
        <v>187</v>
      </c>
      <c r="J3479" s="81" t="s">
        <v>187</v>
      </c>
      <c r="K3479" s="81" t="s">
        <v>187</v>
      </c>
      <c r="L3479" s="81" t="s">
        <v>187</v>
      </c>
    </row>
    <row r="3480" ht="15.75" customHeight="1">
      <c r="A3480" s="262"/>
      <c r="B3480" s="262"/>
      <c r="C3480" s="263"/>
      <c r="D3480" s="262"/>
      <c r="E3480" s="81" t="s">
        <v>187</v>
      </c>
      <c r="F3480" s="81" t="s">
        <v>187</v>
      </c>
      <c r="G3480" s="81" t="s">
        <v>187</v>
      </c>
      <c r="H3480" s="81" t="s">
        <v>187</v>
      </c>
      <c r="I3480" s="81" t="s">
        <v>187</v>
      </c>
      <c r="J3480" s="81" t="s">
        <v>187</v>
      </c>
      <c r="K3480" s="81" t="s">
        <v>187</v>
      </c>
      <c r="L3480" s="81" t="s">
        <v>187</v>
      </c>
    </row>
    <row r="3481" ht="15.75" customHeight="1">
      <c r="A3481" s="262"/>
      <c r="B3481" s="262"/>
      <c r="C3481" s="263"/>
      <c r="D3481" s="262"/>
      <c r="E3481" s="81" t="s">
        <v>187</v>
      </c>
      <c r="F3481" s="81" t="s">
        <v>187</v>
      </c>
      <c r="G3481" s="81" t="s">
        <v>187</v>
      </c>
      <c r="H3481" s="81" t="s">
        <v>187</v>
      </c>
      <c r="I3481" s="81" t="s">
        <v>187</v>
      </c>
      <c r="J3481" s="81" t="s">
        <v>187</v>
      </c>
      <c r="K3481" s="81" t="s">
        <v>187</v>
      </c>
      <c r="L3481" s="81" t="s">
        <v>187</v>
      </c>
    </row>
    <row r="3482" ht="15.75" customHeight="1">
      <c r="A3482" s="262"/>
      <c r="B3482" s="262"/>
      <c r="C3482" s="263"/>
      <c r="D3482" s="262"/>
      <c r="E3482" s="81" t="s">
        <v>187</v>
      </c>
      <c r="F3482" s="81" t="s">
        <v>187</v>
      </c>
      <c r="G3482" s="81" t="s">
        <v>187</v>
      </c>
      <c r="H3482" s="81" t="s">
        <v>187</v>
      </c>
      <c r="I3482" s="81" t="s">
        <v>187</v>
      </c>
      <c r="J3482" s="81" t="s">
        <v>187</v>
      </c>
      <c r="K3482" s="81" t="s">
        <v>187</v>
      </c>
      <c r="L3482" s="81" t="s">
        <v>187</v>
      </c>
    </row>
    <row r="3483" ht="15.75" customHeight="1">
      <c r="A3483" s="262"/>
      <c r="B3483" s="262"/>
      <c r="C3483" s="263"/>
      <c r="D3483" s="262"/>
      <c r="E3483" s="81" t="s">
        <v>187</v>
      </c>
      <c r="F3483" s="81" t="s">
        <v>187</v>
      </c>
      <c r="G3483" s="81" t="s">
        <v>187</v>
      </c>
      <c r="H3483" s="81" t="s">
        <v>187</v>
      </c>
      <c r="I3483" s="81" t="s">
        <v>187</v>
      </c>
      <c r="J3483" s="81" t="s">
        <v>187</v>
      </c>
      <c r="K3483" s="81" t="s">
        <v>187</v>
      </c>
      <c r="L3483" s="81" t="s">
        <v>187</v>
      </c>
    </row>
    <row r="3484" ht="15.75" customHeight="1">
      <c r="A3484" s="262"/>
      <c r="B3484" s="262"/>
      <c r="C3484" s="263"/>
      <c r="D3484" s="262"/>
      <c r="E3484" s="81" t="s">
        <v>187</v>
      </c>
      <c r="F3484" s="81" t="s">
        <v>187</v>
      </c>
      <c r="G3484" s="81" t="s">
        <v>187</v>
      </c>
      <c r="H3484" s="81" t="s">
        <v>187</v>
      </c>
      <c r="I3484" s="81" t="s">
        <v>187</v>
      </c>
      <c r="J3484" s="81" t="s">
        <v>187</v>
      </c>
      <c r="K3484" s="81" t="s">
        <v>187</v>
      </c>
      <c r="L3484" s="81" t="s">
        <v>187</v>
      </c>
    </row>
    <row r="3485" ht="15.75" customHeight="1">
      <c r="A3485" s="262"/>
      <c r="B3485" s="262"/>
      <c r="C3485" s="263"/>
      <c r="D3485" s="262"/>
      <c r="E3485" s="81" t="s">
        <v>187</v>
      </c>
      <c r="F3485" s="81" t="s">
        <v>187</v>
      </c>
      <c r="G3485" s="81" t="s">
        <v>187</v>
      </c>
      <c r="H3485" s="81" t="s">
        <v>187</v>
      </c>
      <c r="I3485" s="81" t="s">
        <v>187</v>
      </c>
      <c r="J3485" s="81" t="s">
        <v>187</v>
      </c>
      <c r="K3485" s="81" t="s">
        <v>187</v>
      </c>
      <c r="L3485" s="81" t="s">
        <v>187</v>
      </c>
    </row>
    <row r="3486" ht="15.75" customHeight="1">
      <c r="A3486" s="262"/>
      <c r="B3486" s="262"/>
      <c r="C3486" s="263"/>
      <c r="D3486" s="262"/>
      <c r="E3486" s="81" t="s">
        <v>187</v>
      </c>
      <c r="F3486" s="81" t="s">
        <v>187</v>
      </c>
      <c r="G3486" s="81" t="s">
        <v>187</v>
      </c>
      <c r="H3486" s="81" t="s">
        <v>187</v>
      </c>
      <c r="I3486" s="81" t="s">
        <v>187</v>
      </c>
      <c r="J3486" s="81" t="s">
        <v>187</v>
      </c>
      <c r="K3486" s="81" t="s">
        <v>187</v>
      </c>
      <c r="L3486" s="81" t="s">
        <v>187</v>
      </c>
    </row>
    <row r="3487" ht="15.75" customHeight="1">
      <c r="A3487" s="262"/>
      <c r="B3487" s="262"/>
      <c r="C3487" s="263"/>
      <c r="D3487" s="262"/>
      <c r="E3487" s="81" t="s">
        <v>187</v>
      </c>
      <c r="F3487" s="81" t="s">
        <v>187</v>
      </c>
      <c r="G3487" s="81" t="s">
        <v>187</v>
      </c>
      <c r="H3487" s="81" t="s">
        <v>187</v>
      </c>
      <c r="I3487" s="81" t="s">
        <v>187</v>
      </c>
      <c r="J3487" s="81" t="s">
        <v>187</v>
      </c>
      <c r="K3487" s="81" t="s">
        <v>187</v>
      </c>
      <c r="L3487" s="81" t="s">
        <v>187</v>
      </c>
    </row>
    <row r="3488" ht="15.75" customHeight="1">
      <c r="A3488" s="262"/>
      <c r="B3488" s="262"/>
      <c r="C3488" s="263"/>
      <c r="D3488" s="262"/>
      <c r="E3488" s="81" t="s">
        <v>187</v>
      </c>
      <c r="F3488" s="81" t="s">
        <v>187</v>
      </c>
      <c r="G3488" s="81" t="s">
        <v>187</v>
      </c>
      <c r="H3488" s="81" t="s">
        <v>187</v>
      </c>
      <c r="I3488" s="81" t="s">
        <v>187</v>
      </c>
      <c r="J3488" s="81" t="s">
        <v>187</v>
      </c>
      <c r="K3488" s="81" t="s">
        <v>187</v>
      </c>
      <c r="L3488" s="81" t="s">
        <v>187</v>
      </c>
    </row>
    <row r="3489" ht="15.75" customHeight="1">
      <c r="A3489" s="262"/>
      <c r="B3489" s="262"/>
      <c r="C3489" s="263"/>
      <c r="D3489" s="262"/>
      <c r="E3489" s="81" t="s">
        <v>187</v>
      </c>
      <c r="F3489" s="81" t="s">
        <v>187</v>
      </c>
      <c r="G3489" s="81" t="s">
        <v>187</v>
      </c>
      <c r="H3489" s="81" t="s">
        <v>187</v>
      </c>
      <c r="I3489" s="81" t="s">
        <v>187</v>
      </c>
      <c r="J3489" s="81" t="s">
        <v>187</v>
      </c>
      <c r="K3489" s="81" t="s">
        <v>187</v>
      </c>
      <c r="L3489" s="81" t="s">
        <v>187</v>
      </c>
    </row>
    <row r="3490" ht="15.75" customHeight="1">
      <c r="A3490" s="262"/>
      <c r="B3490" s="262"/>
      <c r="C3490" s="263"/>
      <c r="D3490" s="262"/>
      <c r="E3490" s="81" t="s">
        <v>187</v>
      </c>
      <c r="F3490" s="81" t="s">
        <v>187</v>
      </c>
      <c r="G3490" s="81" t="s">
        <v>187</v>
      </c>
      <c r="H3490" s="81" t="s">
        <v>187</v>
      </c>
      <c r="I3490" s="81" t="s">
        <v>187</v>
      </c>
      <c r="J3490" s="81" t="s">
        <v>187</v>
      </c>
      <c r="K3490" s="81" t="s">
        <v>187</v>
      </c>
      <c r="L3490" s="81" t="s">
        <v>187</v>
      </c>
    </row>
    <row r="3491" ht="15.75" customHeight="1">
      <c r="A3491" s="262"/>
      <c r="B3491" s="262"/>
      <c r="C3491" s="263"/>
      <c r="D3491" s="262"/>
      <c r="E3491" s="81" t="s">
        <v>187</v>
      </c>
      <c r="F3491" s="81" t="s">
        <v>187</v>
      </c>
      <c r="G3491" s="81" t="s">
        <v>187</v>
      </c>
      <c r="H3491" s="81" t="s">
        <v>187</v>
      </c>
      <c r="I3491" s="81" t="s">
        <v>187</v>
      </c>
      <c r="J3491" s="81" t="s">
        <v>187</v>
      </c>
      <c r="K3491" s="81" t="s">
        <v>187</v>
      </c>
      <c r="L3491" s="81" t="s">
        <v>187</v>
      </c>
    </row>
    <row r="3492" ht="15.75" customHeight="1">
      <c r="A3492" s="262"/>
      <c r="B3492" s="262"/>
      <c r="C3492" s="263"/>
      <c r="D3492" s="262"/>
      <c r="E3492" s="81" t="s">
        <v>187</v>
      </c>
      <c r="F3492" s="81" t="s">
        <v>187</v>
      </c>
      <c r="G3492" s="81" t="s">
        <v>187</v>
      </c>
      <c r="H3492" s="81" t="s">
        <v>187</v>
      </c>
      <c r="I3492" s="81" t="s">
        <v>187</v>
      </c>
      <c r="J3492" s="81" t="s">
        <v>187</v>
      </c>
      <c r="K3492" s="81" t="s">
        <v>187</v>
      </c>
      <c r="L3492" s="81" t="s">
        <v>187</v>
      </c>
    </row>
    <row r="3493" ht="15.75" customHeight="1">
      <c r="A3493" s="262"/>
      <c r="B3493" s="262"/>
      <c r="C3493" s="263"/>
      <c r="D3493" s="262"/>
      <c r="E3493" s="81" t="s">
        <v>187</v>
      </c>
      <c r="F3493" s="81" t="s">
        <v>187</v>
      </c>
      <c r="G3493" s="81" t="s">
        <v>187</v>
      </c>
      <c r="H3493" s="81" t="s">
        <v>187</v>
      </c>
      <c r="I3493" s="81" t="s">
        <v>187</v>
      </c>
      <c r="J3493" s="81" t="s">
        <v>187</v>
      </c>
      <c r="K3493" s="81" t="s">
        <v>187</v>
      </c>
      <c r="L3493" s="81" t="s">
        <v>187</v>
      </c>
    </row>
    <row r="3494" ht="15.75" customHeight="1">
      <c r="A3494" s="262"/>
      <c r="B3494" s="262"/>
      <c r="C3494" s="263"/>
      <c r="D3494" s="262"/>
      <c r="E3494" s="81" t="s">
        <v>187</v>
      </c>
      <c r="F3494" s="81" t="s">
        <v>187</v>
      </c>
      <c r="G3494" s="81" t="s">
        <v>187</v>
      </c>
      <c r="H3494" s="81" t="s">
        <v>187</v>
      </c>
      <c r="I3494" s="81" t="s">
        <v>187</v>
      </c>
      <c r="J3494" s="81" t="s">
        <v>187</v>
      </c>
      <c r="K3494" s="81" t="s">
        <v>187</v>
      </c>
      <c r="L3494" s="81" t="s">
        <v>187</v>
      </c>
    </row>
    <row r="3495" ht="15.75" customHeight="1">
      <c r="A3495" s="262"/>
      <c r="B3495" s="262"/>
      <c r="C3495" s="263"/>
      <c r="D3495" s="262"/>
      <c r="E3495" s="81" t="s">
        <v>187</v>
      </c>
      <c r="F3495" s="81" t="s">
        <v>187</v>
      </c>
      <c r="G3495" s="81" t="s">
        <v>187</v>
      </c>
      <c r="H3495" s="81" t="s">
        <v>187</v>
      </c>
      <c r="I3495" s="81" t="s">
        <v>187</v>
      </c>
      <c r="J3495" s="81" t="s">
        <v>187</v>
      </c>
      <c r="K3495" s="81" t="s">
        <v>187</v>
      </c>
      <c r="L3495" s="81" t="s">
        <v>187</v>
      </c>
    </row>
    <row r="3496" ht="15.75" customHeight="1">
      <c r="A3496" s="262"/>
      <c r="B3496" s="262"/>
      <c r="C3496" s="263"/>
      <c r="D3496" s="262"/>
      <c r="E3496" s="81" t="s">
        <v>187</v>
      </c>
      <c r="F3496" s="81" t="s">
        <v>187</v>
      </c>
      <c r="G3496" s="81" t="s">
        <v>187</v>
      </c>
      <c r="H3496" s="81" t="s">
        <v>187</v>
      </c>
      <c r="I3496" s="81" t="s">
        <v>187</v>
      </c>
      <c r="J3496" s="81" t="s">
        <v>187</v>
      </c>
      <c r="K3496" s="81" t="s">
        <v>187</v>
      </c>
      <c r="L3496" s="81" t="s">
        <v>187</v>
      </c>
    </row>
    <row r="3497" ht="15.75" customHeight="1">
      <c r="A3497" s="262"/>
      <c r="B3497" s="262"/>
      <c r="C3497" s="263"/>
      <c r="D3497" s="262"/>
      <c r="E3497" s="81" t="s">
        <v>187</v>
      </c>
      <c r="F3497" s="81" t="s">
        <v>187</v>
      </c>
      <c r="G3497" s="81" t="s">
        <v>187</v>
      </c>
      <c r="H3497" s="81" t="s">
        <v>187</v>
      </c>
      <c r="I3497" s="81" t="s">
        <v>187</v>
      </c>
      <c r="J3497" s="81" t="s">
        <v>187</v>
      </c>
      <c r="K3497" s="81" t="s">
        <v>187</v>
      </c>
      <c r="L3497" s="81" t="s">
        <v>187</v>
      </c>
    </row>
    <row r="3498" ht="15.75" customHeight="1">
      <c r="A3498" s="262"/>
      <c r="B3498" s="262"/>
      <c r="C3498" s="263"/>
      <c r="D3498" s="262"/>
      <c r="E3498" s="81" t="s">
        <v>187</v>
      </c>
      <c r="F3498" s="81" t="s">
        <v>187</v>
      </c>
      <c r="G3498" s="81" t="s">
        <v>187</v>
      </c>
      <c r="H3498" s="81" t="s">
        <v>187</v>
      </c>
      <c r="I3498" s="81" t="s">
        <v>187</v>
      </c>
      <c r="J3498" s="81" t="s">
        <v>187</v>
      </c>
      <c r="K3498" s="81" t="s">
        <v>187</v>
      </c>
      <c r="L3498" s="81" t="s">
        <v>187</v>
      </c>
    </row>
    <row r="3499" ht="15.75" customHeight="1">
      <c r="A3499" s="262"/>
      <c r="B3499" s="262"/>
      <c r="C3499" s="263"/>
      <c r="D3499" s="262"/>
      <c r="E3499" s="81" t="s">
        <v>187</v>
      </c>
      <c r="F3499" s="81" t="s">
        <v>187</v>
      </c>
      <c r="G3499" s="81" t="s">
        <v>187</v>
      </c>
      <c r="H3499" s="81" t="s">
        <v>187</v>
      </c>
      <c r="I3499" s="81" t="s">
        <v>187</v>
      </c>
      <c r="J3499" s="81" t="s">
        <v>187</v>
      </c>
      <c r="K3499" s="81" t="s">
        <v>187</v>
      </c>
      <c r="L3499" s="81" t="s">
        <v>187</v>
      </c>
    </row>
    <row r="3500" ht="15.75" customHeight="1">
      <c r="A3500" s="262"/>
      <c r="B3500" s="262"/>
      <c r="C3500" s="263"/>
      <c r="D3500" s="262"/>
      <c r="E3500" s="81" t="s">
        <v>187</v>
      </c>
      <c r="F3500" s="81" t="s">
        <v>187</v>
      </c>
      <c r="G3500" s="81" t="s">
        <v>187</v>
      </c>
      <c r="H3500" s="81" t="s">
        <v>187</v>
      </c>
      <c r="I3500" s="81" t="s">
        <v>187</v>
      </c>
      <c r="J3500" s="81" t="s">
        <v>187</v>
      </c>
      <c r="K3500" s="81" t="s">
        <v>187</v>
      </c>
      <c r="L3500" s="81" t="s">
        <v>187</v>
      </c>
    </row>
    <row r="3501" ht="15.75" customHeight="1">
      <c r="A3501" s="262"/>
      <c r="B3501" s="262"/>
      <c r="C3501" s="263"/>
      <c r="D3501" s="262"/>
    </row>
    <row r="3502" ht="15.75" customHeight="1">
      <c r="A3502" s="262"/>
      <c r="B3502" s="262"/>
      <c r="C3502" s="263"/>
      <c r="D3502" s="262"/>
    </row>
    <row r="3503" ht="15.75" customHeight="1">
      <c r="A3503" s="262"/>
      <c r="B3503" s="262"/>
      <c r="C3503" s="263"/>
      <c r="D3503" s="262"/>
    </row>
    <row r="3504" ht="15.75" customHeight="1">
      <c r="A3504" s="262"/>
      <c r="B3504" s="262"/>
      <c r="C3504" s="263"/>
      <c r="D3504" s="262"/>
    </row>
    <row r="3505" ht="15.75" customHeight="1">
      <c r="A3505" s="262"/>
      <c r="B3505" s="262"/>
      <c r="C3505" s="263"/>
      <c r="D3505" s="262"/>
    </row>
    <row r="3506" ht="15.75" customHeight="1">
      <c r="A3506" s="262"/>
      <c r="B3506" s="262"/>
      <c r="C3506" s="263"/>
      <c r="D3506" s="262"/>
    </row>
    <row r="3507" ht="15.75" customHeight="1">
      <c r="A3507" s="262"/>
      <c r="B3507" s="262"/>
      <c r="C3507" s="263"/>
      <c r="D3507" s="262"/>
    </row>
    <row r="3508" ht="15.75" customHeight="1">
      <c r="A3508" s="262"/>
      <c r="B3508" s="262"/>
      <c r="C3508" s="263"/>
      <c r="D3508" s="262"/>
    </row>
    <row r="3509" ht="15.75" customHeight="1">
      <c r="A3509" s="262"/>
      <c r="B3509" s="262"/>
      <c r="C3509" s="263"/>
      <c r="D3509" s="262"/>
    </row>
    <row r="3510" ht="15.75" customHeight="1">
      <c r="A3510" s="262"/>
      <c r="B3510" s="262"/>
      <c r="C3510" s="263"/>
      <c r="D3510" s="262"/>
    </row>
    <row r="3511" ht="15.75" customHeight="1">
      <c r="A3511" s="262"/>
      <c r="B3511" s="262"/>
      <c r="C3511" s="263"/>
      <c r="D3511" s="262"/>
    </row>
    <row r="3512" ht="15.75" customHeight="1">
      <c r="A3512" s="262"/>
      <c r="B3512" s="262"/>
      <c r="C3512" s="263"/>
      <c r="D3512" s="262"/>
    </row>
    <row r="3513" ht="15.75" customHeight="1">
      <c r="A3513" s="262"/>
      <c r="B3513" s="262"/>
      <c r="C3513" s="263"/>
      <c r="D3513" s="262"/>
    </row>
    <row r="3514" ht="15.75" customHeight="1">
      <c r="A3514" s="262"/>
      <c r="B3514" s="262"/>
      <c r="C3514" s="263"/>
      <c r="D3514" s="262"/>
    </row>
    <row r="3515" ht="15.75" customHeight="1">
      <c r="A3515" s="262"/>
      <c r="B3515" s="262"/>
      <c r="C3515" s="263"/>
      <c r="D3515" s="262"/>
    </row>
    <row r="3516" ht="15.75" customHeight="1">
      <c r="A3516" s="262"/>
      <c r="B3516" s="262"/>
      <c r="C3516" s="263"/>
      <c r="D3516" s="262"/>
    </row>
    <row r="3517" ht="15.75" customHeight="1">
      <c r="A3517" s="262"/>
      <c r="B3517" s="262"/>
      <c r="C3517" s="263"/>
      <c r="D3517" s="262"/>
    </row>
    <row r="3518" ht="15.75" customHeight="1">
      <c r="A3518" s="262"/>
      <c r="B3518" s="262"/>
      <c r="C3518" s="263"/>
      <c r="D3518" s="262"/>
    </row>
    <row r="3519" ht="15.75" customHeight="1">
      <c r="A3519" s="262"/>
      <c r="B3519" s="262"/>
      <c r="C3519" s="263"/>
      <c r="D3519" s="262"/>
    </row>
    <row r="3520" ht="15.75" customHeight="1">
      <c r="A3520" s="262"/>
      <c r="B3520" s="262"/>
      <c r="C3520" s="263"/>
      <c r="D3520" s="262"/>
    </row>
    <row r="3521" ht="15.75" customHeight="1">
      <c r="A3521" s="262"/>
      <c r="B3521" s="262"/>
      <c r="C3521" s="263"/>
      <c r="D3521" s="262"/>
    </row>
    <row r="3522" ht="15.75" customHeight="1">
      <c r="A3522" s="262"/>
      <c r="B3522" s="262"/>
      <c r="C3522" s="263"/>
      <c r="D3522" s="262"/>
    </row>
    <row r="3523" ht="15.75" customHeight="1">
      <c r="A3523" s="262"/>
      <c r="B3523" s="262"/>
      <c r="C3523" s="263"/>
      <c r="D3523" s="262"/>
    </row>
    <row r="3524" ht="15.75" customHeight="1">
      <c r="A3524" s="262"/>
      <c r="B3524" s="262"/>
      <c r="C3524" s="263"/>
      <c r="D3524" s="262"/>
    </row>
    <row r="3525" ht="15.75" customHeight="1">
      <c r="A3525" s="262"/>
      <c r="B3525" s="262"/>
      <c r="C3525" s="263"/>
      <c r="D3525" s="262"/>
    </row>
    <row r="3526" ht="15.75" customHeight="1">
      <c r="A3526" s="262"/>
      <c r="B3526" s="262"/>
      <c r="C3526" s="263"/>
      <c r="D3526" s="262"/>
    </row>
    <row r="3527" ht="15.75" customHeight="1">
      <c r="A3527" s="262"/>
      <c r="B3527" s="262"/>
      <c r="C3527" s="263"/>
      <c r="D3527" s="262"/>
    </row>
    <row r="3528" ht="15.75" customHeight="1">
      <c r="A3528" s="262"/>
      <c r="B3528" s="262"/>
      <c r="C3528" s="263"/>
      <c r="D3528" s="262"/>
    </row>
    <row r="3529" ht="15.75" customHeight="1">
      <c r="A3529" s="262"/>
      <c r="B3529" s="262"/>
      <c r="C3529" s="263"/>
      <c r="D3529" s="262"/>
    </row>
    <row r="3530" ht="15.75" customHeight="1">
      <c r="A3530" s="262"/>
      <c r="B3530" s="262"/>
      <c r="C3530" s="263"/>
      <c r="D3530" s="262"/>
    </row>
    <row r="3531" ht="15.75" customHeight="1">
      <c r="A3531" s="262"/>
      <c r="B3531" s="262"/>
      <c r="C3531" s="263"/>
      <c r="D3531" s="262"/>
    </row>
    <row r="3532" ht="15.75" customHeight="1">
      <c r="A3532" s="262"/>
      <c r="B3532" s="262"/>
      <c r="C3532" s="263"/>
      <c r="D3532" s="262"/>
    </row>
    <row r="3533" ht="15.75" customHeight="1">
      <c r="A3533" s="262"/>
      <c r="B3533" s="262"/>
      <c r="C3533" s="263"/>
      <c r="D3533" s="262"/>
    </row>
    <row r="3534" ht="15.75" customHeight="1">
      <c r="A3534" s="262"/>
      <c r="B3534" s="262"/>
      <c r="C3534" s="263"/>
      <c r="D3534" s="262"/>
    </row>
    <row r="3535" ht="15.75" customHeight="1">
      <c r="A3535" s="262"/>
      <c r="B3535" s="262"/>
      <c r="C3535" s="263"/>
      <c r="D3535" s="262"/>
    </row>
    <row r="3536" ht="15.75" customHeight="1">
      <c r="A3536" s="262"/>
      <c r="B3536" s="262"/>
      <c r="C3536" s="263"/>
      <c r="D3536" s="262"/>
    </row>
    <row r="3537" ht="15.75" customHeight="1">
      <c r="A3537" s="262"/>
      <c r="B3537" s="262"/>
      <c r="C3537" s="263"/>
      <c r="D3537" s="262"/>
    </row>
    <row r="3538" ht="15.75" customHeight="1">
      <c r="A3538" s="262"/>
      <c r="B3538" s="262"/>
      <c r="C3538" s="263"/>
      <c r="D3538" s="262"/>
    </row>
    <row r="3539" ht="15.75" customHeight="1">
      <c r="A3539" s="262"/>
      <c r="B3539" s="262"/>
      <c r="C3539" s="263"/>
      <c r="D3539" s="262"/>
    </row>
    <row r="3540" ht="15.75" customHeight="1">
      <c r="A3540" s="262"/>
      <c r="B3540" s="262"/>
      <c r="C3540" s="263"/>
      <c r="D3540" s="262"/>
    </row>
    <row r="3541" ht="15.75" customHeight="1">
      <c r="A3541" s="262"/>
      <c r="B3541" s="262"/>
      <c r="C3541" s="263"/>
      <c r="D3541" s="262"/>
    </row>
    <row r="3542" ht="15.75" customHeight="1">
      <c r="A3542" s="262"/>
      <c r="B3542" s="262"/>
      <c r="C3542" s="263"/>
      <c r="D3542" s="262"/>
    </row>
    <row r="3543" ht="15.75" customHeight="1">
      <c r="A3543" s="262"/>
      <c r="B3543" s="262"/>
      <c r="C3543" s="263"/>
      <c r="D3543" s="262"/>
    </row>
    <row r="3544" ht="15.75" customHeight="1">
      <c r="A3544" s="262"/>
      <c r="B3544" s="262"/>
      <c r="C3544" s="263"/>
      <c r="D3544" s="262"/>
    </row>
    <row r="3545" ht="15.75" customHeight="1">
      <c r="A3545" s="262"/>
      <c r="B3545" s="262"/>
      <c r="C3545" s="263"/>
      <c r="D3545" s="262"/>
    </row>
    <row r="3546" ht="15.75" customHeight="1">
      <c r="A3546" s="262"/>
      <c r="B3546" s="262"/>
      <c r="C3546" s="263"/>
      <c r="D3546" s="262"/>
    </row>
    <row r="3547" ht="15.75" customHeight="1">
      <c r="A3547" s="262"/>
      <c r="B3547" s="262"/>
      <c r="C3547" s="263"/>
      <c r="D3547" s="262"/>
    </row>
    <row r="3548" ht="15.75" customHeight="1">
      <c r="A3548" s="262"/>
      <c r="B3548" s="262"/>
      <c r="C3548" s="263"/>
      <c r="D3548" s="262"/>
    </row>
    <row r="3549" ht="15.75" customHeight="1">
      <c r="A3549" s="262"/>
      <c r="B3549" s="262"/>
      <c r="C3549" s="263"/>
      <c r="D3549" s="262"/>
    </row>
    <row r="3550" ht="15.75" customHeight="1">
      <c r="A3550" s="262"/>
      <c r="B3550" s="262"/>
      <c r="C3550" s="263"/>
      <c r="D3550" s="262"/>
    </row>
    <row r="3551" ht="15.75" customHeight="1">
      <c r="A3551" s="262"/>
      <c r="B3551" s="262"/>
      <c r="C3551" s="263"/>
      <c r="D3551" s="262"/>
    </row>
    <row r="3552" ht="15.75" customHeight="1">
      <c r="A3552" s="262"/>
      <c r="B3552" s="262"/>
      <c r="C3552" s="263"/>
      <c r="D3552" s="262"/>
    </row>
    <row r="3553" ht="15.75" customHeight="1">
      <c r="A3553" s="262"/>
      <c r="B3553" s="262"/>
      <c r="C3553" s="263"/>
      <c r="D3553" s="262"/>
    </row>
    <row r="3554" ht="15.75" customHeight="1">
      <c r="A3554" s="262"/>
      <c r="B3554" s="262"/>
      <c r="C3554" s="263"/>
      <c r="D3554" s="262"/>
    </row>
    <row r="3555" ht="15.75" customHeight="1">
      <c r="A3555" s="262"/>
      <c r="B3555" s="262"/>
      <c r="C3555" s="263"/>
      <c r="D3555" s="262"/>
    </row>
    <row r="3556" ht="15.75" customHeight="1">
      <c r="A3556" s="262"/>
      <c r="B3556" s="262"/>
      <c r="C3556" s="263"/>
      <c r="D3556" s="262"/>
    </row>
    <row r="3557" ht="15.75" customHeight="1">
      <c r="A3557" s="262"/>
      <c r="B3557" s="262"/>
      <c r="C3557" s="263"/>
      <c r="D3557" s="262"/>
    </row>
    <row r="3558" ht="15.75" customHeight="1">
      <c r="A3558" s="262"/>
      <c r="B3558" s="262"/>
      <c r="C3558" s="263"/>
      <c r="D3558" s="262"/>
    </row>
    <row r="3559" ht="15.75" customHeight="1">
      <c r="A3559" s="262"/>
      <c r="B3559" s="262"/>
      <c r="C3559" s="263"/>
      <c r="D3559" s="262"/>
    </row>
    <row r="3560" ht="15.75" customHeight="1">
      <c r="A3560" s="262"/>
      <c r="B3560" s="262"/>
      <c r="C3560" s="263"/>
      <c r="D3560" s="262"/>
    </row>
    <row r="3561" ht="15.75" customHeight="1">
      <c r="A3561" s="262"/>
      <c r="B3561" s="262"/>
      <c r="C3561" s="263"/>
      <c r="D3561" s="262"/>
    </row>
    <row r="3562" ht="15.75" customHeight="1">
      <c r="A3562" s="262"/>
      <c r="B3562" s="262"/>
      <c r="C3562" s="263"/>
      <c r="D3562" s="262"/>
    </row>
    <row r="3563" ht="15.75" customHeight="1">
      <c r="A3563" s="262"/>
      <c r="B3563" s="262"/>
      <c r="C3563" s="263"/>
      <c r="D3563" s="262"/>
    </row>
    <row r="3564" ht="15.75" customHeight="1">
      <c r="A3564" s="262"/>
      <c r="B3564" s="262"/>
      <c r="C3564" s="263"/>
      <c r="D3564" s="262"/>
    </row>
    <row r="3565" ht="15.75" customHeight="1">
      <c r="A3565" s="262"/>
      <c r="B3565" s="262"/>
      <c r="C3565" s="263"/>
      <c r="D3565" s="262"/>
    </row>
    <row r="3566" ht="15.75" customHeight="1">
      <c r="A3566" s="262"/>
      <c r="B3566" s="262"/>
      <c r="C3566" s="263"/>
      <c r="D3566" s="262"/>
    </row>
    <row r="3567" ht="15.75" customHeight="1">
      <c r="A3567" s="262"/>
      <c r="B3567" s="262"/>
      <c r="C3567" s="263"/>
      <c r="D3567" s="262"/>
    </row>
    <row r="3568" ht="15.75" customHeight="1">
      <c r="A3568" s="262"/>
      <c r="B3568" s="262"/>
      <c r="C3568" s="263"/>
      <c r="D3568" s="262"/>
    </row>
    <row r="3569" ht="15.75" customHeight="1">
      <c r="A3569" s="262"/>
      <c r="B3569" s="262"/>
      <c r="C3569" s="263"/>
      <c r="D3569" s="262"/>
    </row>
    <row r="3570" ht="15.75" customHeight="1">
      <c r="A3570" s="262"/>
      <c r="B3570" s="262"/>
      <c r="C3570" s="263"/>
      <c r="D3570" s="262"/>
    </row>
    <row r="3571" ht="15.75" customHeight="1">
      <c r="A3571" s="262"/>
      <c r="B3571" s="262"/>
      <c r="C3571" s="263"/>
      <c r="D3571" s="262"/>
    </row>
    <row r="3572" ht="15.75" customHeight="1">
      <c r="A3572" s="262"/>
      <c r="B3572" s="262"/>
      <c r="C3572" s="263"/>
      <c r="D3572" s="262"/>
    </row>
    <row r="3573" ht="15.75" customHeight="1">
      <c r="A3573" s="262"/>
      <c r="B3573" s="262"/>
      <c r="C3573" s="263"/>
      <c r="D3573" s="262"/>
    </row>
    <row r="3574" ht="15.75" customHeight="1">
      <c r="A3574" s="262"/>
      <c r="B3574" s="262"/>
      <c r="C3574" s="263"/>
      <c r="D3574" s="262"/>
    </row>
    <row r="3575" ht="15.75" customHeight="1">
      <c r="A3575" s="262"/>
      <c r="B3575" s="262"/>
      <c r="C3575" s="263"/>
      <c r="D3575" s="262"/>
    </row>
    <row r="3576" ht="15.75" customHeight="1">
      <c r="A3576" s="262"/>
      <c r="B3576" s="262"/>
      <c r="C3576" s="263"/>
      <c r="D3576" s="262"/>
    </row>
    <row r="3577" ht="15.75" customHeight="1">
      <c r="A3577" s="262"/>
      <c r="B3577" s="262"/>
      <c r="C3577" s="263"/>
      <c r="D3577" s="262"/>
    </row>
    <row r="3578" ht="15.75" customHeight="1">
      <c r="A3578" s="262"/>
      <c r="B3578" s="262"/>
      <c r="C3578" s="263"/>
      <c r="D3578" s="262"/>
    </row>
    <row r="3579" ht="15.75" customHeight="1">
      <c r="A3579" s="262"/>
      <c r="B3579" s="262"/>
      <c r="C3579" s="263"/>
      <c r="D3579" s="262"/>
    </row>
    <row r="3580" ht="15.75" customHeight="1">
      <c r="A3580" s="262"/>
      <c r="B3580" s="262"/>
      <c r="C3580" s="263"/>
      <c r="D3580" s="262"/>
    </row>
    <row r="3581" ht="15.75" customHeight="1">
      <c r="A3581" s="262"/>
      <c r="B3581" s="262"/>
      <c r="C3581" s="263"/>
      <c r="D3581" s="262"/>
    </row>
    <row r="3582" ht="15.75" customHeight="1">
      <c r="A3582" s="262"/>
      <c r="B3582" s="262"/>
      <c r="C3582" s="263"/>
      <c r="D3582" s="262"/>
    </row>
    <row r="3583" ht="15.75" customHeight="1">
      <c r="A3583" s="262"/>
      <c r="B3583" s="262"/>
      <c r="C3583" s="263"/>
      <c r="D3583" s="262"/>
    </row>
    <row r="3584" ht="15.75" customHeight="1">
      <c r="A3584" s="262"/>
      <c r="B3584" s="262"/>
      <c r="C3584" s="263"/>
      <c r="D3584" s="262"/>
    </row>
    <row r="3585" ht="15.75" customHeight="1">
      <c r="A3585" s="262"/>
      <c r="B3585" s="262"/>
      <c r="C3585" s="263"/>
      <c r="D3585" s="262"/>
    </row>
    <row r="3586" ht="15.75" customHeight="1">
      <c r="A3586" s="262"/>
      <c r="B3586" s="262"/>
      <c r="C3586" s="263"/>
      <c r="D3586" s="262"/>
    </row>
    <row r="3587" ht="15.75" customHeight="1">
      <c r="A3587" s="262"/>
      <c r="B3587" s="262"/>
      <c r="C3587" s="263"/>
      <c r="D3587" s="262"/>
    </row>
    <row r="3588" ht="15.75" customHeight="1">
      <c r="A3588" s="262"/>
      <c r="B3588" s="262"/>
      <c r="C3588" s="263"/>
      <c r="D3588" s="262"/>
    </row>
    <row r="3589" ht="15.75" customHeight="1">
      <c r="A3589" s="262"/>
      <c r="B3589" s="262"/>
      <c r="C3589" s="263"/>
      <c r="D3589" s="262"/>
    </row>
    <row r="3590" ht="15.75" customHeight="1">
      <c r="A3590" s="262"/>
      <c r="B3590" s="262"/>
      <c r="C3590" s="263"/>
      <c r="D3590" s="262"/>
    </row>
    <row r="3591" ht="15.75" customHeight="1">
      <c r="A3591" s="262"/>
      <c r="B3591" s="262"/>
      <c r="C3591" s="263"/>
      <c r="D3591" s="262"/>
    </row>
    <row r="3592" ht="15.75" customHeight="1">
      <c r="A3592" s="262"/>
      <c r="B3592" s="262"/>
      <c r="C3592" s="263"/>
      <c r="D3592" s="262"/>
    </row>
    <row r="3593" ht="15.75" customHeight="1">
      <c r="A3593" s="262"/>
      <c r="B3593" s="262"/>
      <c r="C3593" s="263"/>
      <c r="D3593" s="262"/>
    </row>
    <row r="3594" ht="15.75" customHeight="1">
      <c r="A3594" s="262"/>
      <c r="B3594" s="262"/>
      <c r="C3594" s="263"/>
      <c r="D3594" s="262"/>
    </row>
    <row r="3595" ht="15.75" customHeight="1">
      <c r="A3595" s="262"/>
      <c r="B3595" s="262"/>
      <c r="C3595" s="263"/>
      <c r="D3595" s="262"/>
    </row>
    <row r="3596" ht="15.75" customHeight="1">
      <c r="A3596" s="262"/>
      <c r="B3596" s="262"/>
      <c r="C3596" s="263"/>
      <c r="D3596" s="262"/>
    </row>
    <row r="3597" ht="15.75" customHeight="1">
      <c r="A3597" s="262"/>
      <c r="B3597" s="262"/>
      <c r="C3597" s="263"/>
      <c r="D3597" s="262"/>
    </row>
    <row r="3598" ht="15.75" customHeight="1">
      <c r="A3598" s="262"/>
      <c r="B3598" s="262"/>
      <c r="C3598" s="263"/>
      <c r="D3598" s="262"/>
    </row>
    <row r="3599" ht="15.75" customHeight="1">
      <c r="A3599" s="262"/>
      <c r="B3599" s="262"/>
      <c r="C3599" s="263"/>
      <c r="D3599" s="262"/>
    </row>
    <row r="3600" ht="15.75" customHeight="1">
      <c r="A3600" s="262"/>
      <c r="B3600" s="262"/>
      <c r="C3600" s="263"/>
      <c r="D3600" s="262"/>
    </row>
    <row r="3601" ht="15.75" customHeight="1">
      <c r="A3601" s="262"/>
      <c r="B3601" s="262"/>
      <c r="C3601" s="263"/>
      <c r="D3601" s="262"/>
    </row>
    <row r="3602" ht="15.75" customHeight="1">
      <c r="A3602" s="262"/>
      <c r="B3602" s="262"/>
      <c r="C3602" s="263"/>
      <c r="D3602" s="262"/>
    </row>
    <row r="3603" ht="15.75" customHeight="1">
      <c r="A3603" s="262"/>
      <c r="B3603" s="262"/>
      <c r="C3603" s="263"/>
      <c r="D3603" s="262"/>
    </row>
    <row r="3604" ht="15.75" customHeight="1">
      <c r="A3604" s="262"/>
      <c r="B3604" s="262"/>
      <c r="C3604" s="263"/>
      <c r="D3604" s="262"/>
    </row>
    <row r="3605" ht="15.75" customHeight="1">
      <c r="A3605" s="262"/>
      <c r="B3605" s="262"/>
      <c r="C3605" s="263"/>
      <c r="D3605" s="262"/>
    </row>
    <row r="3606" ht="15.75" customHeight="1">
      <c r="A3606" s="262"/>
      <c r="B3606" s="262"/>
      <c r="C3606" s="263"/>
      <c r="D3606" s="262"/>
    </row>
    <row r="3607" ht="15.75" customHeight="1">
      <c r="A3607" s="262"/>
      <c r="B3607" s="262"/>
      <c r="C3607" s="263"/>
      <c r="D3607" s="262"/>
    </row>
    <row r="3608" ht="15.75" customHeight="1">
      <c r="A3608" s="262"/>
      <c r="B3608" s="262"/>
      <c r="C3608" s="263"/>
      <c r="D3608" s="262"/>
    </row>
    <row r="3609" ht="15.75" customHeight="1">
      <c r="A3609" s="262"/>
      <c r="B3609" s="262"/>
      <c r="C3609" s="263"/>
      <c r="D3609" s="262"/>
    </row>
    <row r="3610" ht="15.75" customHeight="1">
      <c r="A3610" s="262"/>
      <c r="B3610" s="262"/>
      <c r="C3610" s="263"/>
      <c r="D3610" s="262"/>
    </row>
    <row r="3611" ht="15.75" customHeight="1">
      <c r="A3611" s="262"/>
      <c r="B3611" s="262"/>
      <c r="C3611" s="263"/>
      <c r="D3611" s="262"/>
    </row>
    <row r="3612" ht="15.75" customHeight="1">
      <c r="A3612" s="262"/>
      <c r="B3612" s="262"/>
      <c r="C3612" s="263"/>
      <c r="D3612" s="262"/>
    </row>
    <row r="3613" ht="15.75" customHeight="1">
      <c r="A3613" s="262"/>
      <c r="B3613" s="262"/>
      <c r="C3613" s="263"/>
      <c r="D3613" s="262"/>
    </row>
    <row r="3614" ht="15.75" customHeight="1">
      <c r="A3614" s="262"/>
      <c r="B3614" s="262"/>
      <c r="C3614" s="263"/>
      <c r="D3614" s="262"/>
    </row>
    <row r="3615" ht="15.75" customHeight="1">
      <c r="A3615" s="262"/>
      <c r="B3615" s="262"/>
      <c r="C3615" s="263"/>
      <c r="D3615" s="262"/>
    </row>
    <row r="3616" ht="15.75" customHeight="1">
      <c r="A3616" s="262"/>
      <c r="B3616" s="262"/>
      <c r="C3616" s="263"/>
      <c r="D3616" s="262"/>
    </row>
    <row r="3617" ht="15.75" customHeight="1">
      <c r="A3617" s="262"/>
      <c r="B3617" s="262"/>
      <c r="C3617" s="263"/>
      <c r="D3617" s="262"/>
    </row>
    <row r="3618" ht="15.75" customHeight="1">
      <c r="A3618" s="262"/>
      <c r="B3618" s="262"/>
      <c r="C3618" s="263"/>
      <c r="D3618" s="262"/>
    </row>
    <row r="3619" ht="15.75" customHeight="1">
      <c r="A3619" s="262"/>
      <c r="B3619" s="262"/>
      <c r="C3619" s="263"/>
      <c r="D3619" s="262"/>
    </row>
    <row r="3620" ht="15.75" customHeight="1">
      <c r="A3620" s="262"/>
      <c r="B3620" s="262"/>
      <c r="C3620" s="263"/>
      <c r="D3620" s="262"/>
    </row>
    <row r="3621" ht="15.75" customHeight="1">
      <c r="A3621" s="262"/>
      <c r="B3621" s="262"/>
      <c r="C3621" s="263"/>
      <c r="D3621" s="262"/>
    </row>
    <row r="3622" ht="15.75" customHeight="1">
      <c r="A3622" s="262"/>
      <c r="B3622" s="262"/>
      <c r="C3622" s="263"/>
      <c r="D3622" s="262"/>
    </row>
    <row r="3623" ht="15.75" customHeight="1">
      <c r="A3623" s="262"/>
      <c r="B3623" s="262"/>
      <c r="C3623" s="263"/>
      <c r="D3623" s="262"/>
    </row>
    <row r="3624" ht="15.75" customHeight="1">
      <c r="A3624" s="262"/>
      <c r="B3624" s="262"/>
      <c r="C3624" s="263"/>
      <c r="D3624" s="262"/>
    </row>
    <row r="3625" ht="15.75" customHeight="1">
      <c r="A3625" s="262"/>
      <c r="B3625" s="262"/>
      <c r="C3625" s="263"/>
      <c r="D3625" s="262"/>
    </row>
    <row r="3626" ht="15.75" customHeight="1">
      <c r="A3626" s="262"/>
      <c r="B3626" s="262"/>
      <c r="C3626" s="263"/>
      <c r="D3626" s="262"/>
    </row>
    <row r="3627" ht="15.75" customHeight="1">
      <c r="A3627" s="262"/>
      <c r="B3627" s="262"/>
      <c r="C3627" s="263"/>
      <c r="D3627" s="262"/>
    </row>
    <row r="3628" ht="15.75" customHeight="1">
      <c r="A3628" s="262"/>
      <c r="B3628" s="262"/>
      <c r="C3628" s="263"/>
      <c r="D3628" s="262"/>
    </row>
    <row r="3629" ht="15.75" customHeight="1">
      <c r="A3629" s="262"/>
      <c r="B3629" s="262"/>
      <c r="C3629" s="263"/>
      <c r="D3629" s="262"/>
    </row>
    <row r="3630" ht="15.75" customHeight="1">
      <c r="A3630" s="262"/>
      <c r="B3630" s="262"/>
      <c r="C3630" s="263"/>
      <c r="D3630" s="262"/>
    </row>
    <row r="3631" ht="15.75" customHeight="1">
      <c r="A3631" s="262"/>
      <c r="B3631" s="262"/>
      <c r="C3631" s="263"/>
      <c r="D3631" s="262"/>
    </row>
    <row r="3632" ht="15.75" customHeight="1">
      <c r="A3632" s="262"/>
      <c r="B3632" s="262"/>
      <c r="C3632" s="263"/>
      <c r="D3632" s="262"/>
    </row>
    <row r="3633" ht="15.75" customHeight="1">
      <c r="A3633" s="262"/>
      <c r="B3633" s="262"/>
      <c r="C3633" s="263"/>
      <c r="D3633" s="262"/>
    </row>
    <row r="3634" ht="15.75" customHeight="1">
      <c r="A3634" s="262"/>
      <c r="B3634" s="262"/>
      <c r="C3634" s="263"/>
      <c r="D3634" s="262"/>
    </row>
    <row r="3635" ht="15.75" customHeight="1">
      <c r="A3635" s="262"/>
      <c r="B3635" s="262"/>
      <c r="C3635" s="263"/>
      <c r="D3635" s="262"/>
    </row>
    <row r="3636" ht="15.75" customHeight="1">
      <c r="A3636" s="262"/>
      <c r="B3636" s="262"/>
      <c r="C3636" s="263"/>
      <c r="D3636" s="262"/>
    </row>
    <row r="3637" ht="15.75" customHeight="1">
      <c r="A3637" s="262"/>
      <c r="B3637" s="262"/>
      <c r="C3637" s="263"/>
      <c r="D3637" s="262"/>
    </row>
    <row r="3638" ht="15.75" customHeight="1">
      <c r="A3638" s="262"/>
      <c r="B3638" s="262"/>
      <c r="C3638" s="263"/>
      <c r="D3638" s="262"/>
    </row>
    <row r="3639" ht="15.75" customHeight="1">
      <c r="A3639" s="262"/>
      <c r="B3639" s="262"/>
      <c r="C3639" s="263"/>
      <c r="D3639" s="262"/>
    </row>
    <row r="3640" ht="15.75" customHeight="1">
      <c r="A3640" s="262"/>
      <c r="B3640" s="262"/>
      <c r="C3640" s="263"/>
      <c r="D3640" s="262"/>
    </row>
    <row r="3641" ht="15.75" customHeight="1">
      <c r="A3641" s="262"/>
      <c r="B3641" s="262"/>
      <c r="C3641" s="263"/>
      <c r="D3641" s="262"/>
    </row>
    <row r="3642" ht="15.75" customHeight="1">
      <c r="A3642" s="262"/>
      <c r="B3642" s="262"/>
      <c r="C3642" s="263"/>
      <c r="D3642" s="262"/>
    </row>
    <row r="3643" ht="15.75" customHeight="1">
      <c r="A3643" s="262"/>
      <c r="B3643" s="262"/>
      <c r="C3643" s="263"/>
      <c r="D3643" s="262"/>
    </row>
    <row r="3644" ht="15.75" customHeight="1">
      <c r="A3644" s="262"/>
      <c r="B3644" s="262"/>
      <c r="C3644" s="263"/>
      <c r="D3644" s="262"/>
    </row>
    <row r="3645" ht="15.75" customHeight="1">
      <c r="A3645" s="262"/>
      <c r="B3645" s="262"/>
      <c r="C3645" s="263"/>
      <c r="D3645" s="262"/>
    </row>
    <row r="3646" ht="15.75" customHeight="1">
      <c r="A3646" s="262"/>
      <c r="B3646" s="262"/>
      <c r="C3646" s="263"/>
      <c r="D3646" s="262"/>
    </row>
    <row r="3647" ht="15.75" customHeight="1">
      <c r="A3647" s="262"/>
      <c r="B3647" s="262"/>
      <c r="C3647" s="263"/>
      <c r="D3647" s="262"/>
    </row>
    <row r="3648" ht="15.75" customHeight="1">
      <c r="A3648" s="262"/>
      <c r="B3648" s="262"/>
      <c r="C3648" s="263"/>
      <c r="D3648" s="262"/>
    </row>
    <row r="3649" ht="15.75" customHeight="1">
      <c r="A3649" s="262"/>
      <c r="B3649" s="262"/>
      <c r="C3649" s="263"/>
      <c r="D3649" s="262"/>
    </row>
    <row r="3650" ht="15.75" customHeight="1">
      <c r="A3650" s="262"/>
      <c r="B3650" s="262"/>
      <c r="C3650" s="263"/>
      <c r="D3650" s="262"/>
    </row>
    <row r="3651" ht="15.75" customHeight="1">
      <c r="A3651" s="262"/>
      <c r="B3651" s="262"/>
      <c r="C3651" s="263"/>
      <c r="D3651" s="262"/>
    </row>
    <row r="3652" ht="15.75" customHeight="1">
      <c r="A3652" s="262"/>
      <c r="B3652" s="262"/>
      <c r="C3652" s="263"/>
      <c r="D3652" s="262"/>
    </row>
    <row r="3653" ht="15.75" customHeight="1">
      <c r="A3653" s="262"/>
      <c r="B3653" s="262"/>
      <c r="C3653" s="263"/>
      <c r="D3653" s="262"/>
    </row>
    <row r="3654" ht="15.75" customHeight="1">
      <c r="A3654" s="262"/>
      <c r="B3654" s="262"/>
      <c r="C3654" s="263"/>
      <c r="D3654" s="262"/>
    </row>
    <row r="3655" ht="15.75" customHeight="1">
      <c r="A3655" s="262"/>
      <c r="B3655" s="262"/>
      <c r="C3655" s="263"/>
      <c r="D3655" s="262"/>
    </row>
    <row r="3656" ht="15.75" customHeight="1">
      <c r="A3656" s="262"/>
      <c r="B3656" s="262"/>
      <c r="C3656" s="263"/>
      <c r="D3656" s="262"/>
    </row>
    <row r="3657" ht="15.75" customHeight="1">
      <c r="A3657" s="262"/>
      <c r="B3657" s="262"/>
      <c r="C3657" s="263"/>
      <c r="D3657" s="262"/>
    </row>
    <row r="3658" ht="15.75" customHeight="1">
      <c r="A3658" s="262"/>
      <c r="B3658" s="262"/>
      <c r="C3658" s="263"/>
      <c r="D3658" s="262"/>
    </row>
    <row r="3659" ht="15.75" customHeight="1">
      <c r="A3659" s="262"/>
      <c r="B3659" s="262"/>
      <c r="C3659" s="263"/>
      <c r="D3659" s="262"/>
    </row>
    <row r="3660" ht="15.75" customHeight="1">
      <c r="A3660" s="262"/>
      <c r="B3660" s="262"/>
      <c r="C3660" s="263"/>
      <c r="D3660" s="262"/>
    </row>
    <row r="3661" ht="15.75" customHeight="1">
      <c r="A3661" s="262"/>
      <c r="B3661" s="262"/>
      <c r="C3661" s="263"/>
      <c r="D3661" s="262"/>
    </row>
    <row r="3662" ht="15.75" customHeight="1">
      <c r="A3662" s="262"/>
      <c r="B3662" s="262"/>
      <c r="C3662" s="263"/>
      <c r="D3662" s="262"/>
    </row>
    <row r="3663" ht="15.75" customHeight="1">
      <c r="A3663" s="262"/>
      <c r="B3663" s="262"/>
      <c r="C3663" s="263"/>
      <c r="D3663" s="262"/>
    </row>
    <row r="3664" ht="15.75" customHeight="1">
      <c r="A3664" s="262"/>
      <c r="B3664" s="262"/>
      <c r="C3664" s="263"/>
      <c r="D3664" s="262"/>
    </row>
    <row r="3665" ht="15.75" customHeight="1">
      <c r="A3665" s="262"/>
      <c r="B3665" s="262"/>
      <c r="C3665" s="263"/>
      <c r="D3665" s="262"/>
    </row>
    <row r="3666" ht="15.75" customHeight="1">
      <c r="A3666" s="262"/>
      <c r="B3666" s="262"/>
      <c r="C3666" s="263"/>
      <c r="D3666" s="262"/>
    </row>
    <row r="3667" ht="15.75" customHeight="1">
      <c r="A3667" s="262"/>
      <c r="B3667" s="262"/>
      <c r="C3667" s="263"/>
      <c r="D3667" s="262"/>
    </row>
    <row r="3668" ht="15.75" customHeight="1">
      <c r="A3668" s="262"/>
      <c r="B3668" s="262"/>
      <c r="C3668" s="263"/>
      <c r="D3668" s="262"/>
    </row>
    <row r="3669" ht="15.75" customHeight="1">
      <c r="A3669" s="262"/>
      <c r="B3669" s="262"/>
      <c r="C3669" s="263"/>
      <c r="D3669" s="262"/>
    </row>
    <row r="3670" ht="15.75" customHeight="1">
      <c r="A3670" s="262"/>
      <c r="B3670" s="262"/>
      <c r="C3670" s="263"/>
      <c r="D3670" s="262"/>
    </row>
    <row r="3671" ht="15.75" customHeight="1">
      <c r="A3671" s="262"/>
      <c r="B3671" s="262"/>
      <c r="C3671" s="263"/>
      <c r="D3671" s="262"/>
    </row>
    <row r="3672" ht="15.75" customHeight="1">
      <c r="A3672" s="262"/>
      <c r="B3672" s="262"/>
      <c r="C3672" s="263"/>
      <c r="D3672" s="262"/>
    </row>
    <row r="3673" ht="15.75" customHeight="1">
      <c r="A3673" s="262"/>
      <c r="B3673" s="262"/>
      <c r="C3673" s="263"/>
      <c r="D3673" s="262"/>
    </row>
    <row r="3674" ht="15.75" customHeight="1">
      <c r="A3674" s="262"/>
      <c r="B3674" s="262"/>
      <c r="C3674" s="263"/>
      <c r="D3674" s="262"/>
    </row>
    <row r="3675" ht="15.75" customHeight="1">
      <c r="A3675" s="262"/>
      <c r="B3675" s="262"/>
      <c r="C3675" s="263"/>
      <c r="D3675" s="262"/>
    </row>
    <row r="3676" ht="15.75" customHeight="1">
      <c r="A3676" s="262"/>
      <c r="B3676" s="262"/>
      <c r="C3676" s="263"/>
      <c r="D3676" s="262"/>
    </row>
    <row r="3677" ht="15.75" customHeight="1">
      <c r="A3677" s="262"/>
      <c r="B3677" s="262"/>
      <c r="C3677" s="263"/>
      <c r="D3677" s="262"/>
    </row>
    <row r="3678" ht="15.75" customHeight="1">
      <c r="A3678" s="262"/>
      <c r="B3678" s="262"/>
      <c r="C3678" s="263"/>
      <c r="D3678" s="262"/>
    </row>
    <row r="3679" ht="15.75" customHeight="1">
      <c r="A3679" s="262"/>
      <c r="B3679" s="262"/>
      <c r="C3679" s="263"/>
      <c r="D3679" s="262"/>
    </row>
    <row r="3680" ht="15.75" customHeight="1">
      <c r="A3680" s="262"/>
      <c r="B3680" s="262"/>
      <c r="C3680" s="263"/>
      <c r="D3680" s="262"/>
    </row>
    <row r="3681" ht="15.75" customHeight="1">
      <c r="A3681" s="262"/>
      <c r="B3681" s="262"/>
      <c r="C3681" s="263"/>
      <c r="D3681" s="262"/>
    </row>
    <row r="3682" ht="15.75" customHeight="1">
      <c r="A3682" s="262"/>
      <c r="B3682" s="262"/>
      <c r="C3682" s="263"/>
      <c r="D3682" s="262"/>
    </row>
    <row r="3683" ht="15.75" customHeight="1">
      <c r="A3683" s="262"/>
      <c r="B3683" s="262"/>
      <c r="C3683" s="263"/>
      <c r="D3683" s="262"/>
    </row>
    <row r="3684" ht="15.75" customHeight="1">
      <c r="A3684" s="262"/>
      <c r="B3684" s="262"/>
      <c r="C3684" s="263"/>
      <c r="D3684" s="262"/>
    </row>
    <row r="3685" ht="15.75" customHeight="1">
      <c r="A3685" s="262"/>
      <c r="B3685" s="262"/>
      <c r="C3685" s="263"/>
      <c r="D3685" s="262"/>
    </row>
    <row r="3686" ht="15.75" customHeight="1">
      <c r="A3686" s="262"/>
      <c r="B3686" s="262"/>
      <c r="C3686" s="263"/>
      <c r="D3686" s="262"/>
    </row>
    <row r="3687" ht="15.75" customHeight="1">
      <c r="A3687" s="262"/>
      <c r="B3687" s="262"/>
      <c r="C3687" s="263"/>
      <c r="D3687" s="262"/>
    </row>
    <row r="3688" ht="15.75" customHeight="1">
      <c r="A3688" s="262"/>
      <c r="B3688" s="262"/>
      <c r="C3688" s="263"/>
      <c r="D3688" s="262"/>
    </row>
    <row r="3689" ht="15.75" customHeight="1">
      <c r="A3689" s="262"/>
      <c r="B3689" s="262"/>
      <c r="C3689" s="263"/>
      <c r="D3689" s="262"/>
    </row>
    <row r="3690" ht="15.75" customHeight="1">
      <c r="A3690" s="262"/>
      <c r="B3690" s="262"/>
      <c r="C3690" s="263"/>
      <c r="D3690" s="262"/>
    </row>
    <row r="3691" ht="15.75" customHeight="1">
      <c r="A3691" s="262"/>
      <c r="B3691" s="262"/>
      <c r="C3691" s="263"/>
      <c r="D3691" s="262"/>
    </row>
    <row r="3692" ht="15.75" customHeight="1">
      <c r="A3692" s="262"/>
      <c r="B3692" s="262"/>
      <c r="C3692" s="263"/>
      <c r="D3692" s="262"/>
    </row>
    <row r="3693" ht="15.75" customHeight="1">
      <c r="A3693" s="262"/>
      <c r="B3693" s="262"/>
      <c r="C3693" s="263"/>
      <c r="D3693" s="262"/>
    </row>
    <row r="3694" ht="15.75" customHeight="1">
      <c r="A3694" s="262"/>
      <c r="B3694" s="262"/>
      <c r="C3694" s="263"/>
      <c r="D3694" s="262"/>
    </row>
    <row r="3695" ht="15.75" customHeight="1">
      <c r="A3695" s="262"/>
      <c r="B3695" s="262"/>
      <c r="C3695" s="263"/>
      <c r="D3695" s="262"/>
    </row>
    <row r="3696" ht="15.75" customHeight="1">
      <c r="A3696" s="262"/>
      <c r="B3696" s="262"/>
      <c r="C3696" s="263"/>
      <c r="D3696" s="262"/>
    </row>
    <row r="3697" ht="15.75" customHeight="1">
      <c r="A3697" s="262"/>
      <c r="B3697" s="262"/>
      <c r="C3697" s="263"/>
      <c r="D3697" s="262"/>
    </row>
    <row r="3698" ht="15.75" customHeight="1">
      <c r="A3698" s="262"/>
      <c r="B3698" s="262"/>
      <c r="C3698" s="263"/>
      <c r="D3698" s="262"/>
    </row>
    <row r="3699" ht="15.75" customHeight="1">
      <c r="A3699" s="262"/>
      <c r="B3699" s="262"/>
      <c r="C3699" s="263"/>
      <c r="D3699" s="262"/>
    </row>
    <row r="3700" ht="15.75" customHeight="1">
      <c r="A3700" s="262"/>
      <c r="B3700" s="262"/>
      <c r="C3700" s="263"/>
      <c r="D3700" s="262"/>
    </row>
    <row r="3701" ht="15.75" customHeight="1">
      <c r="A3701" s="262"/>
      <c r="B3701" s="262"/>
      <c r="C3701" s="263"/>
      <c r="D3701" s="262"/>
    </row>
    <row r="3702" ht="15.75" customHeight="1">
      <c r="A3702" s="262"/>
      <c r="B3702" s="262"/>
      <c r="C3702" s="263"/>
      <c r="D3702" s="262"/>
    </row>
    <row r="3703" ht="15.75" customHeight="1">
      <c r="A3703" s="262"/>
      <c r="B3703" s="262"/>
      <c r="C3703" s="263"/>
      <c r="D3703" s="262"/>
    </row>
    <row r="3704" ht="15.75" customHeight="1">
      <c r="A3704" s="262"/>
      <c r="B3704" s="262"/>
      <c r="C3704" s="263"/>
      <c r="D3704" s="262"/>
    </row>
    <row r="3705" ht="15.75" customHeight="1">
      <c r="A3705" s="262"/>
      <c r="B3705" s="262"/>
      <c r="C3705" s="263"/>
      <c r="D3705" s="262"/>
    </row>
    <row r="3706" ht="15.75" customHeight="1">
      <c r="A3706" s="262"/>
      <c r="B3706" s="262"/>
      <c r="C3706" s="263"/>
      <c r="D3706" s="262"/>
    </row>
    <row r="3707" ht="15.75" customHeight="1">
      <c r="A3707" s="262"/>
      <c r="B3707" s="262"/>
      <c r="C3707" s="263"/>
      <c r="D3707" s="262"/>
    </row>
    <row r="3708" ht="15.75" customHeight="1">
      <c r="A3708" s="262"/>
      <c r="B3708" s="262"/>
      <c r="C3708" s="263"/>
      <c r="D3708" s="262"/>
    </row>
    <row r="3709" ht="15.75" customHeight="1">
      <c r="A3709" s="262"/>
      <c r="B3709" s="262"/>
      <c r="C3709" s="263"/>
      <c r="D3709" s="262"/>
    </row>
    <row r="3710" ht="15.75" customHeight="1">
      <c r="A3710" s="262"/>
      <c r="B3710" s="262"/>
      <c r="C3710" s="263"/>
      <c r="D3710" s="262"/>
    </row>
    <row r="3711" ht="15.75" customHeight="1">
      <c r="A3711" s="262"/>
      <c r="B3711" s="262"/>
      <c r="C3711" s="263"/>
      <c r="D3711" s="262"/>
    </row>
    <row r="3712" ht="15.75" customHeight="1">
      <c r="A3712" s="262"/>
      <c r="B3712" s="262"/>
      <c r="C3712" s="263"/>
      <c r="D3712" s="262"/>
    </row>
    <row r="3713" ht="15.75" customHeight="1">
      <c r="A3713" s="262"/>
      <c r="B3713" s="262"/>
      <c r="C3713" s="263"/>
      <c r="D3713" s="262"/>
    </row>
    <row r="3714" ht="15.75" customHeight="1">
      <c r="A3714" s="262"/>
      <c r="B3714" s="262"/>
      <c r="C3714" s="263"/>
      <c r="D3714" s="262"/>
    </row>
    <row r="3715" ht="15.75" customHeight="1">
      <c r="A3715" s="262"/>
      <c r="B3715" s="262"/>
      <c r="C3715" s="263"/>
      <c r="D3715" s="262"/>
    </row>
    <row r="3716" ht="15.75" customHeight="1">
      <c r="A3716" s="262"/>
      <c r="B3716" s="262"/>
      <c r="C3716" s="263"/>
      <c r="D3716" s="262"/>
    </row>
    <row r="3717" ht="15.75" customHeight="1">
      <c r="A3717" s="262"/>
      <c r="B3717" s="262"/>
      <c r="C3717" s="263"/>
      <c r="D3717" s="262"/>
    </row>
    <row r="3718" ht="15.75" customHeight="1">
      <c r="A3718" s="262"/>
      <c r="B3718" s="262"/>
      <c r="C3718" s="263"/>
      <c r="D3718" s="262"/>
    </row>
    <row r="3719" ht="15.75" customHeight="1">
      <c r="A3719" s="262"/>
      <c r="B3719" s="262"/>
      <c r="C3719" s="263"/>
      <c r="D3719" s="262"/>
    </row>
    <row r="3720" ht="15.75" customHeight="1">
      <c r="A3720" s="262"/>
      <c r="B3720" s="262"/>
      <c r="C3720" s="263"/>
      <c r="D3720" s="262"/>
    </row>
    <row r="3721" ht="15.75" customHeight="1">
      <c r="A3721" s="262"/>
      <c r="B3721" s="262"/>
      <c r="C3721" s="263"/>
      <c r="D3721" s="262"/>
    </row>
    <row r="3722" ht="15.75" customHeight="1">
      <c r="A3722" s="262"/>
      <c r="B3722" s="262"/>
      <c r="C3722" s="263"/>
      <c r="D3722" s="262"/>
    </row>
    <row r="3723" ht="15.75" customHeight="1">
      <c r="A3723" s="262"/>
      <c r="B3723" s="262"/>
      <c r="C3723" s="263"/>
      <c r="D3723" s="262"/>
    </row>
    <row r="3724" ht="15.75" customHeight="1">
      <c r="A3724" s="262"/>
      <c r="B3724" s="262"/>
      <c r="C3724" s="263"/>
      <c r="D3724" s="262"/>
    </row>
    <row r="3725" ht="15.75" customHeight="1">
      <c r="A3725" s="262"/>
      <c r="B3725" s="262"/>
      <c r="C3725" s="263"/>
      <c r="D3725" s="262"/>
    </row>
    <row r="3726" ht="15.75" customHeight="1">
      <c r="A3726" s="262"/>
      <c r="B3726" s="262"/>
      <c r="C3726" s="263"/>
      <c r="D3726" s="262"/>
    </row>
    <row r="3727" ht="15.75" customHeight="1">
      <c r="A3727" s="262"/>
      <c r="B3727" s="262"/>
      <c r="C3727" s="263"/>
      <c r="D3727" s="262"/>
    </row>
    <row r="3728" ht="15.75" customHeight="1">
      <c r="A3728" s="262"/>
      <c r="B3728" s="262"/>
      <c r="C3728" s="263"/>
      <c r="D3728" s="262"/>
    </row>
    <row r="3729" ht="15.75" customHeight="1">
      <c r="A3729" s="262"/>
      <c r="B3729" s="262"/>
      <c r="C3729" s="263"/>
      <c r="D3729" s="262"/>
    </row>
    <row r="3730" ht="15.75" customHeight="1">
      <c r="A3730" s="262"/>
      <c r="B3730" s="262"/>
      <c r="C3730" s="263"/>
      <c r="D3730" s="262"/>
    </row>
    <row r="3731" ht="15.75" customHeight="1">
      <c r="A3731" s="262"/>
      <c r="B3731" s="262"/>
      <c r="C3731" s="263"/>
      <c r="D3731" s="262"/>
    </row>
    <row r="3732" ht="15.75" customHeight="1">
      <c r="A3732" s="262"/>
      <c r="B3732" s="262"/>
      <c r="C3732" s="263"/>
      <c r="D3732" s="262"/>
    </row>
    <row r="3733" ht="15.75" customHeight="1">
      <c r="A3733" s="262"/>
      <c r="B3733" s="262"/>
      <c r="C3733" s="263"/>
      <c r="D3733" s="262"/>
    </row>
    <row r="3734" ht="15.75" customHeight="1">
      <c r="A3734" s="262"/>
      <c r="B3734" s="262"/>
      <c r="C3734" s="263"/>
      <c r="D3734" s="262"/>
    </row>
    <row r="3735" ht="15.75" customHeight="1">
      <c r="A3735" s="262"/>
      <c r="B3735" s="262"/>
      <c r="C3735" s="263"/>
      <c r="D3735" s="262"/>
    </row>
    <row r="3736" ht="15.75" customHeight="1">
      <c r="A3736" s="262"/>
      <c r="B3736" s="262"/>
      <c r="C3736" s="263"/>
      <c r="D3736" s="262"/>
    </row>
    <row r="3737" ht="15.75" customHeight="1">
      <c r="A3737" s="262"/>
      <c r="B3737" s="262"/>
      <c r="C3737" s="263"/>
      <c r="D3737" s="262"/>
    </row>
    <row r="3738" ht="15.75" customHeight="1">
      <c r="A3738" s="262"/>
      <c r="B3738" s="262"/>
      <c r="C3738" s="263"/>
      <c r="D3738" s="262"/>
    </row>
    <row r="3739" ht="15.75" customHeight="1">
      <c r="A3739" s="262"/>
      <c r="B3739" s="262"/>
      <c r="C3739" s="263"/>
      <c r="D3739" s="262"/>
    </row>
    <row r="3740" ht="15.75" customHeight="1">
      <c r="A3740" s="262"/>
      <c r="B3740" s="262"/>
      <c r="C3740" s="263"/>
      <c r="D3740" s="262"/>
    </row>
    <row r="3741" ht="15.75" customHeight="1">
      <c r="A3741" s="262"/>
      <c r="B3741" s="262"/>
      <c r="C3741" s="263"/>
      <c r="D3741" s="262"/>
    </row>
    <row r="3742" ht="15.75" customHeight="1">
      <c r="A3742" s="262"/>
      <c r="B3742" s="262"/>
      <c r="C3742" s="263"/>
      <c r="D3742" s="262"/>
    </row>
    <row r="3743" ht="15.75" customHeight="1">
      <c r="A3743" s="262"/>
      <c r="B3743" s="262"/>
      <c r="C3743" s="263"/>
      <c r="D3743" s="262"/>
    </row>
    <row r="3744" ht="15.75" customHeight="1">
      <c r="A3744" s="262"/>
      <c r="B3744" s="262"/>
      <c r="C3744" s="263"/>
      <c r="D3744" s="262"/>
    </row>
    <row r="3745" ht="15.75" customHeight="1">
      <c r="A3745" s="262"/>
      <c r="B3745" s="262"/>
      <c r="C3745" s="263"/>
      <c r="D3745" s="262"/>
    </row>
    <row r="3746" ht="15.75" customHeight="1">
      <c r="A3746" s="262"/>
      <c r="B3746" s="262"/>
      <c r="C3746" s="263"/>
      <c r="D3746" s="262"/>
    </row>
    <row r="3747" ht="15.75" customHeight="1">
      <c r="A3747" s="262"/>
      <c r="B3747" s="262"/>
      <c r="C3747" s="263"/>
      <c r="D3747" s="262"/>
    </row>
    <row r="3748" ht="15.75" customHeight="1">
      <c r="A3748" s="262"/>
      <c r="B3748" s="262"/>
      <c r="C3748" s="263"/>
      <c r="D3748" s="262"/>
    </row>
    <row r="3749" ht="15.75" customHeight="1">
      <c r="A3749" s="262"/>
      <c r="B3749" s="262"/>
      <c r="C3749" s="263"/>
      <c r="D3749" s="262"/>
    </row>
    <row r="3750" ht="15.75" customHeight="1">
      <c r="A3750" s="262"/>
      <c r="B3750" s="262"/>
      <c r="C3750" s="263"/>
      <c r="D3750" s="262"/>
    </row>
    <row r="3751" ht="15.75" customHeight="1">
      <c r="A3751" s="262"/>
      <c r="B3751" s="262"/>
      <c r="C3751" s="263"/>
      <c r="D3751" s="262"/>
    </row>
    <row r="3752" ht="15.75" customHeight="1">
      <c r="A3752" s="262"/>
      <c r="B3752" s="262"/>
      <c r="C3752" s="263"/>
      <c r="D3752" s="262"/>
    </row>
    <row r="3753" ht="15.75" customHeight="1">
      <c r="A3753" s="262"/>
      <c r="B3753" s="262"/>
      <c r="C3753" s="263"/>
      <c r="D3753" s="262"/>
    </row>
    <row r="3754" ht="15.75" customHeight="1">
      <c r="A3754" s="262"/>
      <c r="B3754" s="262"/>
      <c r="C3754" s="263"/>
      <c r="D3754" s="262"/>
    </row>
    <row r="3755" ht="15.75" customHeight="1">
      <c r="A3755" s="262"/>
      <c r="B3755" s="262"/>
      <c r="C3755" s="263"/>
      <c r="D3755" s="262"/>
    </row>
    <row r="3756" ht="15.75" customHeight="1">
      <c r="A3756" s="262"/>
      <c r="B3756" s="262"/>
      <c r="C3756" s="263"/>
      <c r="D3756" s="262"/>
    </row>
    <row r="3757" ht="15.75" customHeight="1">
      <c r="A3757" s="262"/>
      <c r="B3757" s="262"/>
      <c r="C3757" s="263"/>
      <c r="D3757" s="262"/>
    </row>
    <row r="3758" ht="15.75" customHeight="1">
      <c r="A3758" s="262"/>
      <c r="B3758" s="262"/>
      <c r="C3758" s="263"/>
      <c r="D3758" s="262"/>
    </row>
    <row r="3759" ht="15.75" customHeight="1">
      <c r="A3759" s="262"/>
      <c r="B3759" s="262"/>
      <c r="C3759" s="263"/>
      <c r="D3759" s="262"/>
    </row>
    <row r="3760" ht="15.75" customHeight="1">
      <c r="A3760" s="262"/>
      <c r="B3760" s="262"/>
      <c r="C3760" s="263"/>
      <c r="D3760" s="262"/>
    </row>
    <row r="3761" ht="15.75" customHeight="1">
      <c r="A3761" s="262"/>
      <c r="B3761" s="262"/>
      <c r="C3761" s="263"/>
      <c r="D3761" s="262"/>
    </row>
    <row r="3762" ht="15.75" customHeight="1">
      <c r="A3762" s="262"/>
      <c r="B3762" s="262"/>
      <c r="C3762" s="263"/>
      <c r="D3762" s="262"/>
    </row>
    <row r="3763" ht="15.75" customHeight="1">
      <c r="A3763" s="262"/>
      <c r="B3763" s="262"/>
      <c r="C3763" s="263"/>
      <c r="D3763" s="262"/>
    </row>
    <row r="3764" ht="15.75" customHeight="1">
      <c r="A3764" s="262"/>
      <c r="B3764" s="262"/>
      <c r="C3764" s="263"/>
      <c r="D3764" s="262"/>
    </row>
    <row r="3765" ht="15.75" customHeight="1">
      <c r="A3765" s="262"/>
      <c r="B3765" s="262"/>
      <c r="C3765" s="263"/>
      <c r="D3765" s="262"/>
    </row>
    <row r="3766" ht="15.75" customHeight="1">
      <c r="A3766" s="262"/>
      <c r="B3766" s="262"/>
      <c r="C3766" s="263"/>
      <c r="D3766" s="262"/>
    </row>
    <row r="3767" ht="15.75" customHeight="1">
      <c r="A3767" s="262"/>
      <c r="B3767" s="262"/>
      <c r="C3767" s="263"/>
      <c r="D3767" s="262"/>
    </row>
    <row r="3768" ht="15.75" customHeight="1">
      <c r="A3768" s="262"/>
      <c r="B3768" s="262"/>
      <c r="C3768" s="263"/>
      <c r="D3768" s="262"/>
    </row>
    <row r="3769" ht="15.75" customHeight="1">
      <c r="A3769" s="262"/>
      <c r="B3769" s="262"/>
      <c r="C3769" s="263"/>
      <c r="D3769" s="262"/>
    </row>
    <row r="3770" ht="15.75" customHeight="1">
      <c r="A3770" s="262"/>
      <c r="B3770" s="262"/>
      <c r="C3770" s="263"/>
      <c r="D3770" s="262"/>
    </row>
    <row r="3771" ht="15.75" customHeight="1">
      <c r="A3771" s="262"/>
      <c r="B3771" s="262"/>
      <c r="C3771" s="263"/>
      <c r="D3771" s="262"/>
    </row>
    <row r="3772" ht="15.75" customHeight="1">
      <c r="A3772" s="262"/>
      <c r="B3772" s="262"/>
      <c r="C3772" s="263"/>
      <c r="D3772" s="262"/>
    </row>
    <row r="3773" ht="15.75" customHeight="1">
      <c r="A3773" s="262"/>
      <c r="B3773" s="262"/>
      <c r="C3773" s="263"/>
      <c r="D3773" s="262"/>
    </row>
    <row r="3774" ht="15.75" customHeight="1">
      <c r="A3774" s="262"/>
      <c r="B3774" s="262"/>
      <c r="C3774" s="263"/>
      <c r="D3774" s="262"/>
    </row>
    <row r="3775" ht="15.75" customHeight="1">
      <c r="A3775" s="262"/>
      <c r="B3775" s="262"/>
      <c r="C3775" s="263"/>
      <c r="D3775" s="262"/>
    </row>
    <row r="3776" ht="15.75" customHeight="1">
      <c r="A3776" s="262"/>
      <c r="B3776" s="262"/>
      <c r="C3776" s="263"/>
      <c r="D3776" s="262"/>
    </row>
    <row r="3777" ht="15.75" customHeight="1">
      <c r="A3777" s="262"/>
      <c r="B3777" s="262"/>
      <c r="C3777" s="263"/>
      <c r="D3777" s="262"/>
    </row>
    <row r="3778" ht="15.75" customHeight="1">
      <c r="A3778" s="262"/>
      <c r="B3778" s="262"/>
      <c r="C3778" s="263"/>
      <c r="D3778" s="262"/>
    </row>
    <row r="3779" ht="15.75" customHeight="1">
      <c r="A3779" s="262"/>
      <c r="B3779" s="262"/>
      <c r="C3779" s="263"/>
      <c r="D3779" s="262"/>
    </row>
    <row r="3780" ht="15.75" customHeight="1">
      <c r="A3780" s="262"/>
      <c r="B3780" s="262"/>
      <c r="C3780" s="263"/>
      <c r="D3780" s="262"/>
    </row>
    <row r="3781" ht="15.75" customHeight="1">
      <c r="A3781" s="262"/>
      <c r="B3781" s="262"/>
      <c r="C3781" s="263"/>
      <c r="D3781" s="262"/>
    </row>
    <row r="3782" ht="15.75" customHeight="1">
      <c r="A3782" s="262"/>
      <c r="B3782" s="262"/>
      <c r="C3782" s="263"/>
      <c r="D3782" s="262"/>
    </row>
    <row r="3783" ht="15.75" customHeight="1">
      <c r="A3783" s="262"/>
      <c r="B3783" s="262"/>
      <c r="C3783" s="263"/>
      <c r="D3783" s="262"/>
    </row>
    <row r="3784" ht="15.75" customHeight="1">
      <c r="A3784" s="262"/>
      <c r="B3784" s="262"/>
      <c r="C3784" s="263"/>
      <c r="D3784" s="262"/>
    </row>
    <row r="3785" ht="15.75" customHeight="1">
      <c r="A3785" s="262"/>
      <c r="B3785" s="262"/>
      <c r="C3785" s="263"/>
      <c r="D3785" s="262"/>
    </row>
    <row r="3786" ht="15.75" customHeight="1">
      <c r="A3786" s="262"/>
      <c r="B3786" s="262"/>
      <c r="C3786" s="263"/>
      <c r="D3786" s="262"/>
    </row>
    <row r="3787" ht="15.75" customHeight="1">
      <c r="A3787" s="262"/>
      <c r="B3787" s="262"/>
      <c r="C3787" s="263"/>
      <c r="D3787" s="262"/>
    </row>
    <row r="3788" ht="15.75" customHeight="1">
      <c r="A3788" s="262"/>
      <c r="B3788" s="262"/>
      <c r="C3788" s="263"/>
      <c r="D3788" s="262"/>
    </row>
    <row r="3789" ht="15.75" customHeight="1">
      <c r="A3789" s="262"/>
      <c r="B3789" s="262"/>
      <c r="C3789" s="263"/>
      <c r="D3789" s="262"/>
    </row>
    <row r="3790" ht="15.75" customHeight="1">
      <c r="A3790" s="262"/>
      <c r="B3790" s="262"/>
      <c r="C3790" s="263"/>
      <c r="D3790" s="262"/>
    </row>
    <row r="3791" ht="15.75" customHeight="1">
      <c r="A3791" s="262"/>
      <c r="B3791" s="262"/>
      <c r="C3791" s="263"/>
      <c r="D3791" s="262"/>
    </row>
    <row r="3792" ht="15.75" customHeight="1">
      <c r="A3792" s="262"/>
      <c r="B3792" s="262"/>
      <c r="C3792" s="263"/>
      <c r="D3792" s="262"/>
    </row>
    <row r="3793" ht="15.75" customHeight="1">
      <c r="A3793" s="262"/>
      <c r="B3793" s="262"/>
      <c r="C3793" s="263"/>
      <c r="D3793" s="262"/>
    </row>
    <row r="3794" ht="15.75" customHeight="1">
      <c r="A3794" s="262"/>
      <c r="B3794" s="262"/>
      <c r="C3794" s="263"/>
      <c r="D3794" s="262"/>
    </row>
    <row r="3795" ht="15.75" customHeight="1">
      <c r="A3795" s="262"/>
      <c r="B3795" s="262"/>
      <c r="C3795" s="263"/>
      <c r="D3795" s="262"/>
    </row>
    <row r="3796" ht="15.75" customHeight="1">
      <c r="A3796" s="262"/>
      <c r="B3796" s="262"/>
      <c r="C3796" s="263"/>
      <c r="D3796" s="262"/>
    </row>
    <row r="3797" ht="15.75" customHeight="1">
      <c r="A3797" s="262"/>
      <c r="B3797" s="262"/>
      <c r="C3797" s="263"/>
      <c r="D3797" s="262"/>
    </row>
    <row r="3798" ht="15.75" customHeight="1">
      <c r="A3798" s="262"/>
      <c r="B3798" s="262"/>
      <c r="C3798" s="263"/>
      <c r="D3798" s="262"/>
    </row>
    <row r="3799" ht="15.75" customHeight="1">
      <c r="A3799" s="262"/>
      <c r="B3799" s="262"/>
      <c r="C3799" s="263"/>
      <c r="D3799" s="262"/>
    </row>
    <row r="3800" ht="15.75" customHeight="1">
      <c r="A3800" s="262"/>
      <c r="B3800" s="262"/>
      <c r="C3800" s="263"/>
      <c r="D3800" s="262"/>
    </row>
    <row r="3801" ht="15.75" customHeight="1">
      <c r="A3801" s="262"/>
      <c r="B3801" s="262"/>
      <c r="C3801" s="263"/>
      <c r="D3801" s="262"/>
    </row>
    <row r="3802" ht="15.75" customHeight="1">
      <c r="A3802" s="262"/>
      <c r="B3802" s="262"/>
      <c r="C3802" s="263"/>
      <c r="D3802" s="262"/>
    </row>
    <row r="3803" ht="15.75" customHeight="1">
      <c r="A3803" s="262"/>
      <c r="B3803" s="262"/>
      <c r="C3803" s="263"/>
      <c r="D3803" s="262"/>
    </row>
    <row r="3804" ht="15.75" customHeight="1">
      <c r="A3804" s="262"/>
      <c r="B3804" s="262"/>
      <c r="C3804" s="263"/>
      <c r="D3804" s="262"/>
    </row>
    <row r="3805" ht="15.75" customHeight="1">
      <c r="A3805" s="262"/>
      <c r="B3805" s="262"/>
      <c r="C3805" s="263"/>
      <c r="D3805" s="262"/>
    </row>
    <row r="3806" ht="15.75" customHeight="1">
      <c r="A3806" s="262"/>
      <c r="B3806" s="262"/>
      <c r="C3806" s="263"/>
      <c r="D3806" s="262"/>
    </row>
    <row r="3807" ht="15.75" customHeight="1">
      <c r="A3807" s="262"/>
      <c r="B3807" s="262"/>
      <c r="C3807" s="263"/>
      <c r="D3807" s="262"/>
    </row>
    <row r="3808" ht="15.75" customHeight="1">
      <c r="A3808" s="262"/>
      <c r="B3808" s="262"/>
      <c r="C3808" s="263"/>
      <c r="D3808" s="262"/>
    </row>
    <row r="3809" ht="15.75" customHeight="1">
      <c r="A3809" s="262"/>
      <c r="B3809" s="262"/>
      <c r="C3809" s="263"/>
      <c r="D3809" s="262"/>
    </row>
    <row r="3810" ht="15.75" customHeight="1">
      <c r="A3810" s="262"/>
      <c r="B3810" s="262"/>
      <c r="C3810" s="263"/>
      <c r="D3810" s="262"/>
    </row>
    <row r="3811" ht="15.75" customHeight="1">
      <c r="A3811" s="262"/>
      <c r="B3811" s="262"/>
      <c r="C3811" s="263"/>
      <c r="D3811" s="262"/>
    </row>
    <row r="3812" ht="15.75" customHeight="1">
      <c r="A3812" s="262"/>
      <c r="B3812" s="262"/>
      <c r="C3812" s="263"/>
      <c r="D3812" s="262"/>
    </row>
    <row r="3813" ht="15.75" customHeight="1">
      <c r="A3813" s="262"/>
      <c r="B3813" s="262"/>
      <c r="C3813" s="263"/>
      <c r="D3813" s="262"/>
    </row>
    <row r="3814" ht="15.75" customHeight="1">
      <c r="A3814" s="262"/>
      <c r="B3814" s="262"/>
      <c r="C3814" s="263"/>
      <c r="D3814" s="262"/>
    </row>
    <row r="3815" ht="15.75" customHeight="1">
      <c r="A3815" s="262"/>
      <c r="B3815" s="262"/>
      <c r="C3815" s="263"/>
      <c r="D3815" s="262"/>
    </row>
    <row r="3816" ht="15.75" customHeight="1">
      <c r="A3816" s="262"/>
      <c r="B3816" s="262"/>
      <c r="C3816" s="263"/>
      <c r="D3816" s="262"/>
    </row>
    <row r="3817" ht="15.75" customHeight="1">
      <c r="A3817" s="262"/>
      <c r="B3817" s="262"/>
      <c r="C3817" s="263"/>
      <c r="D3817" s="262"/>
    </row>
    <row r="3818" ht="15.75" customHeight="1">
      <c r="A3818" s="262"/>
      <c r="B3818" s="262"/>
      <c r="C3818" s="263"/>
      <c r="D3818" s="262"/>
    </row>
    <row r="3819" ht="15.75" customHeight="1">
      <c r="A3819" s="262"/>
      <c r="B3819" s="262"/>
      <c r="C3819" s="263"/>
      <c r="D3819" s="262"/>
    </row>
    <row r="3820" ht="15.75" customHeight="1">
      <c r="A3820" s="262"/>
      <c r="B3820" s="262"/>
      <c r="C3820" s="263"/>
      <c r="D3820" s="262"/>
    </row>
    <row r="3821" ht="15.75" customHeight="1">
      <c r="A3821" s="262"/>
      <c r="B3821" s="262"/>
      <c r="C3821" s="263"/>
      <c r="D3821" s="262"/>
    </row>
    <row r="3822" ht="15.75" customHeight="1">
      <c r="A3822" s="262"/>
      <c r="B3822" s="262"/>
      <c r="C3822" s="263"/>
      <c r="D3822" s="262"/>
    </row>
    <row r="3823" ht="15.75" customHeight="1">
      <c r="A3823" s="262"/>
      <c r="B3823" s="262"/>
      <c r="C3823" s="263"/>
      <c r="D3823" s="262"/>
    </row>
    <row r="3824" ht="15.75" customHeight="1">
      <c r="A3824" s="262"/>
      <c r="B3824" s="262"/>
      <c r="C3824" s="263"/>
      <c r="D3824" s="262"/>
    </row>
    <row r="3825" ht="15.75" customHeight="1">
      <c r="A3825" s="262"/>
      <c r="B3825" s="262"/>
      <c r="C3825" s="263"/>
      <c r="D3825" s="262"/>
    </row>
    <row r="3826" ht="15.75" customHeight="1">
      <c r="A3826" s="262"/>
      <c r="B3826" s="262"/>
      <c r="C3826" s="263"/>
      <c r="D3826" s="262"/>
    </row>
    <row r="3827" ht="15.75" customHeight="1">
      <c r="A3827" s="262"/>
      <c r="B3827" s="262"/>
      <c r="C3827" s="263"/>
      <c r="D3827" s="262"/>
    </row>
    <row r="3828" ht="15.75" customHeight="1">
      <c r="A3828" s="262"/>
      <c r="B3828" s="262"/>
      <c r="C3828" s="263"/>
      <c r="D3828" s="262"/>
    </row>
    <row r="3829" ht="15.75" customHeight="1">
      <c r="A3829" s="262"/>
      <c r="B3829" s="262"/>
      <c r="C3829" s="263"/>
      <c r="D3829" s="262"/>
    </row>
    <row r="3830" ht="15.75" customHeight="1">
      <c r="A3830" s="262"/>
      <c r="B3830" s="262"/>
      <c r="C3830" s="263"/>
      <c r="D3830" s="262"/>
    </row>
    <row r="3831" ht="15.75" customHeight="1">
      <c r="A3831" s="262"/>
      <c r="B3831" s="262"/>
      <c r="C3831" s="263"/>
      <c r="D3831" s="262"/>
    </row>
    <row r="3832" ht="15.75" customHeight="1">
      <c r="A3832" s="262"/>
      <c r="B3832" s="262"/>
      <c r="C3832" s="263"/>
      <c r="D3832" s="262"/>
    </row>
    <row r="3833" ht="15.75" customHeight="1">
      <c r="A3833" s="262"/>
      <c r="B3833" s="262"/>
      <c r="C3833" s="263"/>
      <c r="D3833" s="262"/>
    </row>
    <row r="3834" ht="15.75" customHeight="1">
      <c r="A3834" s="262"/>
      <c r="B3834" s="262"/>
      <c r="C3834" s="263"/>
      <c r="D3834" s="262"/>
    </row>
    <row r="3835" ht="15.75" customHeight="1">
      <c r="A3835" s="262"/>
      <c r="B3835" s="262"/>
      <c r="C3835" s="263"/>
      <c r="D3835" s="262"/>
    </row>
    <row r="3836" ht="15.75" customHeight="1">
      <c r="A3836" s="262"/>
      <c r="B3836" s="262"/>
      <c r="C3836" s="263"/>
      <c r="D3836" s="262"/>
    </row>
    <row r="3837" ht="15.75" customHeight="1">
      <c r="A3837" s="262"/>
      <c r="B3837" s="262"/>
      <c r="C3837" s="263"/>
      <c r="D3837" s="262"/>
    </row>
    <row r="3838" ht="15.75" customHeight="1">
      <c r="A3838" s="262"/>
      <c r="B3838" s="262"/>
      <c r="C3838" s="263"/>
      <c r="D3838" s="262"/>
    </row>
    <row r="3839" ht="15.75" customHeight="1">
      <c r="A3839" s="262"/>
      <c r="B3839" s="262"/>
      <c r="C3839" s="263"/>
      <c r="D3839" s="262"/>
    </row>
    <row r="3840" ht="15.75" customHeight="1">
      <c r="A3840" s="262"/>
      <c r="B3840" s="262"/>
      <c r="C3840" s="263"/>
      <c r="D3840" s="262"/>
    </row>
    <row r="3841" ht="15.75" customHeight="1">
      <c r="A3841" s="262"/>
      <c r="B3841" s="262"/>
      <c r="C3841" s="263"/>
      <c r="D3841" s="262"/>
    </row>
    <row r="3842" ht="15.75" customHeight="1">
      <c r="A3842" s="262"/>
      <c r="B3842" s="262"/>
      <c r="C3842" s="263"/>
      <c r="D3842" s="262"/>
    </row>
    <row r="3843" ht="15.75" customHeight="1">
      <c r="A3843" s="262"/>
      <c r="B3843" s="262"/>
      <c r="C3843" s="263"/>
      <c r="D3843" s="262"/>
    </row>
    <row r="3844" ht="15.75" customHeight="1">
      <c r="A3844" s="262"/>
      <c r="B3844" s="262"/>
      <c r="C3844" s="263"/>
      <c r="D3844" s="262"/>
    </row>
    <row r="3845" ht="15.75" customHeight="1">
      <c r="A3845" s="262"/>
      <c r="B3845" s="262"/>
      <c r="C3845" s="263"/>
      <c r="D3845" s="262"/>
    </row>
    <row r="3846" ht="15.75" customHeight="1">
      <c r="A3846" s="262"/>
      <c r="B3846" s="262"/>
      <c r="C3846" s="263"/>
      <c r="D3846" s="262"/>
    </row>
    <row r="3847" ht="15.75" customHeight="1">
      <c r="A3847" s="262"/>
      <c r="B3847" s="262"/>
      <c r="C3847" s="263"/>
      <c r="D3847" s="262"/>
    </row>
    <row r="3848" ht="15.75" customHeight="1">
      <c r="A3848" s="262"/>
      <c r="B3848" s="262"/>
      <c r="C3848" s="263"/>
      <c r="D3848" s="262"/>
    </row>
    <row r="3849" ht="15.75" customHeight="1">
      <c r="A3849" s="262"/>
      <c r="B3849" s="262"/>
      <c r="C3849" s="263"/>
      <c r="D3849" s="262"/>
    </row>
    <row r="3850" ht="15.75" customHeight="1">
      <c r="A3850" s="262"/>
      <c r="B3850" s="262"/>
      <c r="C3850" s="263"/>
      <c r="D3850" s="262"/>
    </row>
    <row r="3851" ht="15.75" customHeight="1">
      <c r="A3851" s="262"/>
      <c r="B3851" s="262"/>
      <c r="C3851" s="263"/>
      <c r="D3851" s="262"/>
    </row>
    <row r="3852" ht="15.75" customHeight="1">
      <c r="A3852" s="262"/>
      <c r="B3852" s="262"/>
      <c r="C3852" s="263"/>
      <c r="D3852" s="262"/>
    </row>
    <row r="3853" ht="15.75" customHeight="1">
      <c r="A3853" s="262"/>
      <c r="B3853" s="262"/>
      <c r="C3853" s="263"/>
      <c r="D3853" s="262"/>
    </row>
    <row r="3854" ht="15.75" customHeight="1">
      <c r="A3854" s="262"/>
      <c r="B3854" s="262"/>
      <c r="C3854" s="263"/>
      <c r="D3854" s="262"/>
    </row>
    <row r="3855" ht="15.75" customHeight="1">
      <c r="A3855" s="262"/>
      <c r="B3855" s="262"/>
      <c r="C3855" s="263"/>
      <c r="D3855" s="262"/>
    </row>
    <row r="3856" ht="15.75" customHeight="1">
      <c r="A3856" s="262"/>
      <c r="B3856" s="262"/>
      <c r="C3856" s="263"/>
      <c r="D3856" s="262"/>
    </row>
    <row r="3857" ht="15.75" customHeight="1">
      <c r="A3857" s="262"/>
      <c r="B3857" s="262"/>
      <c r="C3857" s="263"/>
      <c r="D3857" s="262"/>
    </row>
    <row r="3858" ht="15.75" customHeight="1">
      <c r="A3858" s="262"/>
      <c r="B3858" s="262"/>
      <c r="C3858" s="263"/>
      <c r="D3858" s="262"/>
    </row>
    <row r="3859" ht="15.75" customHeight="1">
      <c r="A3859" s="262"/>
      <c r="B3859" s="262"/>
      <c r="C3859" s="263"/>
      <c r="D3859" s="262"/>
    </row>
    <row r="3860" ht="15.75" customHeight="1">
      <c r="A3860" s="262"/>
      <c r="B3860" s="262"/>
      <c r="C3860" s="263"/>
      <c r="D3860" s="262"/>
    </row>
    <row r="3861" ht="15.75" customHeight="1">
      <c r="A3861" s="262"/>
      <c r="B3861" s="262"/>
      <c r="C3861" s="263"/>
      <c r="D3861" s="262"/>
    </row>
    <row r="3862" ht="15.75" customHeight="1">
      <c r="A3862" s="262"/>
      <c r="B3862" s="262"/>
      <c r="C3862" s="263"/>
      <c r="D3862" s="262"/>
    </row>
    <row r="3863" ht="15.75" customHeight="1">
      <c r="A3863" s="262"/>
      <c r="B3863" s="262"/>
      <c r="C3863" s="263"/>
      <c r="D3863" s="262"/>
    </row>
    <row r="3864" ht="15.75" customHeight="1">
      <c r="A3864" s="262"/>
      <c r="B3864" s="262"/>
      <c r="C3864" s="263"/>
      <c r="D3864" s="262"/>
    </row>
    <row r="3865" ht="15.75" customHeight="1">
      <c r="A3865" s="262"/>
      <c r="B3865" s="262"/>
      <c r="C3865" s="263"/>
      <c r="D3865" s="262"/>
    </row>
    <row r="3866" ht="15.75" customHeight="1">
      <c r="A3866" s="262"/>
      <c r="B3866" s="262"/>
      <c r="C3866" s="263"/>
      <c r="D3866" s="262"/>
    </row>
    <row r="3867" ht="15.75" customHeight="1">
      <c r="A3867" s="262"/>
      <c r="B3867" s="262"/>
      <c r="C3867" s="263"/>
      <c r="D3867" s="262"/>
    </row>
    <row r="3868" ht="15.75" customHeight="1">
      <c r="A3868" s="262"/>
      <c r="B3868" s="262"/>
      <c r="C3868" s="263"/>
      <c r="D3868" s="262"/>
    </row>
    <row r="3869" ht="15.75" customHeight="1">
      <c r="A3869" s="262"/>
      <c r="B3869" s="262"/>
      <c r="C3869" s="263"/>
      <c r="D3869" s="262"/>
    </row>
    <row r="3870" ht="15.75" customHeight="1">
      <c r="A3870" s="262"/>
      <c r="B3870" s="262"/>
      <c r="C3870" s="263"/>
      <c r="D3870" s="262"/>
    </row>
    <row r="3871" ht="15.75" customHeight="1">
      <c r="A3871" s="262"/>
      <c r="B3871" s="262"/>
      <c r="C3871" s="263"/>
      <c r="D3871" s="262"/>
    </row>
    <row r="3872" ht="15.75" customHeight="1">
      <c r="A3872" s="262"/>
      <c r="B3872" s="262"/>
      <c r="C3872" s="263"/>
      <c r="D3872" s="262"/>
    </row>
    <row r="3873" ht="15.75" customHeight="1">
      <c r="A3873" s="262"/>
      <c r="B3873" s="262"/>
      <c r="C3873" s="263"/>
      <c r="D3873" s="262"/>
    </row>
    <row r="3874" ht="15.75" customHeight="1">
      <c r="A3874" s="262"/>
      <c r="B3874" s="262"/>
      <c r="C3874" s="263"/>
      <c r="D3874" s="262"/>
    </row>
    <row r="3875" ht="15.75" customHeight="1">
      <c r="A3875" s="262"/>
      <c r="B3875" s="262"/>
      <c r="C3875" s="263"/>
      <c r="D3875" s="262"/>
    </row>
    <row r="3876" ht="15.75" customHeight="1">
      <c r="A3876" s="262"/>
      <c r="B3876" s="262"/>
      <c r="C3876" s="263"/>
      <c r="D3876" s="262"/>
    </row>
    <row r="3877" ht="15.75" customHeight="1">
      <c r="A3877" s="262"/>
      <c r="B3877" s="262"/>
      <c r="C3877" s="263"/>
      <c r="D3877" s="262"/>
    </row>
    <row r="3878" ht="15.75" customHeight="1">
      <c r="A3878" s="262"/>
      <c r="B3878" s="262"/>
      <c r="C3878" s="263"/>
      <c r="D3878" s="262"/>
    </row>
    <row r="3879" ht="15.75" customHeight="1">
      <c r="A3879" s="262"/>
      <c r="B3879" s="262"/>
      <c r="C3879" s="263"/>
      <c r="D3879" s="262"/>
    </row>
    <row r="3880" ht="15.75" customHeight="1">
      <c r="A3880" s="262"/>
      <c r="B3880" s="262"/>
      <c r="C3880" s="263"/>
      <c r="D3880" s="262"/>
    </row>
    <row r="3881" ht="15.75" customHeight="1">
      <c r="A3881" s="262"/>
      <c r="B3881" s="262"/>
      <c r="C3881" s="263"/>
      <c r="D3881" s="262"/>
    </row>
    <row r="3882" ht="15.75" customHeight="1">
      <c r="A3882" s="262"/>
      <c r="B3882" s="262"/>
      <c r="C3882" s="263"/>
      <c r="D3882" s="262"/>
    </row>
    <row r="3883" ht="15.75" customHeight="1">
      <c r="A3883" s="262"/>
      <c r="B3883" s="262"/>
      <c r="C3883" s="263"/>
      <c r="D3883" s="262"/>
    </row>
    <row r="3884" ht="15.75" customHeight="1">
      <c r="A3884" s="262"/>
      <c r="B3884" s="262"/>
      <c r="C3884" s="263"/>
      <c r="D3884" s="262"/>
    </row>
    <row r="3885" ht="15.75" customHeight="1">
      <c r="A3885" s="262"/>
      <c r="B3885" s="262"/>
      <c r="C3885" s="263"/>
      <c r="D3885" s="262"/>
    </row>
    <row r="3886" ht="15.75" customHeight="1">
      <c r="A3886" s="262"/>
      <c r="B3886" s="262"/>
      <c r="C3886" s="263"/>
      <c r="D3886" s="262"/>
    </row>
    <row r="3887" ht="15.75" customHeight="1">
      <c r="A3887" s="262"/>
      <c r="B3887" s="262"/>
      <c r="C3887" s="263"/>
      <c r="D3887" s="262"/>
    </row>
    <row r="3888" ht="15.75" customHeight="1">
      <c r="A3888" s="262"/>
      <c r="B3888" s="262"/>
      <c r="C3888" s="263"/>
      <c r="D3888" s="262"/>
    </row>
    <row r="3889" ht="15.75" customHeight="1">
      <c r="A3889" s="262"/>
      <c r="B3889" s="262"/>
      <c r="C3889" s="263"/>
      <c r="D3889" s="262"/>
    </row>
    <row r="3890" ht="15.75" customHeight="1">
      <c r="A3890" s="262"/>
      <c r="B3890" s="262"/>
      <c r="C3890" s="263"/>
      <c r="D3890" s="262"/>
    </row>
    <row r="3891" ht="15.75" customHeight="1">
      <c r="A3891" s="262"/>
      <c r="B3891" s="262"/>
      <c r="C3891" s="263"/>
      <c r="D3891" s="262"/>
    </row>
    <row r="3892" ht="15.75" customHeight="1">
      <c r="A3892" s="262"/>
      <c r="B3892" s="262"/>
      <c r="C3892" s="263"/>
      <c r="D3892" s="262"/>
    </row>
    <row r="3893" ht="15.75" customHeight="1">
      <c r="A3893" s="262"/>
      <c r="B3893" s="262"/>
      <c r="C3893" s="263"/>
      <c r="D3893" s="262"/>
    </row>
    <row r="3894" ht="15.75" customHeight="1">
      <c r="A3894" s="262"/>
      <c r="B3894" s="262"/>
      <c r="C3894" s="263"/>
      <c r="D3894" s="262"/>
    </row>
    <row r="3895" ht="15.75" customHeight="1">
      <c r="A3895" s="262"/>
      <c r="B3895" s="262"/>
      <c r="C3895" s="263"/>
      <c r="D3895" s="262"/>
    </row>
    <row r="3896" ht="15.75" customHeight="1">
      <c r="A3896" s="262"/>
      <c r="B3896" s="262"/>
      <c r="C3896" s="263"/>
      <c r="D3896" s="262"/>
    </row>
    <row r="3897" ht="15.75" customHeight="1">
      <c r="A3897" s="262"/>
      <c r="B3897" s="262"/>
      <c r="C3897" s="263"/>
      <c r="D3897" s="262"/>
    </row>
    <row r="3898" ht="15.75" customHeight="1">
      <c r="A3898" s="262"/>
      <c r="B3898" s="262"/>
      <c r="C3898" s="263"/>
      <c r="D3898" s="262"/>
    </row>
    <row r="3899" ht="15.75" customHeight="1">
      <c r="A3899" s="262"/>
      <c r="B3899" s="262"/>
      <c r="C3899" s="263"/>
      <c r="D3899" s="262"/>
    </row>
    <row r="3900" ht="15.75" customHeight="1">
      <c r="A3900" s="262"/>
      <c r="B3900" s="262"/>
      <c r="C3900" s="263"/>
      <c r="D3900" s="262"/>
    </row>
    <row r="3901" ht="15.75" customHeight="1">
      <c r="A3901" s="262"/>
      <c r="B3901" s="262"/>
      <c r="C3901" s="263"/>
      <c r="D3901" s="262"/>
    </row>
    <row r="3902" ht="15.75" customHeight="1">
      <c r="A3902" s="262"/>
      <c r="B3902" s="262"/>
      <c r="C3902" s="263"/>
      <c r="D3902" s="262"/>
    </row>
    <row r="3903" ht="15.75" customHeight="1">
      <c r="A3903" s="262"/>
      <c r="B3903" s="262"/>
      <c r="C3903" s="263"/>
      <c r="D3903" s="262"/>
    </row>
    <row r="3904" ht="15.75" customHeight="1">
      <c r="A3904" s="262"/>
      <c r="B3904" s="262"/>
      <c r="C3904" s="263"/>
      <c r="D3904" s="262"/>
    </row>
    <row r="3905" ht="15.75" customHeight="1">
      <c r="A3905" s="262"/>
      <c r="B3905" s="262"/>
      <c r="C3905" s="263"/>
      <c r="D3905" s="262"/>
    </row>
    <row r="3906" ht="15.75" customHeight="1">
      <c r="A3906" s="262"/>
      <c r="B3906" s="262"/>
      <c r="C3906" s="263"/>
      <c r="D3906" s="262"/>
    </row>
    <row r="3907" ht="15.75" customHeight="1">
      <c r="A3907" s="262"/>
      <c r="B3907" s="262"/>
      <c r="C3907" s="263"/>
      <c r="D3907" s="262"/>
    </row>
    <row r="3908" ht="15.75" customHeight="1">
      <c r="A3908" s="262"/>
      <c r="B3908" s="262"/>
      <c r="C3908" s="263"/>
      <c r="D3908" s="262"/>
    </row>
    <row r="3909" ht="15.75" customHeight="1">
      <c r="A3909" s="262"/>
      <c r="B3909" s="262"/>
      <c r="C3909" s="263"/>
      <c r="D3909" s="262"/>
    </row>
    <row r="3910" ht="15.75" customHeight="1">
      <c r="A3910" s="262"/>
      <c r="B3910" s="262"/>
      <c r="C3910" s="263"/>
      <c r="D3910" s="262"/>
    </row>
    <row r="3911" ht="15.75" customHeight="1">
      <c r="A3911" s="262"/>
      <c r="B3911" s="262"/>
      <c r="C3911" s="263"/>
      <c r="D3911" s="262"/>
    </row>
    <row r="3912" ht="15.75" customHeight="1">
      <c r="A3912" s="262"/>
      <c r="B3912" s="262"/>
      <c r="C3912" s="263"/>
      <c r="D3912" s="262"/>
    </row>
    <row r="3913" ht="15.75" customHeight="1">
      <c r="A3913" s="262"/>
      <c r="B3913" s="262"/>
      <c r="C3913" s="263"/>
      <c r="D3913" s="262"/>
    </row>
    <row r="3914" ht="15.75" customHeight="1">
      <c r="A3914" s="262"/>
      <c r="B3914" s="262"/>
      <c r="C3914" s="263"/>
      <c r="D3914" s="262"/>
    </row>
    <row r="3915" ht="15.75" customHeight="1">
      <c r="A3915" s="262"/>
      <c r="B3915" s="262"/>
      <c r="C3915" s="263"/>
      <c r="D3915" s="262"/>
    </row>
    <row r="3916" ht="15.75" customHeight="1">
      <c r="A3916" s="262"/>
      <c r="B3916" s="262"/>
      <c r="C3916" s="263"/>
      <c r="D3916" s="262"/>
    </row>
    <row r="3917" ht="15.75" customHeight="1">
      <c r="A3917" s="262"/>
      <c r="B3917" s="262"/>
      <c r="C3917" s="263"/>
      <c r="D3917" s="262"/>
    </row>
    <row r="3918" ht="15.75" customHeight="1">
      <c r="A3918" s="262"/>
      <c r="B3918" s="262"/>
      <c r="C3918" s="263"/>
      <c r="D3918" s="262"/>
    </row>
    <row r="3919" ht="15.75" customHeight="1">
      <c r="A3919" s="262"/>
      <c r="B3919" s="262"/>
      <c r="C3919" s="263"/>
      <c r="D3919" s="262"/>
    </row>
    <row r="3920" ht="15.75" customHeight="1">
      <c r="A3920" s="262"/>
      <c r="B3920" s="262"/>
      <c r="C3920" s="263"/>
      <c r="D3920" s="262"/>
    </row>
    <row r="3921" ht="15.75" customHeight="1">
      <c r="A3921" s="262"/>
      <c r="B3921" s="262"/>
      <c r="C3921" s="263"/>
      <c r="D3921" s="262"/>
    </row>
    <row r="3922" ht="15.75" customHeight="1">
      <c r="A3922" s="262"/>
      <c r="B3922" s="262"/>
      <c r="C3922" s="263"/>
      <c r="D3922" s="262"/>
    </row>
    <row r="3923" ht="15.75" customHeight="1">
      <c r="A3923" s="262"/>
      <c r="B3923" s="262"/>
      <c r="C3923" s="263"/>
      <c r="D3923" s="262"/>
    </row>
    <row r="3924" ht="15.75" customHeight="1">
      <c r="A3924" s="262"/>
      <c r="B3924" s="262"/>
      <c r="C3924" s="263"/>
      <c r="D3924" s="262"/>
    </row>
    <row r="3925" ht="15.75" customHeight="1">
      <c r="A3925" s="262"/>
      <c r="B3925" s="262"/>
      <c r="C3925" s="263"/>
      <c r="D3925" s="262"/>
    </row>
    <row r="3926" ht="15.75" customHeight="1">
      <c r="A3926" s="262"/>
      <c r="B3926" s="262"/>
      <c r="C3926" s="263"/>
      <c r="D3926" s="262"/>
    </row>
    <row r="3927" ht="15.75" customHeight="1">
      <c r="A3927" s="262"/>
      <c r="B3927" s="262"/>
      <c r="C3927" s="263"/>
      <c r="D3927" s="262"/>
    </row>
    <row r="3928" ht="15.75" customHeight="1">
      <c r="A3928" s="262"/>
      <c r="B3928" s="262"/>
      <c r="C3928" s="263"/>
      <c r="D3928" s="262"/>
    </row>
    <row r="3929" ht="15.75" customHeight="1">
      <c r="A3929" s="262"/>
      <c r="B3929" s="262"/>
      <c r="C3929" s="263"/>
      <c r="D3929" s="262"/>
    </row>
    <row r="3930" ht="15.75" customHeight="1">
      <c r="A3930" s="262"/>
      <c r="B3930" s="262"/>
      <c r="C3930" s="263"/>
      <c r="D3930" s="262"/>
    </row>
    <row r="3931" ht="15.75" customHeight="1">
      <c r="A3931" s="262"/>
      <c r="B3931" s="262"/>
      <c r="C3931" s="263"/>
      <c r="D3931" s="262"/>
    </row>
    <row r="3932" ht="15.75" customHeight="1">
      <c r="A3932" s="262"/>
      <c r="B3932" s="262"/>
      <c r="C3932" s="263"/>
      <c r="D3932" s="262"/>
    </row>
    <row r="3933" ht="15.75" customHeight="1">
      <c r="A3933" s="262"/>
      <c r="B3933" s="262"/>
      <c r="C3933" s="263"/>
      <c r="D3933" s="262"/>
    </row>
    <row r="3934" ht="15.75" customHeight="1">
      <c r="A3934" s="262"/>
      <c r="B3934" s="262"/>
      <c r="C3934" s="263"/>
      <c r="D3934" s="262"/>
    </row>
    <row r="3935" ht="15.75" customHeight="1">
      <c r="A3935" s="262"/>
      <c r="B3935" s="262"/>
      <c r="C3935" s="263"/>
      <c r="D3935" s="262"/>
    </row>
    <row r="3936" ht="15.75" customHeight="1">
      <c r="A3936" s="262"/>
      <c r="B3936" s="262"/>
      <c r="C3936" s="263"/>
      <c r="D3936" s="262"/>
    </row>
    <row r="3937" ht="15.75" customHeight="1">
      <c r="A3937" s="262"/>
      <c r="B3937" s="262"/>
      <c r="C3937" s="263"/>
      <c r="D3937" s="262"/>
    </row>
    <row r="3938" ht="15.75" customHeight="1">
      <c r="A3938" s="262"/>
      <c r="B3938" s="262"/>
      <c r="C3938" s="263"/>
      <c r="D3938" s="262"/>
    </row>
    <row r="3939" ht="15.75" customHeight="1">
      <c r="A3939" s="262"/>
      <c r="B3939" s="262"/>
      <c r="C3939" s="263"/>
      <c r="D3939" s="262"/>
    </row>
    <row r="3940" ht="15.75" customHeight="1">
      <c r="A3940" s="262"/>
      <c r="B3940" s="262"/>
      <c r="C3940" s="263"/>
      <c r="D3940" s="262"/>
    </row>
    <row r="3941" ht="15.75" customHeight="1">
      <c r="A3941" s="262"/>
      <c r="B3941" s="262"/>
      <c r="C3941" s="263"/>
      <c r="D3941" s="262"/>
    </row>
    <row r="3942" ht="15.75" customHeight="1">
      <c r="A3942" s="262"/>
      <c r="B3942" s="262"/>
      <c r="C3942" s="263"/>
      <c r="D3942" s="262"/>
    </row>
    <row r="3943" ht="15.75" customHeight="1">
      <c r="A3943" s="262"/>
      <c r="B3943" s="262"/>
      <c r="C3943" s="263"/>
      <c r="D3943" s="262"/>
    </row>
    <row r="3944" ht="15.75" customHeight="1">
      <c r="A3944" s="262"/>
      <c r="B3944" s="262"/>
      <c r="C3944" s="263"/>
      <c r="D3944" s="262"/>
    </row>
    <row r="3945" ht="15.75" customHeight="1">
      <c r="A3945" s="262"/>
      <c r="B3945" s="262"/>
      <c r="C3945" s="263"/>
      <c r="D3945" s="262"/>
    </row>
    <row r="3946" ht="15.75" customHeight="1">
      <c r="A3946" s="262"/>
      <c r="B3946" s="262"/>
      <c r="C3946" s="263"/>
      <c r="D3946" s="262"/>
    </row>
    <row r="3947" ht="15.75" customHeight="1">
      <c r="A3947" s="262"/>
      <c r="B3947" s="262"/>
      <c r="C3947" s="263"/>
      <c r="D3947" s="262"/>
    </row>
    <row r="3948" ht="15.75" customHeight="1">
      <c r="A3948" s="262"/>
      <c r="B3948" s="262"/>
      <c r="C3948" s="263"/>
      <c r="D3948" s="262"/>
    </row>
    <row r="3949" ht="15.75" customHeight="1">
      <c r="A3949" s="262"/>
      <c r="B3949" s="262"/>
      <c r="C3949" s="263"/>
      <c r="D3949" s="262"/>
    </row>
    <row r="3950" ht="15.75" customHeight="1">
      <c r="A3950" s="262"/>
      <c r="B3950" s="262"/>
      <c r="C3950" s="263"/>
      <c r="D3950" s="262"/>
    </row>
    <row r="3951" ht="15.75" customHeight="1">
      <c r="A3951" s="262"/>
      <c r="B3951" s="262"/>
      <c r="C3951" s="263"/>
      <c r="D3951" s="262"/>
    </row>
    <row r="3952" ht="15.75" customHeight="1">
      <c r="A3952" s="262"/>
      <c r="B3952" s="262"/>
      <c r="C3952" s="263"/>
      <c r="D3952" s="262"/>
    </row>
    <row r="3953" ht="15.75" customHeight="1">
      <c r="A3953" s="262"/>
      <c r="B3953" s="262"/>
      <c r="C3953" s="263"/>
      <c r="D3953" s="262"/>
    </row>
    <row r="3954" ht="15.75" customHeight="1">
      <c r="A3954" s="262"/>
      <c r="B3954" s="262"/>
      <c r="C3954" s="263"/>
      <c r="D3954" s="262"/>
    </row>
    <row r="3955" ht="15.75" customHeight="1">
      <c r="A3955" s="262"/>
      <c r="B3955" s="262"/>
      <c r="C3955" s="263"/>
      <c r="D3955" s="262"/>
    </row>
    <row r="3956" ht="15.75" customHeight="1">
      <c r="A3956" s="262"/>
      <c r="B3956" s="262"/>
      <c r="C3956" s="263"/>
      <c r="D3956" s="262"/>
    </row>
    <row r="3957" ht="15.75" customHeight="1">
      <c r="A3957" s="262"/>
      <c r="B3957" s="262"/>
      <c r="C3957" s="263"/>
      <c r="D3957" s="262"/>
    </row>
    <row r="3958" ht="15.75" customHeight="1">
      <c r="A3958" s="262"/>
      <c r="B3958" s="262"/>
      <c r="C3958" s="263"/>
      <c r="D3958" s="262"/>
    </row>
    <row r="3959" ht="15.75" customHeight="1">
      <c r="A3959" s="262"/>
      <c r="B3959" s="262"/>
      <c r="C3959" s="263"/>
      <c r="D3959" s="262"/>
    </row>
    <row r="3960" ht="15.75" customHeight="1">
      <c r="A3960" s="262"/>
      <c r="B3960" s="262"/>
      <c r="C3960" s="263"/>
      <c r="D3960" s="262"/>
    </row>
    <row r="3961" ht="15.75" customHeight="1">
      <c r="A3961" s="262"/>
      <c r="B3961" s="262"/>
      <c r="C3961" s="263"/>
      <c r="D3961" s="262"/>
    </row>
    <row r="3962" ht="15.75" customHeight="1">
      <c r="A3962" s="262"/>
      <c r="B3962" s="262"/>
      <c r="C3962" s="263"/>
      <c r="D3962" s="262"/>
    </row>
    <row r="3963" ht="15.75" customHeight="1">
      <c r="A3963" s="262"/>
      <c r="B3963" s="262"/>
      <c r="C3963" s="263"/>
      <c r="D3963" s="262"/>
    </row>
    <row r="3964" ht="15.75" customHeight="1">
      <c r="A3964" s="262"/>
      <c r="B3964" s="262"/>
      <c r="C3964" s="263"/>
      <c r="D3964" s="262"/>
    </row>
    <row r="3965" ht="15.75" customHeight="1">
      <c r="A3965" s="262"/>
      <c r="B3965" s="262"/>
      <c r="C3965" s="263"/>
      <c r="D3965" s="262"/>
    </row>
    <row r="3966" ht="15.75" customHeight="1">
      <c r="A3966" s="262"/>
      <c r="B3966" s="262"/>
      <c r="C3966" s="263"/>
      <c r="D3966" s="262"/>
    </row>
    <row r="3967" ht="15.75" customHeight="1">
      <c r="A3967" s="262"/>
      <c r="B3967" s="262"/>
      <c r="C3967" s="263"/>
      <c r="D3967" s="262"/>
    </row>
    <row r="3968" ht="15.75" customHeight="1">
      <c r="A3968" s="262"/>
      <c r="B3968" s="262"/>
      <c r="C3968" s="263"/>
      <c r="D3968" s="262"/>
    </row>
    <row r="3969" ht="15.75" customHeight="1">
      <c r="A3969" s="262"/>
      <c r="B3969" s="262"/>
      <c r="C3969" s="263"/>
      <c r="D3969" s="262"/>
    </row>
    <row r="3970" ht="15.75" customHeight="1">
      <c r="A3970" s="262"/>
      <c r="B3970" s="262"/>
      <c r="C3970" s="263"/>
      <c r="D3970" s="262"/>
    </row>
    <row r="3971" ht="15.75" customHeight="1">
      <c r="A3971" s="262"/>
      <c r="B3971" s="262"/>
      <c r="C3971" s="263"/>
      <c r="D3971" s="262"/>
    </row>
    <row r="3972" ht="15.75" customHeight="1">
      <c r="A3972" s="262"/>
      <c r="B3972" s="262"/>
      <c r="C3972" s="263"/>
      <c r="D3972" s="262"/>
    </row>
    <row r="3973" ht="15.75" customHeight="1">
      <c r="A3973" s="262"/>
      <c r="B3973" s="262"/>
      <c r="C3973" s="263"/>
      <c r="D3973" s="262"/>
    </row>
    <row r="3974" ht="15.75" customHeight="1">
      <c r="A3974" s="262"/>
      <c r="B3974" s="262"/>
      <c r="C3974" s="263"/>
      <c r="D3974" s="262"/>
    </row>
    <row r="3975" ht="15.75" customHeight="1">
      <c r="A3975" s="262"/>
      <c r="B3975" s="262"/>
      <c r="C3975" s="263"/>
      <c r="D3975" s="262"/>
    </row>
    <row r="3976" ht="15.75" customHeight="1">
      <c r="A3976" s="262"/>
      <c r="B3976" s="262"/>
      <c r="C3976" s="263"/>
      <c r="D3976" s="262"/>
    </row>
    <row r="3977" ht="15.75" customHeight="1">
      <c r="A3977" s="262"/>
      <c r="B3977" s="262"/>
      <c r="C3977" s="263"/>
      <c r="D3977" s="262"/>
    </row>
    <row r="3978" ht="15.75" customHeight="1">
      <c r="A3978" s="262"/>
      <c r="B3978" s="262"/>
      <c r="C3978" s="263"/>
      <c r="D3978" s="262"/>
    </row>
    <row r="3979" ht="15.75" customHeight="1">
      <c r="A3979" s="262"/>
      <c r="B3979" s="262"/>
      <c r="C3979" s="263"/>
      <c r="D3979" s="262"/>
    </row>
    <row r="3980" ht="15.75" customHeight="1">
      <c r="A3980" s="262"/>
      <c r="B3980" s="262"/>
      <c r="C3980" s="263"/>
      <c r="D3980" s="262"/>
    </row>
    <row r="3981" ht="15.75" customHeight="1">
      <c r="A3981" s="262"/>
      <c r="B3981" s="262"/>
      <c r="C3981" s="263"/>
      <c r="D3981" s="262"/>
    </row>
    <row r="3982" ht="15.75" customHeight="1">
      <c r="A3982" s="262"/>
      <c r="B3982" s="262"/>
      <c r="C3982" s="263"/>
      <c r="D3982" s="262"/>
    </row>
    <row r="3983" ht="15.75" customHeight="1">
      <c r="A3983" s="262"/>
      <c r="B3983" s="262"/>
      <c r="C3983" s="263"/>
      <c r="D3983" s="262"/>
    </row>
    <row r="3984" ht="15.75" customHeight="1">
      <c r="A3984" s="262"/>
      <c r="B3984" s="262"/>
      <c r="C3984" s="263"/>
      <c r="D3984" s="262"/>
    </row>
    <row r="3985" ht="15.75" customHeight="1">
      <c r="A3985" s="262"/>
      <c r="B3985" s="262"/>
      <c r="C3985" s="263"/>
      <c r="D3985" s="262"/>
    </row>
    <row r="3986" ht="15.75" customHeight="1">
      <c r="A3986" s="262"/>
      <c r="B3986" s="262"/>
      <c r="C3986" s="263"/>
      <c r="D3986" s="262"/>
    </row>
    <row r="3987" ht="15.75" customHeight="1">
      <c r="A3987" s="262"/>
      <c r="B3987" s="262"/>
      <c r="C3987" s="263"/>
      <c r="D3987" s="262"/>
    </row>
    <row r="3988" ht="15.75" customHeight="1">
      <c r="A3988" s="262"/>
      <c r="B3988" s="262"/>
      <c r="C3988" s="263"/>
      <c r="D3988" s="262"/>
    </row>
    <row r="3989" ht="15.75" customHeight="1">
      <c r="A3989" s="262"/>
      <c r="B3989" s="262"/>
      <c r="C3989" s="263"/>
      <c r="D3989" s="262"/>
    </row>
    <row r="3990" ht="15.75" customHeight="1">
      <c r="A3990" s="262"/>
      <c r="B3990" s="262"/>
      <c r="C3990" s="263"/>
      <c r="D3990" s="262"/>
    </row>
    <row r="3991" ht="15.75" customHeight="1">
      <c r="A3991" s="262"/>
      <c r="B3991" s="262"/>
      <c r="C3991" s="263"/>
      <c r="D3991" s="262"/>
    </row>
    <row r="3992" ht="15.75" customHeight="1">
      <c r="A3992" s="262"/>
      <c r="B3992" s="262"/>
      <c r="C3992" s="263"/>
      <c r="D3992" s="262"/>
    </row>
    <row r="3993" ht="15.75" customHeight="1">
      <c r="A3993" s="262"/>
      <c r="B3993" s="262"/>
      <c r="C3993" s="263"/>
      <c r="D3993" s="262"/>
    </row>
    <row r="3994" ht="15.75" customHeight="1">
      <c r="A3994" s="262"/>
      <c r="B3994" s="262"/>
      <c r="C3994" s="263"/>
      <c r="D3994" s="262"/>
    </row>
    <row r="3995" ht="15.75" customHeight="1">
      <c r="A3995" s="262"/>
      <c r="B3995" s="262"/>
      <c r="C3995" s="263"/>
      <c r="D3995" s="262"/>
    </row>
    <row r="3996" ht="15.75" customHeight="1">
      <c r="A3996" s="262"/>
      <c r="B3996" s="262"/>
      <c r="C3996" s="263"/>
      <c r="D3996" s="262"/>
    </row>
    <row r="3997" ht="15.75" customHeight="1">
      <c r="A3997" s="262"/>
      <c r="B3997" s="262"/>
      <c r="C3997" s="263"/>
      <c r="D3997" s="262"/>
    </row>
    <row r="3998" ht="15.75" customHeight="1">
      <c r="A3998" s="262"/>
      <c r="B3998" s="262"/>
      <c r="C3998" s="263"/>
      <c r="D3998" s="262"/>
    </row>
    <row r="3999" ht="15.75" customHeight="1">
      <c r="A3999" s="262"/>
      <c r="B3999" s="262"/>
      <c r="C3999" s="263"/>
      <c r="D3999" s="262"/>
    </row>
    <row r="4000" ht="15.75" customHeight="1">
      <c r="A4000" s="262"/>
      <c r="B4000" s="262"/>
      <c r="C4000" s="263"/>
      <c r="D4000" s="262"/>
    </row>
  </sheetData>
  <dataValidations>
    <dataValidation type="list" allowBlank="1" sqref="B1371:B4000">
      <formula1>'Tabela de ingredientes'!$A$5:$A$188</formula1>
    </dataValidation>
    <dataValidation type="list" allowBlank="1" sqref="B2:B1370">
      <formula1>#REF!</formula1>
    </dataValidation>
    <dataValidation type="custom" allowBlank="1" showDropDown="1" sqref="C2:C1370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71"/>
    <col customWidth="1" min="3" max="3" width="17.71"/>
    <col customWidth="1" min="4" max="4" width="42.43"/>
    <col customWidth="1" min="5" max="5" width="30.43"/>
    <col customWidth="1" min="6" max="6" width="34.57"/>
    <col customWidth="1" min="7" max="7" width="14.0"/>
    <col customWidth="1" min="8" max="8" width="47.86"/>
    <col customWidth="1" min="9" max="9" width="30.86"/>
  </cols>
  <sheetData>
    <row r="1">
      <c r="A1" s="115"/>
      <c r="B1" s="116"/>
      <c r="C1" s="116"/>
      <c r="D1" s="116"/>
      <c r="E1" s="116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>
      <c r="A2" s="115"/>
      <c r="B2" s="116"/>
      <c r="C2" s="116"/>
      <c r="D2" s="116"/>
      <c r="E2" s="116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</row>
    <row r="3">
      <c r="A3" s="115"/>
      <c r="B3" s="116"/>
      <c r="C3" s="116"/>
      <c r="D3" s="116"/>
      <c r="E3" s="116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>
      <c r="A4" s="115"/>
      <c r="B4" s="117" t="s">
        <v>227</v>
      </c>
      <c r="C4" s="117" t="s">
        <v>228</v>
      </c>
      <c r="D4" s="118" t="s">
        <v>229</v>
      </c>
      <c r="E4" s="119"/>
      <c r="F4" s="120" t="s">
        <v>230</v>
      </c>
      <c r="G4" s="121"/>
      <c r="H4" s="122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</row>
    <row r="5">
      <c r="A5" s="115"/>
      <c r="B5" s="123">
        <v>395.0</v>
      </c>
      <c r="C5" s="124">
        <v>8.0</v>
      </c>
      <c r="D5" s="125">
        <f>(1000*C5)/B5</f>
        <v>20.25316456</v>
      </c>
      <c r="E5" s="126"/>
      <c r="F5" s="127" t="s">
        <v>231</v>
      </c>
      <c r="G5" s="127" t="s">
        <v>233</v>
      </c>
      <c r="H5" s="127" t="s">
        <v>234</v>
      </c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</row>
    <row r="6" ht="15.75" customHeight="1">
      <c r="A6" s="115"/>
      <c r="B6" s="128"/>
      <c r="C6" s="128"/>
      <c r="D6" s="128"/>
      <c r="E6" s="128"/>
      <c r="F6" s="129" t="s">
        <v>235</v>
      </c>
      <c r="G6" s="129">
        <v>0.0</v>
      </c>
      <c r="H6" s="129" t="s">
        <v>236</v>
      </c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</row>
    <row r="7" ht="15.75" customHeight="1">
      <c r="A7" s="115"/>
      <c r="B7" s="115"/>
      <c r="C7" s="115"/>
      <c r="D7" s="115"/>
      <c r="E7" s="115"/>
      <c r="F7" s="129" t="s">
        <v>237</v>
      </c>
      <c r="G7" s="129">
        <v>100.0</v>
      </c>
      <c r="H7" s="129" t="s">
        <v>238</v>
      </c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</row>
    <row r="8" ht="15.75" customHeight="1">
      <c r="A8" s="115"/>
      <c r="B8" s="127" t="s">
        <v>239</v>
      </c>
      <c r="C8" s="127" t="s">
        <v>240</v>
      </c>
      <c r="D8" s="127" t="s">
        <v>241</v>
      </c>
      <c r="E8" s="115"/>
      <c r="F8" s="129" t="s">
        <v>14</v>
      </c>
      <c r="G8" s="129">
        <v>150.0</v>
      </c>
      <c r="H8" s="129" t="s">
        <v>242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</row>
    <row r="9" ht="15.75" customHeight="1">
      <c r="A9" s="115"/>
      <c r="B9" s="129" t="s">
        <v>243</v>
      </c>
      <c r="C9" s="129">
        <v>6.6</v>
      </c>
      <c r="D9" s="129" t="s">
        <v>244</v>
      </c>
      <c r="E9" s="115"/>
      <c r="F9" s="129" t="s">
        <v>245</v>
      </c>
      <c r="G9" s="129">
        <v>2000.0</v>
      </c>
      <c r="H9" s="129" t="s">
        <v>246</v>
      </c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</row>
    <row r="10" ht="15.75" customHeight="1">
      <c r="A10" s="115"/>
      <c r="B10" s="129" t="s">
        <v>247</v>
      </c>
      <c r="C10" s="129">
        <v>5.4</v>
      </c>
      <c r="D10" s="129" t="s">
        <v>248</v>
      </c>
      <c r="E10" s="115"/>
      <c r="F10" s="129" t="s">
        <v>249</v>
      </c>
      <c r="G10" s="129">
        <v>350.0</v>
      </c>
      <c r="H10" s="129" t="s">
        <v>250</v>
      </c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</row>
    <row r="11" ht="15.75" customHeight="1">
      <c r="A11" s="115"/>
      <c r="B11" s="129" t="s">
        <v>251</v>
      </c>
      <c r="C11" s="129">
        <f>C9+C10</f>
        <v>12</v>
      </c>
      <c r="D11" s="129" t="s">
        <v>252</v>
      </c>
      <c r="E11" s="115"/>
      <c r="F11" s="129" t="s">
        <v>253</v>
      </c>
      <c r="G11" s="129">
        <v>100.0</v>
      </c>
      <c r="H11" s="129" t="s">
        <v>254</v>
      </c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</row>
    <row r="12" ht="15.75" customHeight="1">
      <c r="A12" s="115"/>
      <c r="B12" s="129" t="s">
        <v>255</v>
      </c>
      <c r="C12" s="129">
        <v>40.0</v>
      </c>
      <c r="D12" s="129" t="s">
        <v>256</v>
      </c>
      <c r="E12" s="115"/>
      <c r="F12" s="129" t="s">
        <v>257</v>
      </c>
      <c r="G12" s="129">
        <v>200.0</v>
      </c>
      <c r="H12" s="129" t="s">
        <v>258</v>
      </c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</row>
    <row r="13" ht="15.75" customHeight="1">
      <c r="A13" s="115"/>
      <c r="B13" s="129" t="s">
        <v>259</v>
      </c>
      <c r="C13" s="129">
        <v>33.0</v>
      </c>
      <c r="D13" s="129" t="s">
        <v>260</v>
      </c>
      <c r="E13" s="115"/>
      <c r="F13" s="130" t="s">
        <v>261</v>
      </c>
      <c r="G13" s="131">
        <v>500.0</v>
      </c>
      <c r="H13" s="130" t="s">
        <v>262</v>
      </c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</row>
    <row r="14" ht="15.75" customHeight="1">
      <c r="A14" s="115"/>
      <c r="B14" s="129" t="s">
        <v>264</v>
      </c>
      <c r="C14" s="129">
        <f>(C13/100)*C15</f>
        <v>9.850746269</v>
      </c>
      <c r="D14" s="129" t="s">
        <v>265</v>
      </c>
      <c r="E14" s="115"/>
      <c r="F14" s="130" t="s">
        <v>266</v>
      </c>
      <c r="G14" s="131">
        <v>120.0</v>
      </c>
      <c r="H14" s="130" t="s">
        <v>267</v>
      </c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</row>
    <row r="15" ht="15.75" customHeight="1">
      <c r="A15" s="115"/>
      <c r="B15" s="129" t="s">
        <v>268</v>
      </c>
      <c r="C15" s="129">
        <f>C11 / ((1 - C12/100) * (1 - C13/100))</f>
        <v>29.85074627</v>
      </c>
      <c r="D15" s="129" t="s">
        <v>269</v>
      </c>
      <c r="E15" s="115"/>
      <c r="F15" s="132" t="s">
        <v>270</v>
      </c>
      <c r="G15" s="133">
        <f>SUM(G6:G14)</f>
        <v>3520</v>
      </c>
      <c r="H15" s="132" t="s">
        <v>271</v>
      </c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</row>
    <row r="16" ht="15.75" customHeight="1">
      <c r="A16" s="115"/>
      <c r="B16" s="134" t="s">
        <v>272</v>
      </c>
      <c r="C16" s="135">
        <f>C15-C14-C11</f>
        <v>8</v>
      </c>
      <c r="D16" s="134"/>
      <c r="E16" s="115"/>
      <c r="F16" s="132" t="s">
        <v>273</v>
      </c>
      <c r="G16" s="136">
        <v>2000.0</v>
      </c>
      <c r="H16" s="13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</row>
    <row r="17" ht="15.75" customHeight="1">
      <c r="A17" s="115"/>
      <c r="E17" s="115"/>
      <c r="F17" s="138" t="s">
        <v>274</v>
      </c>
      <c r="G17" s="136">
        <v>4000.0</v>
      </c>
      <c r="H17" s="137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</row>
    <row r="18" ht="15.75" customHeight="1">
      <c r="A18" s="115"/>
      <c r="B18" s="115"/>
      <c r="C18" s="115"/>
      <c r="D18" s="115"/>
      <c r="E18" s="115"/>
      <c r="F18" s="138" t="s">
        <v>275</v>
      </c>
      <c r="G18" s="139">
        <f>IFERROR(G15/G17, 0)</f>
        <v>0.88</v>
      </c>
      <c r="H18" s="132" t="s">
        <v>276</v>
      </c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</row>
    <row r="19" ht="15.75" customHeight="1">
      <c r="A19" s="115"/>
      <c r="B19" s="115"/>
      <c r="C19" s="115"/>
      <c r="D19" s="115"/>
      <c r="E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</row>
    <row r="20" ht="15.75" customHeight="1">
      <c r="A20" s="115"/>
      <c r="B20" s="140"/>
      <c r="C20" s="115"/>
      <c r="D20" s="115"/>
      <c r="E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</row>
    <row r="21" ht="15.75" customHeight="1">
      <c r="A21" s="115"/>
      <c r="B21" s="115"/>
      <c r="C21" s="141"/>
      <c r="D21" s="115"/>
      <c r="E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</row>
    <row r="22" ht="15.75" customHeight="1">
      <c r="A22" s="115"/>
      <c r="B22" s="115"/>
      <c r="C22" s="115"/>
      <c r="D22" s="115"/>
      <c r="E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</row>
    <row r="23" ht="15.75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</row>
    <row r="24" ht="15.75" customHeight="1">
      <c r="A24" s="115"/>
      <c r="B24" s="127" t="s">
        <v>277</v>
      </c>
      <c r="C24" s="142"/>
      <c r="D24" s="142"/>
      <c r="E24" s="127" t="s">
        <v>278</v>
      </c>
      <c r="F24" s="143">
        <v>500.0</v>
      </c>
      <c r="G24" s="127" t="s">
        <v>279</v>
      </c>
      <c r="H24" s="143">
        <v>1.5</v>
      </c>
      <c r="I24" s="142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</row>
    <row r="25" ht="15.75" customHeight="1">
      <c r="A25" s="115"/>
      <c r="B25" s="127" t="s">
        <v>280</v>
      </c>
      <c r="C25" s="127" t="s">
        <v>281</v>
      </c>
      <c r="D25" s="127" t="s">
        <v>282</v>
      </c>
      <c r="E25" s="127" t="s">
        <v>283</v>
      </c>
      <c r="F25" s="127" t="s">
        <v>118</v>
      </c>
      <c r="G25" s="127" t="s">
        <v>284</v>
      </c>
      <c r="H25" s="127" t="s">
        <v>285</v>
      </c>
      <c r="I25" s="127" t="s">
        <v>286</v>
      </c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</row>
    <row r="26" ht="15.75" customHeight="1">
      <c r="A26" s="115"/>
      <c r="B26" s="144" t="s">
        <v>25</v>
      </c>
      <c r="C26" s="145" t="str">
        <f>'Catálogo Geral'!B3 &amp; " receitas"</f>
        <v>60 receitas</v>
      </c>
      <c r="D26" s="129">
        <f>'Catálogo Geral'!G3</f>
        <v>20.88107476</v>
      </c>
      <c r="E26" s="129">
        <f t="shared" ref="E26:E33" si="1">D26</f>
        <v>20.88107476</v>
      </c>
      <c r="F26" s="129">
        <f t="shared" ref="F26:F34" si="2">E26*6%</f>
        <v>1.252864486</v>
      </c>
      <c r="G26" s="129">
        <f t="shared" ref="G26:G34" si="3">(E26*($F$24/1000))+$H$24</f>
        <v>11.94053738</v>
      </c>
      <c r="H26" s="129">
        <f t="shared" ref="H26:H34" si="4">G26+$C$10</f>
        <v>17.34053738</v>
      </c>
      <c r="I26" s="129">
        <f t="shared" ref="I26:I34" si="5">IFERROR(H26/((1-$C$12/100)*(1-$C$13/100)), 0)</f>
        <v>43.13566512</v>
      </c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</row>
    <row r="27" ht="15.75" customHeight="1">
      <c r="A27" s="115"/>
      <c r="B27" s="144" t="s">
        <v>83</v>
      </c>
      <c r="C27" s="145" t="str">
        <f>'Catálogo Geral'!B4 &amp; " receitas"</f>
        <v>10 receitas</v>
      </c>
      <c r="D27" s="129">
        <f>'Catálogo Geral'!G4</f>
        <v>14.62991477</v>
      </c>
      <c r="E27" s="129">
        <f t="shared" si="1"/>
        <v>14.62991477</v>
      </c>
      <c r="F27" s="129">
        <f t="shared" si="2"/>
        <v>0.8777948863</v>
      </c>
      <c r="G27" s="129">
        <f t="shared" si="3"/>
        <v>8.814957386</v>
      </c>
      <c r="H27" s="129">
        <f t="shared" si="4"/>
        <v>14.21495739</v>
      </c>
      <c r="I27" s="129">
        <f t="shared" si="5"/>
        <v>35.36059051</v>
      </c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</row>
    <row r="28" ht="15.75" customHeight="1">
      <c r="A28" s="115"/>
      <c r="B28" s="144" t="s">
        <v>86</v>
      </c>
      <c r="C28" s="145" t="str">
        <f>'Catálogo Geral'!B5 &amp; " receitas"</f>
        <v>26 receitas</v>
      </c>
      <c r="D28" s="129">
        <f>'Catálogo Geral'!G5</f>
        <v>8.532923503</v>
      </c>
      <c r="E28" s="129">
        <f t="shared" si="1"/>
        <v>8.532923503</v>
      </c>
      <c r="F28" s="129">
        <f t="shared" si="2"/>
        <v>0.5119754102</v>
      </c>
      <c r="G28" s="129">
        <f t="shared" si="3"/>
        <v>5.766461752</v>
      </c>
      <c r="H28" s="129">
        <f t="shared" si="4"/>
        <v>11.16646175</v>
      </c>
      <c r="I28" s="129">
        <f t="shared" si="5"/>
        <v>27.77726804</v>
      </c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</row>
    <row r="29" ht="15.75" customHeight="1">
      <c r="A29" s="115"/>
      <c r="B29" s="144" t="s">
        <v>89</v>
      </c>
      <c r="C29" s="145" t="str">
        <f>'Catálogo Geral'!B6 &amp; " receitas"</f>
        <v>3 receitas</v>
      </c>
      <c r="D29" s="129">
        <f>'Catálogo Geral'!G6</f>
        <v>20.94289784</v>
      </c>
      <c r="E29" s="129">
        <f t="shared" si="1"/>
        <v>20.94289784</v>
      </c>
      <c r="F29" s="129">
        <f t="shared" si="2"/>
        <v>1.256573871</v>
      </c>
      <c r="G29" s="129">
        <f t="shared" si="3"/>
        <v>11.97144892</v>
      </c>
      <c r="H29" s="129">
        <f t="shared" si="4"/>
        <v>17.37144892</v>
      </c>
      <c r="I29" s="129">
        <f t="shared" si="5"/>
        <v>43.21255951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</row>
    <row r="30" ht="15.75" customHeight="1">
      <c r="A30" s="115"/>
      <c r="B30" s="144" t="s">
        <v>95</v>
      </c>
      <c r="C30" s="145" t="str">
        <f>'Catálogo Geral'!B7 &amp; " receitas"</f>
        <v>9 receitas</v>
      </c>
      <c r="D30" s="129">
        <f>'Catálogo Geral'!G7</f>
        <v>25.78051932</v>
      </c>
      <c r="E30" s="129">
        <f t="shared" si="1"/>
        <v>25.78051932</v>
      </c>
      <c r="F30" s="129">
        <f t="shared" si="2"/>
        <v>1.546831159</v>
      </c>
      <c r="G30" s="129">
        <f t="shared" si="3"/>
        <v>14.39025966</v>
      </c>
      <c r="H30" s="129">
        <f t="shared" si="4"/>
        <v>19.79025966</v>
      </c>
      <c r="I30" s="129">
        <f t="shared" si="5"/>
        <v>49.22950164</v>
      </c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</row>
    <row r="31" ht="15.75" customHeight="1">
      <c r="A31" s="115"/>
      <c r="B31" s="144" t="s">
        <v>101</v>
      </c>
      <c r="C31" s="145" t="str">
        <f>'Catálogo Geral'!B8 &amp; " receitas"</f>
        <v>11 receitas</v>
      </c>
      <c r="D31" s="129">
        <f>'Catálogo Geral'!G8</f>
        <v>21.82753304</v>
      </c>
      <c r="E31" s="129">
        <f t="shared" si="1"/>
        <v>21.82753304</v>
      </c>
      <c r="F31" s="129">
        <f t="shared" si="2"/>
        <v>1.309651982</v>
      </c>
      <c r="G31" s="129">
        <f t="shared" si="3"/>
        <v>12.41376652</v>
      </c>
      <c r="H31" s="129">
        <f t="shared" si="4"/>
        <v>17.81376652</v>
      </c>
      <c r="I31" s="129">
        <f t="shared" si="5"/>
        <v>44.31285204</v>
      </c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</row>
    <row r="32" ht="15.75" customHeight="1">
      <c r="A32" s="115"/>
      <c r="B32" s="144" t="s">
        <v>107</v>
      </c>
      <c r="C32" s="145" t="str">
        <f>'Catálogo Geral'!B9 &amp; " receitas"</f>
        <v>12 receitas</v>
      </c>
      <c r="D32" s="129">
        <f>'Catálogo Geral'!G9</f>
        <v>27.92978226</v>
      </c>
      <c r="E32" s="129">
        <f t="shared" si="1"/>
        <v>27.92978226</v>
      </c>
      <c r="F32" s="129">
        <f t="shared" si="2"/>
        <v>1.675786936</v>
      </c>
      <c r="G32" s="129">
        <f t="shared" si="3"/>
        <v>15.46489113</v>
      </c>
      <c r="H32" s="129">
        <f t="shared" si="4"/>
        <v>20.86489113</v>
      </c>
      <c r="I32" s="129">
        <f t="shared" si="5"/>
        <v>51.90271425</v>
      </c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</row>
    <row r="33" ht="15.75" customHeight="1">
      <c r="A33" s="115"/>
      <c r="B33" s="144" t="s">
        <v>109</v>
      </c>
      <c r="C33" s="145" t="str">
        <f>'Catálogo Geral'!B10 &amp; " receitas"</f>
        <v>46 receitas</v>
      </c>
      <c r="D33" s="129">
        <f>'Catálogo Geral'!G10</f>
        <v>19.40791047</v>
      </c>
      <c r="E33" s="129">
        <f t="shared" si="1"/>
        <v>19.40791047</v>
      </c>
      <c r="F33" s="129">
        <f t="shared" si="2"/>
        <v>1.164474628</v>
      </c>
      <c r="G33" s="129">
        <f t="shared" si="3"/>
        <v>11.20395524</v>
      </c>
      <c r="H33" s="129">
        <f t="shared" si="4"/>
        <v>16.60395524</v>
      </c>
      <c r="I33" s="129">
        <f t="shared" si="5"/>
        <v>41.30337124</v>
      </c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</row>
    <row r="34" ht="15.75" customHeight="1">
      <c r="A34" s="115"/>
      <c r="B34" s="132" t="s">
        <v>300</v>
      </c>
      <c r="C34" s="137" t="str">
        <f>Balanceamento!A8</f>
        <v>Fior di Latte (Direto ao Ponto)</v>
      </c>
      <c r="D34" s="133">
        <f>Balanceamento!M24</f>
        <v>11.7037962</v>
      </c>
      <c r="E34" s="133">
        <f>Balanceamento!D34</f>
        <v>11.7037962</v>
      </c>
      <c r="F34" s="133">
        <f t="shared" si="2"/>
        <v>0.7022277722</v>
      </c>
      <c r="G34" s="133">
        <f t="shared" si="3"/>
        <v>7.351898102</v>
      </c>
      <c r="H34" s="133">
        <f t="shared" si="4"/>
        <v>12.7518981</v>
      </c>
      <c r="I34" s="133">
        <f t="shared" si="5"/>
        <v>31.72113956</v>
      </c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</row>
    <row r="35" ht="15.7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</row>
    <row r="36" ht="15.7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</row>
    <row r="37" ht="15.7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</row>
    <row r="38" ht="15.7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</row>
    <row r="39" ht="15.7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</row>
    <row r="40" ht="15.7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</row>
    <row r="41" ht="15.7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</row>
    <row r="42" ht="15.7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</row>
    <row r="43" ht="15.7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</row>
    <row r="44" ht="15.7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</row>
    <row r="45" ht="15.7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</row>
    <row r="46" ht="15.7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</row>
    <row r="47" ht="15.7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</row>
    <row r="48" ht="15.7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</row>
    <row r="49" ht="15.7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</row>
    <row r="50" ht="15.7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</row>
    <row r="51" ht="15.7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</row>
    <row r="52" ht="15.7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</row>
    <row r="53" ht="15.7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</row>
    <row r="54" ht="15.7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</row>
    <row r="55" ht="15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</row>
    <row r="56" ht="15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</row>
    <row r="57" ht="15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</row>
    <row r="58" ht="15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</row>
    <row r="59" ht="15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</row>
    <row r="60" ht="15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</row>
    <row r="61" ht="15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</row>
    <row r="62" ht="15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</row>
    <row r="63" ht="15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</row>
    <row r="64" ht="15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</row>
    <row r="65" ht="15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</row>
    <row r="66" ht="15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</row>
    <row r="67" ht="15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</row>
    <row r="68" ht="15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</row>
    <row r="69" ht="15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</row>
    <row r="70" ht="15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</row>
    <row r="71" ht="15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</row>
    <row r="72" ht="15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</row>
    <row r="73" ht="15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</row>
    <row r="74" ht="15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</row>
    <row r="75" ht="15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</row>
    <row r="76" ht="15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</row>
    <row r="77" ht="15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</row>
    <row r="78" ht="15.7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</row>
    <row r="79" ht="15.7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</row>
    <row r="80" ht="15.7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</row>
    <row r="81" ht="15.7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</row>
    <row r="82" ht="15.7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</row>
    <row r="83" ht="15.7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</row>
    <row r="84" ht="15.7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</row>
    <row r="85" ht="15.7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</row>
    <row r="86" ht="15.7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</row>
    <row r="87" ht="15.7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</row>
    <row r="88" ht="15.7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</row>
    <row r="89" ht="15.7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</row>
    <row r="90" ht="15.7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</row>
    <row r="91" ht="15.7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</row>
    <row r="92" ht="15.7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</row>
    <row r="93" ht="15.7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</row>
    <row r="94" ht="15.7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</row>
    <row r="95" ht="15.7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</row>
    <row r="96" ht="15.7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</row>
    <row r="97" ht="15.7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</row>
    <row r="98" ht="15.7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</row>
    <row r="99" ht="15.7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</row>
    <row r="100" ht="15.7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</row>
    <row r="101" ht="15.7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</row>
    <row r="102" ht="15.7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</row>
    <row r="103" ht="15.7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</row>
    <row r="104" ht="15.7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</row>
    <row r="105" ht="15.7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</row>
    <row r="106" ht="15.7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</row>
    <row r="107" ht="15.7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</row>
    <row r="108" ht="15.7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</row>
    <row r="109" ht="15.7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</row>
    <row r="110" ht="15.7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</row>
    <row r="111" ht="15.7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</row>
    <row r="112" ht="15.7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</row>
    <row r="113" ht="15.7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</row>
    <row r="114" ht="15.7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</row>
    <row r="115" ht="15.7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</row>
    <row r="116" ht="15.7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</row>
    <row r="117" ht="15.7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</row>
    <row r="118" ht="15.7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</row>
    <row r="119" ht="15.7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</row>
    <row r="120" ht="15.7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</row>
    <row r="121" ht="15.7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</row>
    <row r="122" ht="15.7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</row>
    <row r="123" ht="15.7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</row>
    <row r="124" ht="15.7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</row>
    <row r="125" ht="15.7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</row>
    <row r="126" ht="15.7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</row>
    <row r="127" ht="15.7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</row>
    <row r="128" ht="15.7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</row>
    <row r="129" ht="15.7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</row>
    <row r="130" ht="15.7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</row>
    <row r="131" ht="15.7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</row>
    <row r="132" ht="15.7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</row>
    <row r="133" ht="15.7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</row>
    <row r="134" ht="15.7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</row>
    <row r="135" ht="15.7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</row>
    <row r="136" ht="15.7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</row>
    <row r="137" ht="15.7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</row>
    <row r="138" ht="15.7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</row>
    <row r="139" ht="15.7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</row>
    <row r="140" ht="15.7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</row>
    <row r="141" ht="15.7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</row>
    <row r="142" ht="15.7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</row>
    <row r="143" ht="15.7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</row>
    <row r="144" ht="15.7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</row>
    <row r="145" ht="15.7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</row>
    <row r="146" ht="15.7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</row>
    <row r="147" ht="15.7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</row>
    <row r="148" ht="15.7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</row>
    <row r="149" ht="15.7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</row>
    <row r="150" ht="15.7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</row>
    <row r="151" ht="15.7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</row>
    <row r="152" ht="15.7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</row>
    <row r="153" ht="15.7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</row>
    <row r="154" ht="15.7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</row>
    <row r="155" ht="15.7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</row>
    <row r="156" ht="15.7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</row>
    <row r="157" ht="15.7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</row>
    <row r="158" ht="15.7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</row>
    <row r="159" ht="15.7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</row>
    <row r="160" ht="15.7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</row>
    <row r="161" ht="15.7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</row>
    <row r="162" ht="15.7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</row>
    <row r="163" ht="15.7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</row>
    <row r="164" ht="15.7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</row>
    <row r="165" ht="15.7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</row>
    <row r="166" ht="15.7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</row>
    <row r="167" ht="15.7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</row>
    <row r="168" ht="15.7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</row>
    <row r="169" ht="15.7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</row>
    <row r="170" ht="15.7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</row>
    <row r="171" ht="15.7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</row>
    <row r="172" ht="15.7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</row>
    <row r="173" ht="15.7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</row>
    <row r="174" ht="15.7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</row>
    <row r="175" ht="15.7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</row>
    <row r="176" ht="15.7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</row>
    <row r="177" ht="15.7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</row>
    <row r="178" ht="15.7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</row>
    <row r="179" ht="15.7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</row>
    <row r="180" ht="15.7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</row>
    <row r="181" ht="15.7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</row>
    <row r="182" ht="15.7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</row>
    <row r="183" ht="15.7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</row>
    <row r="184" ht="15.7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</row>
    <row r="185" ht="15.7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</row>
    <row r="186" ht="15.7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</row>
    <row r="187" ht="15.7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</row>
    <row r="188" ht="15.7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</row>
    <row r="189" ht="15.7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</row>
    <row r="190" ht="15.7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</row>
    <row r="191" ht="15.7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</row>
    <row r="192" ht="15.7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</row>
    <row r="193" ht="15.7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</row>
    <row r="194" ht="15.7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</row>
    <row r="195" ht="15.7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</row>
    <row r="196" ht="15.7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</row>
    <row r="197" ht="15.7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</row>
    <row r="198" ht="15.7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</row>
    <row r="199" ht="15.7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</row>
    <row r="200" ht="15.7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</row>
    <row r="201" ht="15.7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</row>
    <row r="202" ht="15.7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</row>
    <row r="203" ht="15.7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</row>
    <row r="204" ht="15.7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</row>
    <row r="205" ht="15.7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</row>
    <row r="206" ht="15.7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</row>
    <row r="207" ht="15.7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</row>
    <row r="208" ht="15.7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</row>
    <row r="209" ht="15.7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</row>
    <row r="210" ht="15.7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</row>
    <row r="211" ht="15.7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</row>
    <row r="212" ht="15.7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</row>
    <row r="213" ht="15.7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</row>
    <row r="214" ht="15.7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</row>
    <row r="215" ht="15.7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</row>
    <row r="216" ht="15.7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</row>
    <row r="217" ht="15.7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</row>
    <row r="218" ht="15.7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</row>
    <row r="219" ht="15.7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</row>
    <row r="220" ht="15.7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</row>
    <row r="221" ht="15.7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</row>
    <row r="222" ht="15.7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</row>
    <row r="223" ht="15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</row>
    <row r="224" ht="15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</row>
    <row r="225" ht="15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</row>
    <row r="226" ht="15.7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</row>
    <row r="227" ht="15.7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</row>
    <row r="228" ht="15.7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</row>
    <row r="229" ht="15.7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</row>
    <row r="230" ht="15.7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</row>
    <row r="231" ht="15.7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</row>
    <row r="232" ht="15.7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</row>
    <row r="233" ht="15.7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</row>
    <row r="234" ht="15.7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</row>
    <row r="235" ht="15.7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</row>
    <row r="236" ht="15.7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</row>
    <row r="237" ht="15.7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</row>
    <row r="238" ht="15.7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</row>
    <row r="239" ht="15.7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</row>
    <row r="240" ht="15.7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</row>
    <row r="241" ht="15.7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</row>
    <row r="242" ht="15.7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</row>
    <row r="243" ht="15.7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</row>
    <row r="244" ht="15.7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</row>
    <row r="245" ht="15.7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</row>
    <row r="246" ht="15.7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</row>
    <row r="247" ht="15.7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</row>
    <row r="248" ht="15.7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</row>
    <row r="249" ht="15.7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</row>
    <row r="250" ht="15.7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</row>
    <row r="251" ht="15.7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</row>
    <row r="252" ht="15.7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</row>
    <row r="253" ht="15.7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</row>
    <row r="254" ht="15.7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</row>
    <row r="255" ht="15.7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</row>
    <row r="256" ht="15.7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</row>
    <row r="257" ht="15.7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</row>
    <row r="258" ht="15.7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</row>
    <row r="259" ht="15.7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</row>
    <row r="260" ht="15.7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</row>
    <row r="261" ht="15.7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</row>
    <row r="262" ht="15.7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</row>
    <row r="263" ht="15.7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</row>
    <row r="264" ht="15.7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</row>
    <row r="265" ht="15.7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</row>
    <row r="266" ht="15.7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</row>
    <row r="267" ht="15.7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</row>
    <row r="268" ht="15.7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</row>
    <row r="269" ht="15.7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</row>
    <row r="270" ht="15.7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</row>
    <row r="271" ht="15.7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</row>
    <row r="272" ht="15.7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</row>
    <row r="273" ht="15.7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</row>
    <row r="274" ht="15.7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</row>
    <row r="275" ht="15.7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</row>
    <row r="276" ht="15.7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</row>
    <row r="277" ht="15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</row>
    <row r="278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</row>
    <row r="279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</row>
  </sheetData>
  <mergeCells count="1">
    <mergeCell ref="F4:H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/>
  </sheetViews>
  <sheetFormatPr customHeight="1" defaultColWidth="14.43" defaultRowHeight="15.0"/>
  <cols>
    <col customWidth="1" min="1" max="1" width="49.0"/>
    <col customWidth="1" min="2" max="2" width="23.86"/>
    <col customWidth="1" min="3" max="3" width="23.71"/>
    <col customWidth="1" min="4" max="4" width="26.43"/>
    <col customWidth="1" min="5" max="5" width="23.29"/>
    <col customWidth="1" min="6" max="6" width="21.86"/>
    <col customWidth="1" min="7" max="7" width="16.43"/>
    <col customWidth="1" min="8" max="8" width="29.57"/>
    <col customWidth="1" min="9" max="9" width="11.71"/>
    <col customWidth="1" min="10" max="11" width="8.71"/>
    <col customWidth="1" min="13" max="13" width="24.0"/>
    <col customWidth="1" min="14" max="14" width="9.86"/>
    <col customWidth="1" min="16" max="16" width="30.14"/>
  </cols>
  <sheetData>
    <row r="1" ht="100.5" customHeight="1">
      <c r="A1" s="155"/>
      <c r="B1" s="22"/>
      <c r="C1" s="22"/>
      <c r="D1" s="156"/>
      <c r="L1" s="157"/>
      <c r="M1" s="22"/>
      <c r="N1" s="22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8" t="str">
        <f>IF(1&gt;0, "A", "B")</f>
        <v>A</v>
      </c>
      <c r="AA1" s="158" t="s">
        <v>381</v>
      </c>
    </row>
    <row r="2">
      <c r="B2" s="22"/>
      <c r="C2" s="22"/>
      <c r="L2" s="157"/>
      <c r="M2" s="22"/>
      <c r="N2" s="22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 t="str">
        <f>IFERROR(__xludf.DUMMYFUNCTION("SORT(UNIQUE(FILTER('Tabela de ingredientes'!$A$5:$A$500, (REGEXMATCH(TO_TEXT('Tabela de ingredientes'!$A$5:$A$500), ""(?i)(variegato|brigadeiro|nutella|caramelo|cocada|goiabada|doce de leite|biscoff|croissant|pudim|torrone|paçoca|pasta|calda|amendoim|cast"&amp;"anha|avelã|pistache|nozes|amêndoa|biscoito|cereja)"")) * ('Tabela de ingredientes'!$A$5:$A$500&lt;&gt;""""))))"),"Amendoim Torrado")</f>
        <v>Amendoim Torrado</v>
      </c>
    </row>
    <row r="3">
      <c r="B3" s="22"/>
      <c r="C3" s="22"/>
      <c r="L3" s="157"/>
      <c r="M3" s="22"/>
      <c r="N3" s="22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 t="str">
        <f>IFERROR(__xludf.DUMMYFUNCTION("""COMPUTED_VALUE"""),"Biscoff")</f>
        <v>Biscoff</v>
      </c>
    </row>
    <row r="4">
      <c r="B4" s="112"/>
      <c r="C4" s="159" t="str">
        <f>IF(OR(B5="", B5="Automático"), B6, B5)</f>
        <v>Gelatos de Leite</v>
      </c>
      <c r="D4" s="112"/>
      <c r="E4" s="112"/>
      <c r="F4" s="112"/>
      <c r="G4" s="112"/>
      <c r="H4" s="112"/>
      <c r="I4" s="112"/>
      <c r="J4" s="112"/>
      <c r="K4" s="112"/>
      <c r="L4" s="157"/>
      <c r="M4" s="22"/>
      <c r="N4" s="22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 t="str">
        <f>IFERROR(__xludf.DUMMYFUNCTION("""COMPUTED_VALUE"""),"Biscoito Champanhe")</f>
        <v>Biscoito Champanhe</v>
      </c>
    </row>
    <row r="5">
      <c r="A5" s="160" t="s">
        <v>382</v>
      </c>
      <c r="B5" s="161" t="s">
        <v>383</v>
      </c>
      <c r="C5" s="160" t="s">
        <v>384</v>
      </c>
      <c r="D5" s="162">
        <f t="array" ref="D5">INDEX('Tabela de ingredientes'!$O$1:$W$30, SWITCH($C$4, "Gelatos de Leite", 7, "Sorbets", 10, "Gelatos de Leite com Fruta", 13, "Chocolate base água", 16, "Vegano", 19, "Alcoólicos", 22, "Zero", 25, "Gelatos Proteicos", 28, 7), COLUMN()-3)</f>
        <v>0.14</v>
      </c>
      <c r="E5" s="162">
        <f t="array" ref="E5">INDEX('Tabela de ingredientes'!$O$1:$W$30, SWITCH($C$4, "Gelatos de Leite", 7, "Sorbets", 10, "Gelatos de Leite com Fruta", 13, "Chocolate base água", 16, "Vegano", 19, "Alcoólicos", 22, "Zero", 25, "Gelatos Proteicos", 28, 7), COLUMN()-3)</f>
        <v>0.05</v>
      </c>
      <c r="F5" s="162">
        <f t="array" ref="F5">INDEX('Tabela de ingredientes'!$O$1:$W$30, SWITCH($C$4, "Gelatos de Leite", 7, "Sorbets", 10, "Gelatos de Leite com Fruta", 13, "Chocolate base água", 16, "Vegano", 19, "Alcoólicos", 22, "Zero", 25, "Gelatos Proteicos", 28, 7), COLUMN()-3)</f>
        <v>0.08</v>
      </c>
      <c r="G5" s="162">
        <f t="array" ref="G5">INDEX('Tabela de ingredientes'!$O$1:$W$30, SWITCH($C$4, "Gelatos de Leite", 7, "Sorbets", 10, "Gelatos de Leite com Fruta", 13, "Chocolate base água", 16, "Vegano", 19, "Alcoólicos", 22, "Zero", 25, "Gelatos Proteicos", 28, 7), COLUMN()-3)</f>
        <v>0</v>
      </c>
      <c r="H5" s="162">
        <f t="array" ref="H5">INDEX('Tabela de ingredientes'!$O$1:$W$30, SWITCH($C$4, "Gelatos de Leite", 7, "Sorbets", 10, "Gelatos de Leite com Fruta", 13, "Chocolate base água", 16, "Vegano", 19, "Alcoólicos", 22, "Zero", 25, "Gelatos Proteicos", 28, 7), COLUMN()-3)</f>
        <v>0.34</v>
      </c>
      <c r="I5" s="162">
        <f t="array" ref="I5">INDEX('Tabela de ingredientes'!$O$1:$W$30, SWITCH($C$4, "Gelatos de Leite", 7, "Sorbets", 10, "Gelatos de Leite com Fruta", 13, "Chocolate base água", 16, "Vegano", 19, "Alcoólicos", 22, "Zero", 25, "Gelatos Proteicos", 28, 7), COLUMN()-3)</f>
        <v>0.58</v>
      </c>
      <c r="J5" s="163">
        <f t="array" ref="J5">INDEX('Tabela de ingredientes'!$O$1:$W$30, SWITCH($C$4, "Gelatos de Leite", 7, "Sorbets", 10, "Gelatos de Leite com Fruta", 13, "Chocolate base água", 16, "Vegano", 19, "Alcoólicos", 22, "Zero", 25, "Gelatos Proteicos", 28, 7), COLUMN()-3)</f>
        <v>135</v>
      </c>
      <c r="K5" s="163">
        <f t="array" ref="K5">INDEX('Tabela de ingredientes'!$O$1:$W$30, SWITCH($C$4, "Gelatos de Leite", 7, "Sorbets", 10, "Gelatos de Leite com Fruta", 13, "Chocolate base água", 16, "Vegano", 19, "Alcoólicos", 22, "Zero", 25, "Gelatos Proteicos", 28, 7), COLUMN()-3)</f>
        <v>220</v>
      </c>
      <c r="L5" s="164">
        <f>IF($C$4="Gelatos Proteicos", 'Tabela de ingredientes'!$W$28, 0)</f>
        <v>0</v>
      </c>
      <c r="M5" s="22"/>
      <c r="N5" s="22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 t="str">
        <f>IFERROR(__xludf.DUMMYFUNCTION("""COMPUTED_VALUE"""),"Biscoito Chocolate")</f>
        <v>Biscoito Chocolate</v>
      </c>
    </row>
    <row r="6">
      <c r="A6" s="160" t="s">
        <v>387</v>
      </c>
      <c r="B6" s="159" t="str">
        <f>IFERROR(VLOOKUP(A8, Receitas!$A$2:$D$1390, 4, FALSE), "Gelatos de Leite")</f>
        <v>Gelatos de Leite</v>
      </c>
      <c r="C6" s="160" t="s">
        <v>388</v>
      </c>
      <c r="D6" s="162">
        <f t="array" ref="D6">INDEX('Tabela de ingredientes'!$O$1:$W$30, SWITCH($C$4, "Gelatos de Leite", 8, "Sorbets", 11, "Gelatos de Leite com Fruta", 14, "Chocolate base água", 17, "Vegano", 20, "Alcoólicos", 23, "Zero", 26, "Gelatos Proteicos", 29, 8), COLUMN()-3)</f>
        <v>0.22</v>
      </c>
      <c r="E6" s="162">
        <f t="array" ref="E6">INDEX('Tabela de ingredientes'!$O$1:$W$30, SWITCH($C$4, "Gelatos de Leite", 8, "Sorbets", 11, "Gelatos de Leite com Fruta", 14, "Chocolate base água", 17, "Vegano", 20, "Alcoólicos", 23, "Zero", 26, "Gelatos Proteicos", 29, 8), COLUMN()-3)</f>
        <v>0.12</v>
      </c>
      <c r="F6" s="162">
        <f t="array" ref="F6">INDEX('Tabela de ingredientes'!$O$1:$W$30, SWITCH($C$4, "Gelatos de Leite", 8, "Sorbets", 11, "Gelatos de Leite com Fruta", 14, "Chocolate base água", 17, "Vegano", 20, "Alcoólicos", 23, "Zero", 26, "Gelatos Proteicos", 29, 8), COLUMN()-3)</f>
        <v>0.12</v>
      </c>
      <c r="G6" s="162">
        <f t="array" ref="G6">INDEX('Tabela de ingredientes'!$O$1:$W$30, SWITCH($C$4, "Gelatos de Leite", 8, "Sorbets", 11, "Gelatos de Leite com Fruta", 14, "Chocolate base água", 17, "Vegano", 20, "Alcoólicos", 23, "Zero", 26, "Gelatos Proteicos", 29, 8), COLUMN()-3)</f>
        <v>0.08</v>
      </c>
      <c r="H6" s="162">
        <f t="array" ref="H6">INDEX('Tabela de ingredientes'!$O$1:$W$30, SWITCH($C$4, "Gelatos de Leite", 8, "Sorbets", 11, "Gelatos de Leite com Fruta", 14, "Chocolate base água", 17, "Vegano", 20, "Alcoólicos", 23, "Zero", 26, "Gelatos Proteicos", 29, 8), COLUMN()-3)</f>
        <v>0.42</v>
      </c>
      <c r="I6" s="162">
        <f t="array" ref="I6">INDEX('Tabela de ingredientes'!$O$1:$W$30, SWITCH($C$4, "Gelatos de Leite", 8, "Sorbets", 11, "Gelatos de Leite com Fruta", 14, "Chocolate base água", 17, "Vegano", 20, "Alcoólicos", 23, "Zero", 26, "Gelatos Proteicos", 29, 8), COLUMN()-3)</f>
        <v>0.66</v>
      </c>
      <c r="J6" s="163">
        <f t="array" ref="J6">INDEX('Tabela de ingredientes'!$O$1:$W$30, SWITCH($C$4, "Gelatos de Leite", 8, "Sorbets", 11, "Gelatos de Leite com Fruta", 14, "Chocolate base água", 17, "Vegano", 20, "Alcoólicos", 23, "Zero", 26, "Gelatos Proteicos", 29, 8), COLUMN()-3)</f>
        <v>200</v>
      </c>
      <c r="K6" s="163">
        <f t="array" ref="K6">INDEX('Tabela de ingredientes'!$O$1:$W$30, SWITCH($C$4, "Gelatos de Leite", 8, "Sorbets", 11, "Gelatos de Leite com Fruta", 14, "Chocolate base água", 17, "Vegano", 20, "Alcoólicos", 23, "Zero", 26, "Gelatos Proteicos", 29, 8), COLUMN()-3)</f>
        <v>300</v>
      </c>
      <c r="L6" s="164">
        <f>IF($C$4="Gelatos Proteicos", 'Tabela de ingredientes'!$W$29, 1)</f>
        <v>1</v>
      </c>
      <c r="M6" s="22"/>
      <c r="N6" s="22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 t="str">
        <f>IFERROR(__xludf.DUMMYFUNCTION("""COMPUTED_VALUE"""),"Brigadeiro")</f>
        <v>Brigadeiro</v>
      </c>
    </row>
    <row r="7" ht="60.0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57"/>
      <c r="P7" s="24"/>
      <c r="Q7" s="24"/>
      <c r="R7" s="24"/>
      <c r="S7" s="165" t="str">
        <f>IFS(AND(Q15&gt;=15, Q18&gt;=6, Q21&gt;=600), 'Tabela de ingredientes'!$AA$13, AND(Q15&gt;=15, Q18&gt;=6, Q21&lt;600), 'Tabela de ingredientes'!$AA$10, AND(Q15&gt;=15, Q18&lt;6, Q21&gt;=600), 'Tabela de ingredientes'!$AA$11, AND(Q15&lt;15, Q18&gt;=6, Q21&gt;=600), 'Tabela de ingredientes'!$AA$12, AND(Q15&gt;=15, Q18&lt;6, Q21&lt;600), 'Tabela de ingredientes'!$AA$7, AND(Q15&lt;15, Q18&gt;=6, Q21&lt;600), 'Tabela de ingredientes'!$AA$8, AND(Q15&lt;15, Q18&lt;6, Q21&gt;=600), 'Tabela de ingredientes'!$AA$9, 1, "")</f>
        <v/>
      </c>
      <c r="T7" s="157"/>
      <c r="U7" s="157"/>
      <c r="V7" s="157"/>
      <c r="W7" s="157"/>
      <c r="X7" s="157"/>
      <c r="Y7" s="157"/>
      <c r="Z7" s="157"/>
      <c r="AA7" s="157" t="str">
        <f>IFERROR(__xludf.DUMMYFUNCTION("""COMPUTED_VALUE"""),"Cereja")</f>
        <v>Cereja</v>
      </c>
    </row>
    <row r="8">
      <c r="A8" s="166" t="s">
        <v>50</v>
      </c>
      <c r="B8" s="166" t="s">
        <v>390</v>
      </c>
      <c r="C8" s="167">
        <v>3000.0</v>
      </c>
      <c r="D8" s="22"/>
      <c r="E8" s="22"/>
      <c r="F8" s="22"/>
      <c r="G8" s="22"/>
      <c r="H8" s="22"/>
      <c r="I8" s="22"/>
      <c r="J8" s="168"/>
      <c r="K8" s="168"/>
      <c r="L8" s="157"/>
      <c r="M8" s="22"/>
      <c r="N8" s="22"/>
      <c r="O8" s="169"/>
      <c r="P8" s="170" t="s">
        <v>391</v>
      </c>
      <c r="Q8" s="121"/>
      <c r="R8" s="121"/>
      <c r="S8" s="122"/>
      <c r="T8" s="169"/>
      <c r="U8" s="169"/>
      <c r="V8" s="169"/>
      <c r="W8" s="169"/>
      <c r="X8" s="169"/>
      <c r="Y8" s="169"/>
      <c r="Z8" s="169"/>
      <c r="AA8" s="169" t="str">
        <f>IFERROR(__xludf.DUMMYFUNCTION("""COMPUTED_VALUE"""),"Cereja Em Calda")</f>
        <v>Cereja Em Calda</v>
      </c>
    </row>
    <row r="9">
      <c r="A9" s="171" t="s">
        <v>3</v>
      </c>
      <c r="B9" s="172" t="s">
        <v>26</v>
      </c>
      <c r="C9" s="173" t="s">
        <v>393</v>
      </c>
      <c r="D9" s="174" t="s">
        <v>8</v>
      </c>
      <c r="E9" s="174" t="s">
        <v>9</v>
      </c>
      <c r="F9" s="174" t="s">
        <v>10</v>
      </c>
      <c r="G9" s="174" t="s">
        <v>12</v>
      </c>
      <c r="H9" s="174" t="s">
        <v>13</v>
      </c>
      <c r="I9" s="174" t="s">
        <v>14</v>
      </c>
      <c r="J9" s="175" t="s">
        <v>16</v>
      </c>
      <c r="K9" s="175" t="s">
        <v>17</v>
      </c>
      <c r="L9" s="176" t="s">
        <v>19</v>
      </c>
      <c r="M9" s="174" t="s">
        <v>5</v>
      </c>
      <c r="N9" s="174" t="s">
        <v>394</v>
      </c>
      <c r="O9" s="177"/>
      <c r="P9" s="170" t="s">
        <v>395</v>
      </c>
      <c r="Q9" s="121"/>
      <c r="R9" s="121"/>
      <c r="S9" s="122"/>
      <c r="T9" s="177"/>
      <c r="U9" s="177"/>
      <c r="V9" s="177"/>
      <c r="W9" s="177"/>
      <c r="X9" s="177"/>
      <c r="Y9" s="177"/>
      <c r="Z9" s="177"/>
      <c r="AA9" s="177" t="str">
        <f>IFERROR(__xludf.DUMMYFUNCTION("""COMPUTED_VALUE"""),"Creme de leite de castanha 20%")</f>
        <v>Creme de leite de castanha 20%</v>
      </c>
    </row>
    <row r="10">
      <c r="A10" s="178" t="str">
        <f>IFERROR(__xludf.DUMMYFUNCTION("IFERROR(FILTER(Receitas!$B$2:$C$3500, Receitas!$A$2:$A$3500=$A8), """")"),"Leite Integral")</f>
        <v>Leite Integral</v>
      </c>
      <c r="B10" s="179">
        <f>IFERROR(__xludf.DUMMYFUNCTION("""COMPUTED_VALUE"""),620.0)</f>
        <v>620</v>
      </c>
      <c r="C10" s="179">
        <f t="shared" ref="C10:C23" si="1">IF(B10="","",ROUND(B10*($C$8/$B$24), 1))</f>
        <v>1858.1</v>
      </c>
      <c r="D10" s="180">
        <f>IFERROR((VLOOKUP($A10,'Tabela de ingredientes'!$A$5:$L$500,MATCH(D$9,'Tabela de ingredientes'!$A$4:$L$4,0),0)*$B10),"")</f>
        <v>0</v>
      </c>
      <c r="E10" s="180">
        <f>IFERROR((VLOOKUP($A10,'Tabela de ingredientes'!$A$5:$L$500,MATCH(E$9,'Tabela de ingredientes'!$A$4:$L$4,0),0)*$B10),"")</f>
        <v>21.7</v>
      </c>
      <c r="F10" s="180">
        <f>IFERROR((VLOOKUP($A10,'Tabela de ingredientes'!$A$5:$L$500,MATCH(F$9,'Tabela de ingredientes'!$A$4:$L$4,0),0)*$B10),"")</f>
        <v>55.8</v>
      </c>
      <c r="G10" s="180">
        <f>IFERROR((VLOOKUP($A10,'Tabela de ingredientes'!$A$5:$L$500,MATCH(G$9,'Tabela de ingredientes'!$A$4:$L$4,0),0)*$B10),"")</f>
        <v>0</v>
      </c>
      <c r="H10" s="180">
        <f>IFERROR((VLOOKUP($A10,'Tabela de ingredientes'!$A$5:$L$500,MATCH(H$9,'Tabela de ingredientes'!$A$4:$L$4,0),0)*$B10),"")</f>
        <v>77.5</v>
      </c>
      <c r="I10" s="180">
        <f>IFERROR((VLOOKUP($A10,'Tabela de ingredientes'!$A$5:$L$500,MATCH(I$9,'Tabela de ingredientes'!$A$4:$L$4,0),0)*$B10),"")</f>
        <v>542.5</v>
      </c>
      <c r="J10" s="181">
        <f>IFERROR((VLOOKUP($A10,'Tabela de ingredientes'!$A$5:$L$500,MATCH(J$9,'Tabela de ingredientes'!$A$4:$L$4,0),0)*$B10),"")</f>
        <v>4.836</v>
      </c>
      <c r="K10" s="181">
        <f>IFERROR((VLOOKUP($A10,'Tabela de ingredientes'!$A$5:$L$500,MATCH(K$9,'Tabela de ingredientes'!$A$4:$L$4,0),0)*$B10),"")</f>
        <v>24.8</v>
      </c>
      <c r="L10" s="182">
        <f>IFERROR((VLOOKUP($A10,'Tabela de ingredientes'!$A$5:$L$500,MATCH(L$9,'Tabela de ingredientes'!$A$4:$L$4,0),0)*$B10),"")</f>
        <v>21.7</v>
      </c>
      <c r="M10" s="183">
        <f>IFERROR((VLOOKUP($A10,'Tabela de ingredientes'!$A$5:$L$500,MATCH(M$9,'Tabela de ingredientes'!$A$4:$L$4,0),0)*$B10/1000),"")</f>
        <v>2.852</v>
      </c>
      <c r="N10" s="184">
        <f t="shared" ref="N10:N23" si="2">IFERROR((M10*1000/$B$24)/$M$24, 0)</f>
        <v>0.2434381802</v>
      </c>
      <c r="O10" s="177"/>
      <c r="P10" s="170" t="s">
        <v>409</v>
      </c>
      <c r="Q10" s="121"/>
      <c r="R10" s="121"/>
      <c r="S10" s="122"/>
      <c r="T10" s="177"/>
      <c r="U10" s="177"/>
      <c r="V10" s="177"/>
      <c r="W10" s="177"/>
      <c r="X10" s="177"/>
      <c r="Y10" s="177"/>
      <c r="Z10" s="177"/>
      <c r="AA10" s="177" t="str">
        <f>IFERROR(__xludf.DUMMYFUNCTION("""COMPUTED_VALUE"""),"Croissant")</f>
        <v>Croissant</v>
      </c>
    </row>
    <row r="11">
      <c r="A11" s="178" t="str">
        <f>IFERROR(__xludf.DUMMYFUNCTION("""COMPUTED_VALUE"""),"Creme De Leite Fresco 35%")</f>
        <v>Creme De Leite Fresco 35%</v>
      </c>
      <c r="B11" s="179">
        <f>IFERROR(__xludf.DUMMYFUNCTION("""COMPUTED_VALUE"""),150.0)</f>
        <v>150</v>
      </c>
      <c r="C11" s="179">
        <f t="shared" si="1"/>
        <v>449.6</v>
      </c>
      <c r="D11" s="180">
        <f>IFERROR((VLOOKUP($A11,'Tabela de ingredientes'!$A$5:$L$500,MATCH(D$9,'Tabela de ingredientes'!$A$4:$L$4,0),0)*$B11),"")</f>
        <v>0</v>
      </c>
      <c r="E11" s="180">
        <f>IFERROR((VLOOKUP($A11,'Tabela de ingredientes'!$A$5:$L$500,MATCH(E$9,'Tabela de ingredientes'!$A$4:$L$4,0),0)*$B11),"")</f>
        <v>52.5</v>
      </c>
      <c r="F11" s="180">
        <f>IFERROR((VLOOKUP($A11,'Tabela de ingredientes'!$A$5:$L$500,MATCH(F$9,'Tabela de ingredientes'!$A$4:$L$4,0),0)*$B11),"")</f>
        <v>9</v>
      </c>
      <c r="G11" s="180">
        <f>IFERROR((VLOOKUP($A11,'Tabela de ingredientes'!$A$5:$L$500,MATCH(G$9,'Tabela de ingredientes'!$A$4:$L$4,0),0)*$B11),"")</f>
        <v>0</v>
      </c>
      <c r="H11" s="180">
        <f>IFERROR((VLOOKUP($A11,'Tabela de ingredientes'!$A$5:$L$500,MATCH(H$9,'Tabela de ingredientes'!$A$4:$L$4,0),0)*$B11),"")</f>
        <v>61.5</v>
      </c>
      <c r="I11" s="180">
        <f>IFERROR((VLOOKUP($A11,'Tabela de ingredientes'!$A$5:$L$500,MATCH(I$9,'Tabela de ingredientes'!$A$4:$L$4,0),0)*$B11),"")</f>
        <v>88.5</v>
      </c>
      <c r="J11" s="181">
        <f>IFERROR((VLOOKUP($A11,'Tabela de ingredientes'!$A$5:$L$500,MATCH(J$9,'Tabela de ingredientes'!$A$4:$L$4,0),0)*$B11),"")</f>
        <v>0.81</v>
      </c>
      <c r="K11" s="181">
        <f>IFERROR((VLOOKUP($A11,'Tabela de ingredientes'!$A$5:$L$500,MATCH(K$9,'Tabela de ingredientes'!$A$4:$L$4,0),0)*$B11),"")</f>
        <v>4.5</v>
      </c>
      <c r="L11" s="182">
        <f>IFERROR((VLOOKUP($A11,'Tabela de ingredientes'!$A$5:$L$500,MATCH(L$9,'Tabela de ingredientes'!$A$4:$L$4,0),0)*$B11),"")</f>
        <v>3.6</v>
      </c>
      <c r="M11" s="183">
        <f>IFERROR((VLOOKUP($A11,'Tabela de ingredientes'!$A$5:$L$500,MATCH(M$9,'Tabela de ingredientes'!$A$4:$L$4,0),0)*$B11/1000),"")</f>
        <v>2.85</v>
      </c>
      <c r="N11" s="184">
        <f t="shared" si="2"/>
        <v>0.2432674662</v>
      </c>
      <c r="O11" s="177"/>
      <c r="P11" s="185"/>
      <c r="Q11" s="186" t="s">
        <v>411</v>
      </c>
      <c r="R11" s="186" t="s">
        <v>412</v>
      </c>
      <c r="S11" s="186" t="s">
        <v>413</v>
      </c>
      <c r="T11" s="177"/>
      <c r="U11" s="177"/>
      <c r="V11" s="177"/>
      <c r="W11" s="177"/>
      <c r="X11" s="177"/>
      <c r="Y11" s="177"/>
      <c r="Z11" s="177"/>
      <c r="AA11" s="177" t="str">
        <f>IFERROR(__xludf.DUMMYFUNCTION("""COMPUTED_VALUE"""),"Doce De Leite - Lata")</f>
        <v>Doce De Leite - Lata</v>
      </c>
    </row>
    <row r="12">
      <c r="A12" s="178" t="str">
        <f>IFERROR(__xludf.DUMMYFUNCTION("""COMPUTED_VALUE"""),"Leite Em Pó Desnatado")</f>
        <v>Leite Em Pó Desnatado</v>
      </c>
      <c r="B12" s="179">
        <f>IFERROR(__xludf.DUMMYFUNCTION("""COMPUTED_VALUE"""),45.0)</f>
        <v>45</v>
      </c>
      <c r="C12" s="179">
        <f t="shared" si="1"/>
        <v>134.9</v>
      </c>
      <c r="D12" s="180">
        <f>IFERROR((VLOOKUP($A12,'Tabela de ingredientes'!$A$5:$L$500,MATCH(D$9,'Tabela de ingredientes'!$A$4:$L$4,0),0)*$B12),"")</f>
        <v>0</v>
      </c>
      <c r="E12" s="180">
        <f>IFERROR((VLOOKUP($A12,'Tabela de ingredientes'!$A$5:$L$500,MATCH(E$9,'Tabela de ingredientes'!$A$4:$L$4,0),0)*$B12),"")</f>
        <v>0</v>
      </c>
      <c r="F12" s="180">
        <f>IFERROR((VLOOKUP($A12,'Tabela de ingredientes'!$A$5:$L$500,MATCH(F$9,'Tabela de ingredientes'!$A$4:$L$4,0),0)*$B12),"")</f>
        <v>43.65</v>
      </c>
      <c r="G12" s="180">
        <f>IFERROR((VLOOKUP($A12,'Tabela de ingredientes'!$A$5:$L$500,MATCH(G$9,'Tabela de ingredientes'!$A$4:$L$4,0),0)*$B12),"")</f>
        <v>0</v>
      </c>
      <c r="H12" s="180">
        <f>IFERROR((VLOOKUP($A12,'Tabela de ingredientes'!$A$5:$L$500,MATCH(H$9,'Tabela de ingredientes'!$A$4:$L$4,0),0)*$B12),"")</f>
        <v>43.65</v>
      </c>
      <c r="I12" s="180">
        <f>IFERROR((VLOOKUP($A12,'Tabela de ingredientes'!$A$5:$L$500,MATCH(I$9,'Tabela de ingredientes'!$A$4:$L$4,0),0)*$B12),"")</f>
        <v>1.35</v>
      </c>
      <c r="J12" s="181">
        <f>IFERROR((VLOOKUP($A12,'Tabela de ingredientes'!$A$5:$L$500,MATCH(J$9,'Tabela de ingredientes'!$A$4:$L$4,0),0)*$B12),"")</f>
        <v>3.6</v>
      </c>
      <c r="K12" s="181">
        <f>IFERROR((VLOOKUP($A12,'Tabela de ingredientes'!$A$5:$L$500,MATCH(K$9,'Tabela de ingredientes'!$A$4:$L$4,0),0)*$B12),"")</f>
        <v>22.5</v>
      </c>
      <c r="L12" s="182">
        <f>IFERROR((VLOOKUP($A12,'Tabela de ingredientes'!$A$5:$L$500,MATCH(L$9,'Tabela de ingredientes'!$A$4:$L$4,0),0)*$B12),"")</f>
        <v>16.2</v>
      </c>
      <c r="M12" s="183">
        <f>IFERROR((VLOOKUP($A12,'Tabela de ingredientes'!$A$5:$L$500,MATCH(M$9,'Tabela de ingredientes'!$A$4:$L$4,0),0)*$B12/1000),"")</f>
        <v>2.43</v>
      </c>
      <c r="N12" s="184">
        <f t="shared" si="2"/>
        <v>0.2074175238</v>
      </c>
      <c r="O12" s="177"/>
      <c r="P12" s="187" t="s">
        <v>416</v>
      </c>
      <c r="Q12" s="188">
        <f>IFERROR(__xludf.DUMMYFUNCTION("ARRAYFORMULA(IFERROR(ROUND(MAX(0, (Q13*4) + (Q16*4) + (Q17*9) + (Q20*2) - (SUMPRODUCT($D$10:$D$23, --REGEXMATCH(TO_TEXT($A$10:$A$23), ""^(Eritritol|MIX ZERO)"")) / $B$24 * 100 * 4) - (SUMPRODUCT($D$10:$D$23, --REGEXMATCH(TO_TEXT($A$10:$A$23), ""^(Maltitol"&amp;"|Xylitol)"")) / $B$24 * 100 * 1.6) + (SUMPRODUCT($B$10:$B$23, IF(REGEXMATCH(TO_TEXT($A$10:$A$23), ""^Álcool 96""), 6.7, IF(REGEXMATCH(TO_TEXT($A$10:$A$23), ""^(Cachaça|Whisky|Rum|Cointreau)""), 2.24, IF(REGEXMATCH(TO_TEXT($A$10:$A$23), ""^Licor""), 1.1, I"&amp;"F(REGEXMATCH(TO_TEXT($A$10:$A$23), ""^Vinho""), 0.7, 0))))) / $B$24 * 100)), 0), 0))"),178.0)</f>
        <v>178</v>
      </c>
      <c r="R12" s="188">
        <f>IFERROR(ROUND(Q12*0.6, 0), 0)</f>
        <v>107</v>
      </c>
      <c r="S12" s="188" t="str">
        <f>IFERROR(ROUND((R12/2000)*100, 0)&amp;"%", "0%")</f>
        <v>5%</v>
      </c>
      <c r="T12" s="177"/>
      <c r="U12" s="177"/>
      <c r="V12" s="177"/>
      <c r="W12" s="177"/>
      <c r="X12" s="177"/>
      <c r="Y12" s="177"/>
      <c r="Z12" s="177"/>
      <c r="AA12" s="177" t="str">
        <f>IFERROR(__xludf.DUMMYFUNCTION("""COMPUTED_VALUE"""),"Doce de leite Rocca")</f>
        <v>Doce de leite Rocca</v>
      </c>
    </row>
    <row r="13">
      <c r="A13" s="178" t="str">
        <f>IFERROR(__xludf.DUMMYFUNCTION("""COMPUTED_VALUE"""),"Açúcar Sacarose")</f>
        <v>Açúcar Sacarose</v>
      </c>
      <c r="B13" s="179">
        <f>IFERROR(__xludf.DUMMYFUNCTION("""COMPUTED_VALUE"""),120.0)</f>
        <v>120</v>
      </c>
      <c r="C13" s="179">
        <f t="shared" si="1"/>
        <v>359.6</v>
      </c>
      <c r="D13" s="180">
        <f>IFERROR((VLOOKUP($A13,'Tabela de ingredientes'!$A$5:$L$500,MATCH(D$9,'Tabela de ingredientes'!$A$4:$L$4,0),0)*$B13),"")</f>
        <v>120</v>
      </c>
      <c r="E13" s="180">
        <f>IFERROR((VLOOKUP($A13,'Tabela de ingredientes'!$A$5:$L$500,MATCH(E$9,'Tabela de ingredientes'!$A$4:$L$4,0),0)*$B13),"")</f>
        <v>0</v>
      </c>
      <c r="F13" s="180">
        <f>IFERROR((VLOOKUP($A13,'Tabela de ingredientes'!$A$5:$L$500,MATCH(F$9,'Tabela de ingredientes'!$A$4:$L$4,0),0)*$B13),"")</f>
        <v>0</v>
      </c>
      <c r="G13" s="180">
        <f>IFERROR((VLOOKUP($A13,'Tabela de ingredientes'!$A$5:$L$500,MATCH(G$9,'Tabela de ingredientes'!$A$4:$L$4,0),0)*$B13),"")</f>
        <v>0</v>
      </c>
      <c r="H13" s="180">
        <f>IFERROR((VLOOKUP($A13,'Tabela de ingredientes'!$A$5:$L$500,MATCH(H$9,'Tabela de ingredientes'!$A$4:$L$4,0),0)*$B13),"")</f>
        <v>120</v>
      </c>
      <c r="I13" s="180">
        <f>IFERROR((VLOOKUP($A13,'Tabela de ingredientes'!$A$5:$L$500,MATCH(I$9,'Tabela de ingredientes'!$A$4:$L$4,0),0)*$B13),"")</f>
        <v>0</v>
      </c>
      <c r="J13" s="181">
        <f>IFERROR((VLOOKUP($A13,'Tabela de ingredientes'!$A$5:$L$500,MATCH(J$9,'Tabela de ingredientes'!$A$4:$L$4,0),0)*$B13),"")</f>
        <v>120</v>
      </c>
      <c r="K13" s="181">
        <f>IFERROR((VLOOKUP($A13,'Tabela de ingredientes'!$A$5:$L$500,MATCH(K$9,'Tabela de ingredientes'!$A$4:$L$4,0),0)*$B13),"")</f>
        <v>120</v>
      </c>
      <c r="L13" s="182">
        <f>IFERROR((VLOOKUP($A13,'Tabela de ingredientes'!$A$5:$L$500,MATCH(L$9,'Tabela de ingredientes'!$A$4:$L$4,0),0)*$B13),"")</f>
        <v>0</v>
      </c>
      <c r="M13" s="183">
        <f>IFERROR((VLOOKUP($A13,'Tabela de ingredientes'!$A$5:$L$500,MATCH(M$9,'Tabela de ingredientes'!$A$4:$L$4,0),0)*$B13/1000),"")</f>
        <v>0.48</v>
      </c>
      <c r="N13" s="184">
        <f t="shared" si="2"/>
        <v>0.04097136272</v>
      </c>
      <c r="O13" s="177"/>
      <c r="P13" s="187" t="s">
        <v>418</v>
      </c>
      <c r="Q13" s="188">
        <f>IFERROR(__xludf.DUMMYFUNCTION("ARRAYFORMULA(IFERROR(ROUND(Q14 + (SUMPRODUCT($D$10:$D$23, --REGEXMATCH(TO_TEXT($A$10:$A$23), ""^(Eritritol|Maltitol|Xylitol|MIX ZERO|IMO 900)"")) / $B$24 * 100) + MAX(0, ($G$25*100) - Q20), 1), 0))"),23.6)</f>
        <v>23.6</v>
      </c>
      <c r="R13" s="188">
        <f t="shared" ref="R13:R18" si="3">IFERROR(ROUND(Q13*0.6, 1), 0)</f>
        <v>14.2</v>
      </c>
      <c r="S13" s="188" t="str">
        <f>IFERROR(ROUND((R13/300)*100, 0)&amp;"%", "0%")</f>
        <v>5%</v>
      </c>
      <c r="T13" s="177"/>
      <c r="U13" s="177"/>
      <c r="V13" s="177"/>
      <c r="W13" s="177"/>
      <c r="X13" s="177"/>
      <c r="Y13" s="177"/>
      <c r="Z13" s="177"/>
      <c r="AA13" s="177" t="str">
        <f>IFERROR(__xludf.DUMMYFUNCTION("""COMPUTED_VALUE"""),"Goiabada")</f>
        <v>Goiabada</v>
      </c>
    </row>
    <row r="14">
      <c r="A14" s="178" t="str">
        <f>IFERROR(__xludf.DUMMYFUNCTION("""COMPUTED_VALUE"""),"Açúcar - Dextrose")</f>
        <v>Açúcar - Dextrose</v>
      </c>
      <c r="B14" s="179">
        <f>IFERROR(__xludf.DUMMYFUNCTION("""COMPUTED_VALUE"""),30.0)</f>
        <v>30</v>
      </c>
      <c r="C14" s="179">
        <f t="shared" si="1"/>
        <v>89.9</v>
      </c>
      <c r="D14" s="180">
        <f>IFERROR((VLOOKUP($A14,'Tabela de ingredientes'!$A$5:$L$500,MATCH(D$9,'Tabela de ingredientes'!$A$4:$L$4,0),0)*$B14),"")</f>
        <v>27.6</v>
      </c>
      <c r="E14" s="180">
        <f>IFERROR((VLOOKUP($A14,'Tabela de ingredientes'!$A$5:$L$500,MATCH(E$9,'Tabela de ingredientes'!$A$4:$L$4,0),0)*$B14),"")</f>
        <v>0</v>
      </c>
      <c r="F14" s="180">
        <f>IFERROR((VLOOKUP($A14,'Tabela de ingredientes'!$A$5:$L$500,MATCH(F$9,'Tabela de ingredientes'!$A$4:$L$4,0),0)*$B14),"")</f>
        <v>0</v>
      </c>
      <c r="G14" s="180">
        <f>IFERROR((VLOOKUP($A14,'Tabela de ingredientes'!$A$5:$L$500,MATCH(G$9,'Tabela de ingredientes'!$A$4:$L$4,0),0)*$B14),"")</f>
        <v>0</v>
      </c>
      <c r="H14" s="180">
        <f>IFERROR((VLOOKUP($A14,'Tabela de ingredientes'!$A$5:$L$500,MATCH(H$9,'Tabela de ingredientes'!$A$4:$L$4,0),0)*$B14),"")</f>
        <v>27.6</v>
      </c>
      <c r="I14" s="180">
        <f>IFERROR((VLOOKUP($A14,'Tabela de ingredientes'!$A$5:$L$500,MATCH(I$9,'Tabela de ingredientes'!$A$4:$L$4,0),0)*$B14),"")</f>
        <v>2.4</v>
      </c>
      <c r="J14" s="181">
        <f>IFERROR((VLOOKUP($A14,'Tabela de ingredientes'!$A$5:$L$500,MATCH(J$9,'Tabela de ingredientes'!$A$4:$L$4,0),0)*$B14),"")</f>
        <v>22.2</v>
      </c>
      <c r="K14" s="181">
        <f>IFERROR((VLOOKUP($A14,'Tabela de ingredientes'!$A$5:$L$500,MATCH(K$9,'Tabela de ingredientes'!$A$4:$L$4,0),0)*$B14),"")</f>
        <v>54</v>
      </c>
      <c r="L14" s="182">
        <f>IFERROR((VLOOKUP($A14,'Tabela de ingredientes'!$A$5:$L$500,MATCH(L$9,'Tabela de ingredientes'!$A$4:$L$4,0),0)*$B14),"")</f>
        <v>0</v>
      </c>
      <c r="M14" s="183">
        <f>IFERROR((VLOOKUP($A14,'Tabela de ingredientes'!$A$5:$L$500,MATCH(M$9,'Tabela de ingredientes'!$A$4:$L$4,0),0)*$B14/1000),"")</f>
        <v>0.96</v>
      </c>
      <c r="N14" s="184">
        <f t="shared" si="2"/>
        <v>0.08194272545</v>
      </c>
      <c r="O14" s="177"/>
      <c r="P14" s="187" t="s">
        <v>428</v>
      </c>
      <c r="Q14" s="188">
        <f>IFERROR(__xludf.DUMMYFUNCTION("ARRAYFORMULA(IFERROR(ROUND(((SUM($D$10:$D$23) - SUMPRODUCT($D$10:$D$23, --REGEXMATCH(TO_TEXT($A$10:$A$23), ""^(Eritritol|Maltitol|Xylitol|MIX ZERO|IMO 900)""))) / $B$24 + ($F$25 * 0.545)) * 100, 1), 0))"),23.5)</f>
        <v>23.5</v>
      </c>
      <c r="R14" s="188">
        <f t="shared" si="3"/>
        <v>14.1</v>
      </c>
      <c r="S14" s="187" t="s">
        <v>430</v>
      </c>
      <c r="T14" s="177"/>
      <c r="U14" s="177"/>
      <c r="V14" s="177"/>
      <c r="W14" s="177"/>
      <c r="X14" s="177"/>
      <c r="Y14" s="177"/>
      <c r="Z14" s="177"/>
      <c r="AA14" s="177" t="str">
        <f>IFERROR(__xludf.DUMMYFUNCTION("""COMPUTED_VALUE"""),"Leite de castanha")</f>
        <v>Leite de castanha</v>
      </c>
    </row>
    <row r="15">
      <c r="A15" s="178" t="str">
        <f>IFERROR(__xludf.DUMMYFUNCTION("""COMPUTED_VALUE"""),"Açúcar - Glucose em pó")</f>
        <v>Açúcar - Glucose em pó</v>
      </c>
      <c r="B15" s="179">
        <f>IFERROR(__xludf.DUMMYFUNCTION("""COMPUTED_VALUE"""),30.0)</f>
        <v>30</v>
      </c>
      <c r="C15" s="179">
        <f t="shared" si="1"/>
        <v>89.9</v>
      </c>
      <c r="D15" s="180">
        <f>IFERROR((VLOOKUP($A15,'Tabela de ingredientes'!$A$5:$L$500,MATCH(D$9,'Tabela de ingredientes'!$A$4:$L$4,0),0)*$B15),"")</f>
        <v>28.5</v>
      </c>
      <c r="E15" s="180">
        <f>IFERROR((VLOOKUP($A15,'Tabela de ingredientes'!$A$5:$L$500,MATCH(E$9,'Tabela de ingredientes'!$A$4:$L$4,0),0)*$B15),"")</f>
        <v>0</v>
      </c>
      <c r="F15" s="180">
        <f>IFERROR((VLOOKUP($A15,'Tabela de ingredientes'!$A$5:$L$500,MATCH(F$9,'Tabela de ingredientes'!$A$4:$L$4,0),0)*$B15),"")</f>
        <v>0</v>
      </c>
      <c r="G15" s="180">
        <f>IFERROR((VLOOKUP($A15,'Tabela de ingredientes'!$A$5:$L$500,MATCH(G$9,'Tabela de ingredientes'!$A$4:$L$4,0),0)*$B15),"")</f>
        <v>0</v>
      </c>
      <c r="H15" s="180">
        <f>IFERROR((VLOOKUP($A15,'Tabela de ingredientes'!$A$5:$L$500,MATCH(H$9,'Tabela de ingredientes'!$A$4:$L$4,0),0)*$B15),"")</f>
        <v>28.5</v>
      </c>
      <c r="I15" s="180">
        <f>IFERROR((VLOOKUP($A15,'Tabela de ingredientes'!$A$5:$L$500,MATCH(I$9,'Tabela de ingredientes'!$A$4:$L$4,0),0)*$B15),"")</f>
        <v>1.5</v>
      </c>
      <c r="J15" s="181">
        <f>IFERROR((VLOOKUP($A15,'Tabela de ingredientes'!$A$5:$L$500,MATCH(J$9,'Tabela de ingredientes'!$A$4:$L$4,0),0)*$B15),"")</f>
        <v>12</v>
      </c>
      <c r="K15" s="181">
        <f>IFERROR((VLOOKUP($A15,'Tabela de ingredientes'!$A$5:$L$500,MATCH(K$9,'Tabela de ingredientes'!$A$4:$L$4,0),0)*$B15),"")</f>
        <v>21</v>
      </c>
      <c r="L15" s="182">
        <f>IFERROR((VLOOKUP($A15,'Tabela de ingredientes'!$A$5:$L$500,MATCH(L$9,'Tabela de ingredientes'!$A$4:$L$4,0),0)*$B15),"")</f>
        <v>0</v>
      </c>
      <c r="M15" s="183">
        <f>IFERROR((VLOOKUP($A15,'Tabela de ingredientes'!$A$5:$L$500,MATCH(M$9,'Tabela de ingredientes'!$A$4:$L$4,0),0)*$B15/1000),"")</f>
        <v>1.14</v>
      </c>
      <c r="N15" s="184">
        <f t="shared" si="2"/>
        <v>0.09730698647</v>
      </c>
      <c r="O15" s="177"/>
      <c r="P15" s="187" t="s">
        <v>434</v>
      </c>
      <c r="Q15" s="188">
        <f>IFERROR(__xludf.DUMMYFUNCTION("ARRAYFORMULA(IFERROR(ROUND(SUMPRODUCT($D$10:$D$23, --REGEXMATCH(TO_TEXT($A$10:$A$23), ""^(Açúcar|Mel$|Xarope|Goiabada|Leite [Cc]ondensado|Doce [Dd]e [Ll]eite|Chocolate|Nutella|Brigadeiro|Biscoff|Biscoito|Croissant|DPO|Paçoca|Pasta Baunilha|Pasta de amendo"&amp;"im c/ açúcar|Pasta de cacau|Pudim|Torrone|Sucrilhos|Nesquik|Panettone|Licor|Cointreau|Rum|Base|Variegato|Pré-preparo|Leite de coco em pó|Cereja Em Calda)"")) / $B$24 * 100, 1), 0))"),17.6)</f>
        <v>17.6</v>
      </c>
      <c r="R15" s="188">
        <f t="shared" si="3"/>
        <v>10.6</v>
      </c>
      <c r="S15" s="188" t="str">
        <f t="shared" ref="S15:S16" si="4">IFERROR(ROUND((R15/50)*100, 0)&amp;"%", "0%")</f>
        <v>21%</v>
      </c>
      <c r="T15" s="177"/>
      <c r="U15" s="177"/>
      <c r="V15" s="177"/>
      <c r="W15" s="177"/>
      <c r="X15" s="177"/>
      <c r="Y15" s="177"/>
      <c r="Z15" s="177"/>
      <c r="AA15" s="177" t="str">
        <f>IFERROR(__xludf.DUMMYFUNCTION("""COMPUTED_VALUE"""),"Nutella")</f>
        <v>Nutella</v>
      </c>
    </row>
    <row r="16">
      <c r="A16" s="178" t="str">
        <f>IFERROR(__xludf.DUMMYFUNCTION("""COMPUTED_VALUE"""),"Neutro Fabbri")</f>
        <v>Neutro Fabbri</v>
      </c>
      <c r="B16" s="179">
        <f>IFERROR(__xludf.DUMMYFUNCTION("""COMPUTED_VALUE"""),5.0)</f>
        <v>5</v>
      </c>
      <c r="C16" s="179">
        <f t="shared" si="1"/>
        <v>15</v>
      </c>
      <c r="D16" s="180">
        <f>IFERROR((VLOOKUP($A16,'Tabela de ingredientes'!$A$5:$L$500,MATCH(D$9,'Tabela de ingredientes'!$A$4:$L$4,0),0)*$B16),"")</f>
        <v>0</v>
      </c>
      <c r="E16" s="180">
        <f>IFERROR((VLOOKUP($A16,'Tabela de ingredientes'!$A$5:$L$500,MATCH(E$9,'Tabela de ingredientes'!$A$4:$L$4,0),0)*$B16),"")</f>
        <v>0</v>
      </c>
      <c r="F16" s="180">
        <f>IFERROR((VLOOKUP($A16,'Tabela de ingredientes'!$A$5:$L$500,MATCH(F$9,'Tabela de ingredientes'!$A$4:$L$4,0),0)*$B16),"")</f>
        <v>0</v>
      </c>
      <c r="G16" s="180">
        <f>IFERROR((VLOOKUP($A16,'Tabela de ingredientes'!$A$5:$L$500,MATCH(G$9,'Tabela de ingredientes'!$A$4:$L$4,0),0)*$B16),"")</f>
        <v>5</v>
      </c>
      <c r="H16" s="180">
        <f>IFERROR((VLOOKUP($A16,'Tabela de ingredientes'!$A$5:$L$500,MATCH(H$9,'Tabela de ingredientes'!$A$4:$L$4,0),0)*$B16),"")</f>
        <v>5</v>
      </c>
      <c r="I16" s="180">
        <f>IFERROR((VLOOKUP($A16,'Tabela de ingredientes'!$A$5:$L$500,MATCH(I$9,'Tabela de ingredientes'!$A$4:$L$4,0),0)*$B16),"")</f>
        <v>0</v>
      </c>
      <c r="J16" s="181">
        <f>IFERROR((VLOOKUP($A16,'Tabela de ingredientes'!$A$5:$L$500,MATCH(J$9,'Tabela de ingredientes'!$A$4:$L$4,0),0)*$B16),"")</f>
        <v>0</v>
      </c>
      <c r="K16" s="181">
        <f>IFERROR((VLOOKUP($A16,'Tabela de ingredientes'!$A$5:$L$500,MATCH(K$9,'Tabela de ingredientes'!$A$4:$L$4,0),0)*$B16),"")</f>
        <v>0</v>
      </c>
      <c r="L16" s="182">
        <f>IFERROR((VLOOKUP($A16,'Tabela de ingredientes'!$A$5:$L$500,MATCH(L$9,'Tabela de ingredientes'!$A$4:$L$4,0),0)*$B16),"")</f>
        <v>0</v>
      </c>
      <c r="M16" s="183">
        <f>IFERROR((VLOOKUP($A16,'Tabela de ingredientes'!$A$5:$L$500,MATCH(M$9,'Tabela de ingredientes'!$A$4:$L$4,0),0)*$B16/1000),"")</f>
        <v>1</v>
      </c>
      <c r="N16" s="184">
        <f t="shared" si="2"/>
        <v>0.08535700568</v>
      </c>
      <c r="O16" s="177"/>
      <c r="P16" s="187" t="s">
        <v>436</v>
      </c>
      <c r="Q16" s="188">
        <f>IFERROR(ROUND($L$25*100, 1), 0)</f>
        <v>4.1</v>
      </c>
      <c r="R16" s="188">
        <f t="shared" si="3"/>
        <v>2.5</v>
      </c>
      <c r="S16" s="188" t="str">
        <f t="shared" si="4"/>
        <v>5%</v>
      </c>
      <c r="T16" s="177"/>
      <c r="U16" s="177"/>
      <c r="V16" s="177"/>
      <c r="W16" s="177"/>
      <c r="X16" s="177"/>
      <c r="Y16" s="177"/>
      <c r="Z16" s="177"/>
      <c r="AA16" s="177" t="str">
        <f>IFERROR(__xludf.DUMMYFUNCTION("""COMPUTED_VALUE"""),"Paçoca")</f>
        <v>Paçoca</v>
      </c>
    </row>
    <row r="17">
      <c r="A17" s="178" t="str">
        <f>IFERROR(__xludf.DUMMYFUNCTION("""COMPUTED_VALUE"""),"Sal")</f>
        <v>Sal</v>
      </c>
      <c r="B17" s="179">
        <f>IFERROR(__xludf.DUMMYFUNCTION("""COMPUTED_VALUE"""),1.0)</f>
        <v>1</v>
      </c>
      <c r="C17" s="179">
        <f t="shared" si="1"/>
        <v>3</v>
      </c>
      <c r="D17" s="180">
        <f>IFERROR((VLOOKUP($A17,'Tabela de ingredientes'!$A$5:$L$500,MATCH(D$9,'Tabela de ingredientes'!$A$4:$L$4,0),0)*$B17),"")</f>
        <v>0</v>
      </c>
      <c r="E17" s="180">
        <f>IFERROR((VLOOKUP($A17,'Tabela de ingredientes'!$A$5:$L$500,MATCH(E$9,'Tabela de ingredientes'!$A$4:$L$4,0),0)*$B17),"")</f>
        <v>0</v>
      </c>
      <c r="F17" s="180">
        <f>IFERROR((VLOOKUP($A17,'Tabela de ingredientes'!$A$5:$L$500,MATCH(F$9,'Tabela de ingredientes'!$A$4:$L$4,0),0)*$B17),"")</f>
        <v>0</v>
      </c>
      <c r="G17" s="180">
        <f>IFERROR((VLOOKUP($A17,'Tabela de ingredientes'!$A$5:$L$500,MATCH(G$9,'Tabela de ingredientes'!$A$4:$L$4,0),0)*$B17),"")</f>
        <v>1</v>
      </c>
      <c r="H17" s="180">
        <f>IFERROR((VLOOKUP($A17,'Tabela de ingredientes'!$A$5:$L$500,MATCH(H$9,'Tabela de ingredientes'!$A$4:$L$4,0),0)*$B17),"")</f>
        <v>1</v>
      </c>
      <c r="I17" s="180">
        <f>IFERROR((VLOOKUP($A17,'Tabela de ingredientes'!$A$5:$L$500,MATCH(I$9,'Tabela de ingredientes'!$A$4:$L$4,0),0)*$B17),"")</f>
        <v>0</v>
      </c>
      <c r="J17" s="181">
        <f>IFERROR((VLOOKUP($A17,'Tabela de ingredientes'!$A$5:$L$500,MATCH(J$9,'Tabela de ingredientes'!$A$4:$L$4,0),0)*$B17),"")</f>
        <v>0</v>
      </c>
      <c r="K17" s="181">
        <f>IFERROR((VLOOKUP($A17,'Tabela de ingredientes'!$A$5:$L$500,MATCH(K$9,'Tabela de ingredientes'!$A$4:$L$4,0),0)*$B17),"")</f>
        <v>3</v>
      </c>
      <c r="L17" s="182">
        <f>IFERROR((VLOOKUP($A17,'Tabela de ingredientes'!$A$5:$L$500,MATCH(L$9,'Tabela de ingredientes'!$A$4:$L$4,0),0)*$B17),"")</f>
        <v>0</v>
      </c>
      <c r="M17" s="183">
        <f>IFERROR((VLOOKUP($A17,'Tabela de ingredientes'!$A$5:$L$500,MATCH(M$9,'Tabela de ingredientes'!$A$4:$L$4,0),0)*$B17/1000),"")</f>
        <v>0.0035</v>
      </c>
      <c r="N17" s="184">
        <f t="shared" si="2"/>
        <v>0.0002987495199</v>
      </c>
      <c r="O17" s="177"/>
      <c r="P17" s="187" t="s">
        <v>438</v>
      </c>
      <c r="Q17" s="188">
        <f>IFERROR(ROUND($E$25*100, 1), 0)</f>
        <v>7.4</v>
      </c>
      <c r="R17" s="188">
        <f t="shared" si="3"/>
        <v>4.4</v>
      </c>
      <c r="S17" s="188" t="str">
        <f>IFERROR(ROUND((R17/65)*100, 0)&amp;"%", "0%")</f>
        <v>7%</v>
      </c>
      <c r="T17" s="177"/>
      <c r="U17" s="177"/>
      <c r="V17" s="177"/>
      <c r="W17" s="177"/>
      <c r="X17" s="177"/>
      <c r="Y17" s="177"/>
      <c r="Z17" s="177"/>
      <c r="AA17" s="177" t="str">
        <f>IFERROR(__xludf.DUMMYFUNCTION("""COMPUTED_VALUE"""),"Pasta Baunilha - Vanilla Brasil")</f>
        <v>Pasta Baunilha - Vanilla Brasil</v>
      </c>
    </row>
    <row r="18">
      <c r="A18" s="178"/>
      <c r="B18" s="179"/>
      <c r="C18" s="179" t="str">
        <f t="shared" si="1"/>
        <v/>
      </c>
      <c r="D18" s="180" t="str">
        <f>IFERROR((VLOOKUP($A18,'Tabela de ingredientes'!$A$5:$L$500,MATCH(D$9,'Tabela de ingredientes'!$A$4:$L$4,0),0)*$B18),"")</f>
        <v/>
      </c>
      <c r="E18" s="180" t="str">
        <f>IFERROR((VLOOKUP($A18,'Tabela de ingredientes'!$A$5:$L$500,MATCH(E$9,'Tabela de ingredientes'!$A$4:$L$4,0),0)*$B18),"")</f>
        <v/>
      </c>
      <c r="F18" s="180" t="str">
        <f>IFERROR((VLOOKUP($A18,'Tabela de ingredientes'!$A$5:$L$500,MATCH(F$9,'Tabela de ingredientes'!$A$4:$L$4,0),0)*$B18),"")</f>
        <v/>
      </c>
      <c r="G18" s="180" t="str">
        <f>IFERROR((VLOOKUP($A18,'Tabela de ingredientes'!$A$5:$L$500,MATCH(G$9,'Tabela de ingredientes'!$A$4:$L$4,0),0)*$B18),"")</f>
        <v/>
      </c>
      <c r="H18" s="180" t="str">
        <f>IFERROR((VLOOKUP($A18,'Tabela de ingredientes'!$A$5:$L$500,MATCH(H$9,'Tabela de ingredientes'!$A$4:$L$4,0),0)*$B18),"")</f>
        <v/>
      </c>
      <c r="I18" s="180" t="str">
        <f>IFERROR((VLOOKUP($A18,'Tabela de ingredientes'!$A$5:$L$500,MATCH(I$9,'Tabela de ingredientes'!$A$4:$L$4,0),0)*$B18),"")</f>
        <v/>
      </c>
      <c r="J18" s="181" t="str">
        <f>IFERROR((VLOOKUP($A18,'Tabela de ingredientes'!$A$5:$L$500,MATCH(J$9,'Tabela de ingredientes'!$A$4:$L$4,0),0)*$B18),"")</f>
        <v/>
      </c>
      <c r="K18" s="181" t="str">
        <f>IFERROR((VLOOKUP($A18,'Tabela de ingredientes'!$A$5:$L$500,MATCH(K$9,'Tabela de ingredientes'!$A$4:$L$4,0),0)*$B18),"")</f>
        <v/>
      </c>
      <c r="L18" s="182" t="str">
        <f>IFERROR((VLOOKUP($A18,'Tabela de ingredientes'!$A$5:$L$500,MATCH(L$9,'Tabela de ingredientes'!$A$4:$L$4,0),0)*$B18),"")</f>
        <v/>
      </c>
      <c r="M18" s="183" t="str">
        <f>IFERROR((VLOOKUP($A18,'Tabela de ingredientes'!$A$5:$L$500,MATCH(M$9,'Tabela de ingredientes'!$A$4:$L$4,0),0)*$B18/1000),"")</f>
        <v/>
      </c>
      <c r="N18" s="184">
        <f t="shared" si="2"/>
        <v>0</v>
      </c>
      <c r="O18" s="177"/>
      <c r="P18" s="187" t="s">
        <v>440</v>
      </c>
      <c r="Q18" s="188">
        <f>IFERROR(__xludf.DUMMYFUNCTION("ARRAYFORMULA(IFERROR(ROUND(SUMPRODUCT($E$10:$E$23, IF(REGEXMATCH(TO_TEXT($A$10:$A$23), ""(?i)(coco)""), 0.87, IF(REGEXMATCH(TO_TEXT($A$10:$A$23), ""(?i)(pistache|avelã|amendoim|amêndoa|castanha|nozes|paçoca|torrone|abacate|girassol|aveia|gergelim)""), 0.1"&amp;"5, IF(REGEXMATCH(TO_TEXT($A$10:$A$23), ""(?i)(ovo|gema|nutella|biscoff|biscoito|croissant|panettone|bailey)""), 0.35, 0.63)))) / $B$24 * 100, 1), 0))"),4.7)</f>
        <v>4.7</v>
      </c>
      <c r="R18" s="188">
        <f t="shared" si="3"/>
        <v>2.8</v>
      </c>
      <c r="S18" s="188" t="str">
        <f>IFERROR(ROUND((R18/20)*100, 0)&amp;"%", "0%")</f>
        <v>14%</v>
      </c>
      <c r="T18" s="177"/>
      <c r="U18" s="177"/>
      <c r="V18" s="177"/>
      <c r="W18" s="177"/>
      <c r="X18" s="177"/>
      <c r="Y18" s="177"/>
      <c r="Z18" s="177"/>
      <c r="AA18" s="177" t="str">
        <f>IFERROR(__xludf.DUMMYFUNCTION("""COMPUTED_VALUE"""),"Pasta De Amêndoas s/ açúcar")</f>
        <v>Pasta De Amêndoas s/ açúcar</v>
      </c>
    </row>
    <row r="19">
      <c r="A19" s="189"/>
      <c r="B19" s="190"/>
      <c r="C19" s="190" t="str">
        <f t="shared" si="1"/>
        <v/>
      </c>
      <c r="D19" s="191" t="str">
        <f>IFERROR((VLOOKUP($A19,'Tabela de ingredientes'!$A$5:$L$500,MATCH(D$9,'Tabela de ingredientes'!$A$4:$L$4,0),0)*$B19),"")</f>
        <v/>
      </c>
      <c r="E19" s="191" t="str">
        <f>IFERROR((VLOOKUP($A19,'Tabela de ingredientes'!$A$5:$L$500,MATCH(E$9,'Tabela de ingredientes'!$A$4:$L$4,0),0)*$B19),"")</f>
        <v/>
      </c>
      <c r="F19" s="191" t="str">
        <f>IFERROR((VLOOKUP($A19,'Tabela de ingredientes'!$A$5:$L$500,MATCH(F$9,'Tabela de ingredientes'!$A$4:$L$4,0),0)*$B19),"")</f>
        <v/>
      </c>
      <c r="G19" s="191" t="str">
        <f>IFERROR((VLOOKUP($A19,'Tabela de ingredientes'!$A$5:$L$500,MATCH(G$9,'Tabela de ingredientes'!$A$4:$L$4,0),0)*$B19),"")</f>
        <v/>
      </c>
      <c r="H19" s="191" t="str">
        <f>IFERROR((VLOOKUP($A19,'Tabela de ingredientes'!$A$5:$L$500,MATCH(H$9,'Tabela de ingredientes'!$A$4:$L$4,0),0)*$B19),"")</f>
        <v/>
      </c>
      <c r="I19" s="191" t="str">
        <f>IFERROR((VLOOKUP($A19,'Tabela de ingredientes'!$A$5:$L$500,MATCH(I$9,'Tabela de ingredientes'!$A$4:$L$4,0),0)*$B19),"")</f>
        <v/>
      </c>
      <c r="J19" s="192" t="str">
        <f>IFERROR((VLOOKUP($A19,'Tabela de ingredientes'!$A$5:$L$500,MATCH(J$9,'Tabela de ingredientes'!$A$4:$L$4,0),0)*$B19),"")</f>
        <v/>
      </c>
      <c r="K19" s="192" t="str">
        <f>IFERROR((VLOOKUP($A19,'Tabela de ingredientes'!$A$5:$L$500,MATCH(K$9,'Tabela de ingredientes'!$A$4:$L$4,0),0)*$B19),"")</f>
        <v/>
      </c>
      <c r="L19" s="193" t="str">
        <f>IFERROR((VLOOKUP($A19,'Tabela de ingredientes'!$A$5:$L$500,MATCH(L$9,'Tabela de ingredientes'!$A$4:$L$4,0),0)*$B19),"")</f>
        <v/>
      </c>
      <c r="M19" s="194" t="str">
        <f>IFERROR((VLOOKUP($A19,'Tabela de ingredientes'!$A$5:$L$500,MATCH(M$9,'Tabela de ingredientes'!$A$4:$L$4,0),0)*$B19/1000),"")</f>
        <v/>
      </c>
      <c r="N19" s="195">
        <f t="shared" si="2"/>
        <v>0</v>
      </c>
      <c r="O19" s="177"/>
      <c r="P19" s="187" t="s">
        <v>443</v>
      </c>
      <c r="Q19" s="188">
        <f t="shared" ref="Q19:R19" si="5">0</f>
        <v>0</v>
      </c>
      <c r="R19" s="188">
        <f t="shared" si="5"/>
        <v>0</v>
      </c>
      <c r="S19" s="188" t="str">
        <f>IFERROR(ROUND((R19/2)*100, 0)&amp;"%", "0%")</f>
        <v>0%</v>
      </c>
      <c r="T19" s="177"/>
      <c r="U19" s="177"/>
      <c r="V19" s="177"/>
      <c r="W19" s="177"/>
      <c r="X19" s="177"/>
      <c r="Y19" s="177"/>
      <c r="Z19" s="177"/>
      <c r="AA19" s="177" t="str">
        <f>IFERROR(__xludf.DUMMYFUNCTION("""COMPUTED_VALUE"""),"Pasta De Amendoim 100%")</f>
        <v>Pasta De Amendoim 100%</v>
      </c>
    </row>
    <row r="20">
      <c r="A20" s="189"/>
      <c r="B20" s="190"/>
      <c r="C20" s="190" t="str">
        <f t="shared" si="1"/>
        <v/>
      </c>
      <c r="D20" s="191" t="str">
        <f>IFERROR((VLOOKUP($A20,'Tabela de ingredientes'!$A$5:$L$500,MATCH(D$9,'Tabela de ingredientes'!$A$4:$L$4,0),0)*$B20),"")</f>
        <v/>
      </c>
      <c r="E20" s="191" t="str">
        <f>IFERROR((VLOOKUP($A20,'Tabela de ingredientes'!$A$5:$L$500,MATCH(E$9,'Tabela de ingredientes'!$A$4:$L$4,0),0)*$B20),"")</f>
        <v/>
      </c>
      <c r="F20" s="191" t="str">
        <f>IFERROR((VLOOKUP($A20,'Tabela de ingredientes'!$A$5:$L$500,MATCH(F$9,'Tabela de ingredientes'!$A$4:$L$4,0),0)*$B20),"")</f>
        <v/>
      </c>
      <c r="G20" s="191" t="str">
        <f>IFERROR((VLOOKUP($A20,'Tabela de ingredientes'!$A$5:$L$500,MATCH(G$9,'Tabela de ingredientes'!$A$4:$L$4,0),0)*$B20),"")</f>
        <v/>
      </c>
      <c r="H20" s="191" t="str">
        <f>IFERROR((VLOOKUP($A20,'Tabela de ingredientes'!$A$5:$L$500,MATCH(H$9,'Tabela de ingredientes'!$A$4:$L$4,0),0)*$B20),"")</f>
        <v/>
      </c>
      <c r="I20" s="191" t="str">
        <f>IFERROR((VLOOKUP($A20,'Tabela de ingredientes'!$A$5:$L$500,MATCH(I$9,'Tabela de ingredientes'!$A$4:$L$4,0),0)*$B20),"")</f>
        <v/>
      </c>
      <c r="J20" s="192" t="str">
        <f>IFERROR((VLOOKUP($A20,'Tabela de ingredientes'!$A$5:$L$500,MATCH(J$9,'Tabela de ingredientes'!$A$4:$L$4,0),0)*$B20),"")</f>
        <v/>
      </c>
      <c r="K20" s="192" t="str">
        <f>IFERROR((VLOOKUP($A20,'Tabela de ingredientes'!$A$5:$L$500,MATCH(K$9,'Tabela de ingredientes'!$A$4:$L$4,0),0)*$B20),"")</f>
        <v/>
      </c>
      <c r="L20" s="193" t="str">
        <f>IFERROR((VLOOKUP($A20,'Tabela de ingredientes'!$A$5:$L$500,MATCH(L$9,'Tabela de ingredientes'!$A$4:$L$4,0),0)*$B20),"")</f>
        <v/>
      </c>
      <c r="M20" s="194" t="str">
        <f>IFERROR((VLOOKUP($A20,'Tabela de ingredientes'!$A$5:$L$500,MATCH(M$9,'Tabela de ingredientes'!$A$4:$L$4,0),0)*$B20/1000),"")</f>
        <v/>
      </c>
      <c r="N20" s="195">
        <f t="shared" si="2"/>
        <v>0</v>
      </c>
      <c r="O20" s="177"/>
      <c r="P20" s="187" t="s">
        <v>446</v>
      </c>
      <c r="Q20" s="188">
        <f>IFERROR(ROUND((SUMIF($A$10:$A$23, "*Fibra*", $G$10:$G$23) + SUMIF($A$10:$A$23, "Neutro*", $G$10:$G$23) + SUMIF($A$10:$A$23, "Goma*", $G$10:$G$23) + SUMIF($A$10:$A$23, "Farinha De Semente*", $G$10:$G$23) + SUMIF($A$10:$A$23, "Cacau*", $G$10:$G$23)*0.35) / $B$24 * 100, 1), 0)</f>
        <v>0.5</v>
      </c>
      <c r="R20" s="188">
        <f>IFERROR(ROUND(Q20*0.6, 1), 0)</f>
        <v>0.3</v>
      </c>
      <c r="S20" s="188" t="str">
        <f>IFERROR(ROUND((R20/25)*100, 0)&amp;"%", "0%")</f>
        <v>1%</v>
      </c>
      <c r="T20" s="177"/>
      <c r="U20" s="177"/>
      <c r="V20" s="177"/>
      <c r="W20" s="177"/>
      <c r="X20" s="177"/>
      <c r="Y20" s="177"/>
      <c r="Z20" s="177"/>
      <c r="AA20" s="177" t="str">
        <f>IFERROR(__xludf.DUMMYFUNCTION("""COMPUTED_VALUE"""),"Pasta de amendoim c/ açúcar")</f>
        <v>Pasta de amendoim c/ açúcar</v>
      </c>
    </row>
    <row r="21" ht="15.75" customHeight="1">
      <c r="A21" s="189"/>
      <c r="B21" s="196"/>
      <c r="C21" s="196" t="str">
        <f t="shared" si="1"/>
        <v/>
      </c>
      <c r="D21" s="191" t="str">
        <f>IFERROR((VLOOKUP($A21,'Tabela de ingredientes'!$A$5:$L$500,MATCH(D$9,'Tabela de ingredientes'!$A$4:$L$4,0),0)*$B21),"")</f>
        <v/>
      </c>
      <c r="E21" s="191" t="str">
        <f>IFERROR((VLOOKUP($A21,'Tabela de ingredientes'!$A$5:$L$500,MATCH(E$9,'Tabela de ingredientes'!$A$4:$L$4,0),0)*$B21),"")</f>
        <v/>
      </c>
      <c r="F21" s="191" t="str">
        <f>IFERROR((VLOOKUP($A21,'Tabela de ingredientes'!$A$5:$L$500,MATCH(F$9,'Tabela de ingredientes'!$A$4:$L$4,0),0)*$B21),"")</f>
        <v/>
      </c>
      <c r="G21" s="191" t="str">
        <f>IFERROR((VLOOKUP($A21,'Tabela de ingredientes'!$A$5:$L$500,MATCH(G$9,'Tabela de ingredientes'!$A$4:$L$4,0),0)*$B21),"")</f>
        <v/>
      </c>
      <c r="H21" s="191" t="str">
        <f>IFERROR((VLOOKUP($A21,'Tabela de ingredientes'!$A$5:$L$500,MATCH(H$9,'Tabela de ingredientes'!$A$4:$L$4,0),0)*$B21),"")</f>
        <v/>
      </c>
      <c r="I21" s="191" t="str">
        <f>IFERROR((VLOOKUP($A21,'Tabela de ingredientes'!$A$5:$L$500,MATCH(I$9,'Tabela de ingredientes'!$A$4:$L$4,0),0)*$B21),"")</f>
        <v/>
      </c>
      <c r="J21" s="192" t="str">
        <f>IFERROR((VLOOKUP($A21,'Tabela de ingredientes'!$A$5:$L$500,MATCH(J$9,'Tabela de ingredientes'!$A$4:$L$4,0),0)*$B21),"")</f>
        <v/>
      </c>
      <c r="K21" s="192" t="str">
        <f>IFERROR((VLOOKUP($A21,'Tabela de ingredientes'!$A$5:$L$500,MATCH(K$9,'Tabela de ingredientes'!$A$4:$L$4,0),0)*$B21),"")</f>
        <v/>
      </c>
      <c r="L21" s="193" t="str">
        <f>IFERROR((VLOOKUP($A21,'Tabela de ingredientes'!$A$5:$L$500,MATCH(L$9,'Tabela de ingredientes'!$A$4:$L$4,0),0)*$B21),"")</f>
        <v/>
      </c>
      <c r="M21" s="194" t="str">
        <f>IFERROR((VLOOKUP($A21,'Tabela de ingredientes'!$A$5:$L$500,MATCH(M$9,'Tabela de ingredientes'!$A$4:$L$4,0),0)*$B21/1000),"")</f>
        <v/>
      </c>
      <c r="N21" s="195">
        <f t="shared" si="2"/>
        <v>0</v>
      </c>
      <c r="O21" s="177"/>
      <c r="P21" s="187" t="s">
        <v>448</v>
      </c>
      <c r="Q21" s="188">
        <f>IFERROR(ROUND((($F$25 * 500) + (SUMIF($A$10:$A$23, "Sal", $B$10:$B$23) / $B$24 * 38800)), 0), 0)</f>
        <v>93</v>
      </c>
      <c r="R21" s="188">
        <f>IFERROR(ROUND(Q21*0.6, 0), 0)</f>
        <v>56</v>
      </c>
      <c r="S21" s="188" t="str">
        <f>IFERROR(ROUND((R21/2000)*100, 0)&amp;"%", "0%")</f>
        <v>3%</v>
      </c>
      <c r="T21" s="177"/>
      <c r="U21" s="177"/>
      <c r="V21" s="177"/>
      <c r="W21" s="177"/>
      <c r="X21" s="177"/>
      <c r="Y21" s="177"/>
      <c r="Z21" s="177"/>
      <c r="AA21" s="177" t="str">
        <f>IFERROR(__xludf.DUMMYFUNCTION("""COMPUTED_VALUE"""),"Pasta De Avelã s/ açúcar")</f>
        <v>Pasta De Avelã s/ açúcar</v>
      </c>
    </row>
    <row r="22" ht="15.75" customHeight="1">
      <c r="A22" s="189"/>
      <c r="B22" s="191"/>
      <c r="C22" s="197" t="str">
        <f t="shared" si="1"/>
        <v/>
      </c>
      <c r="D22" s="191" t="str">
        <f>IFERROR((VLOOKUP($A22,'Tabela de ingredientes'!$A$5:$L$500,MATCH(D$9,'Tabela de ingredientes'!$A$4:$L$4,0),0)*$B22),"")</f>
        <v/>
      </c>
      <c r="E22" s="191" t="str">
        <f>IFERROR((VLOOKUP($A22,'Tabela de ingredientes'!$A$5:$L$500,MATCH(E$9,'Tabela de ingredientes'!$A$4:$L$4,0),0)*$B22),"")</f>
        <v/>
      </c>
      <c r="F22" s="191" t="str">
        <f>IFERROR((VLOOKUP($A22,'Tabela de ingredientes'!$A$5:$L$500,MATCH(F$9,'Tabela de ingredientes'!$A$4:$L$4,0),0)*$B22),"")</f>
        <v/>
      </c>
      <c r="G22" s="191" t="str">
        <f>IFERROR((VLOOKUP($A22,'Tabela de ingredientes'!$A$5:$L$500,MATCH(G$9,'Tabela de ingredientes'!$A$4:$L$4,0),0)*$B22),"")</f>
        <v/>
      </c>
      <c r="H22" s="191" t="str">
        <f>IFERROR((VLOOKUP($A22,'Tabela de ingredientes'!$A$5:$L$500,MATCH(H$9,'Tabela de ingredientes'!$A$4:$L$4,0),0)*$B22),"")</f>
        <v/>
      </c>
      <c r="I22" s="191" t="str">
        <f>IFERROR((VLOOKUP($A22,'Tabela de ingredientes'!$A$5:$L$500,MATCH(I$9,'Tabela de ingredientes'!$A$4:$L$4,0),0)*$B22),"")</f>
        <v/>
      </c>
      <c r="J22" s="192" t="str">
        <f>IFERROR((VLOOKUP($A22,'Tabela de ingredientes'!$A$5:$L$500,MATCH(J$9,'Tabela de ingredientes'!$A$4:$L$4,0),0)*$B22),"")</f>
        <v/>
      </c>
      <c r="K22" s="192" t="str">
        <f>IFERROR((VLOOKUP($A22,'Tabela de ingredientes'!$A$5:$L$500,MATCH(K$9,'Tabela de ingredientes'!$A$4:$L$4,0),0)*$B22),"")</f>
        <v/>
      </c>
      <c r="L22" s="193" t="str">
        <f>IFERROR((VLOOKUP($A22,'Tabela de ingredientes'!$A$5:$L$500,MATCH(L$9,'Tabela de ingredientes'!$A$4:$L$4,0),0)*$B22),"")</f>
        <v/>
      </c>
      <c r="M22" s="194" t="str">
        <f>IFERROR((VLOOKUP($A22,'Tabela de ingredientes'!$A$5:$L$500,MATCH(M$9,'Tabela de ingredientes'!$A$4:$L$4,0),0)*$B22/1000),"")</f>
        <v/>
      </c>
      <c r="N22" s="195">
        <f t="shared" si="2"/>
        <v>0</v>
      </c>
      <c r="O22" s="177"/>
      <c r="P22" s="198" t="s">
        <v>452</v>
      </c>
      <c r="Q22" s="121"/>
      <c r="R22" s="121"/>
      <c r="S22" s="122"/>
      <c r="T22" s="177"/>
      <c r="U22" s="177"/>
      <c r="V22" s="177"/>
      <c r="W22" s="177"/>
      <c r="X22" s="177"/>
      <c r="Y22" s="177"/>
      <c r="Z22" s="177"/>
      <c r="AA22" s="177" t="str">
        <f>IFERROR(__xludf.DUMMYFUNCTION("""COMPUTED_VALUE"""),"Pasta de cacau")</f>
        <v>Pasta de cacau</v>
      </c>
    </row>
    <row r="23">
      <c r="A23" s="189"/>
      <c r="B23" s="199"/>
      <c r="C23" s="200" t="str">
        <f t="shared" si="1"/>
        <v/>
      </c>
      <c r="D23" s="201" t="str">
        <f>IFERROR((VLOOKUP($A23,'Tabela de ingredientes'!$A$5:$L$500,MATCH(D$9,'Tabela de ingredientes'!$A$4:$L$4,0),0)*$B23),"")</f>
        <v/>
      </c>
      <c r="E23" s="197" t="str">
        <f>IFERROR((VLOOKUP($A23,'Tabela de ingredientes'!$A$5:$L$500,MATCH(E$9,'Tabela de ingredientes'!$A$4:$L$4,0),0)*$B23),"")</f>
        <v/>
      </c>
      <c r="F23" s="197" t="str">
        <f>IFERROR((VLOOKUP($A23,'Tabela de ingredientes'!$A$5:$L$500,MATCH(F$9,'Tabela de ingredientes'!$A$4:$L$4,0),0)*$B23),"")</f>
        <v/>
      </c>
      <c r="G23" s="197" t="str">
        <f>IFERROR((VLOOKUP($A23,'Tabela de ingredientes'!$A$5:$L$500,MATCH(G$9,'Tabela de ingredientes'!$A$4:$L$4,0),0)*$B23),"")</f>
        <v/>
      </c>
      <c r="H23" s="197" t="str">
        <f>IFERROR((VLOOKUP($A23,'Tabela de ingredientes'!$A$5:$L$500,MATCH(H$9,'Tabela de ingredientes'!$A$4:$L$4,0),0)*$B23),"")</f>
        <v/>
      </c>
      <c r="I23" s="197" t="str">
        <f>IFERROR((VLOOKUP($A23,'Tabela de ingredientes'!$A$5:$L$500,MATCH(I$9,'Tabela de ingredientes'!$A$4:$L$4,0),0)*$B23),"")</f>
        <v/>
      </c>
      <c r="J23" s="202" t="str">
        <f>IFERROR((VLOOKUP($A23,'Tabela de ingredientes'!$A$5:$L$500,MATCH(J$9,'Tabela de ingredientes'!$A$4:$L$4,0),0)*$B23),"")</f>
        <v/>
      </c>
      <c r="K23" s="202" t="str">
        <f>IFERROR((VLOOKUP($A23,'Tabela de ingredientes'!$A$5:$L$500,MATCH(K$9,'Tabela de ingredientes'!$A$4:$L$4,0),0)*$B23),"")</f>
        <v/>
      </c>
      <c r="L23" s="203" t="str">
        <f>IFERROR((VLOOKUP($A23,'Tabela de ingredientes'!$A$5:$L$500,MATCH(L$9,'Tabela de ingredientes'!$A$4:$L$4,0),0)*$B23),"")</f>
        <v/>
      </c>
      <c r="M23" s="204" t="str">
        <f>IFERROR((VLOOKUP($A23,'Tabela de ingredientes'!$A$5:$L$500,MATCH(M$9,'Tabela de ingredientes'!$A$4:$L$4,0),0)*$B23/1000),"")</f>
        <v/>
      </c>
      <c r="N23" s="205">
        <f t="shared" si="2"/>
        <v>0</v>
      </c>
      <c r="O23" s="177"/>
      <c r="P23" s="206" t="s">
        <v>454</v>
      </c>
      <c r="S23" s="207"/>
      <c r="T23" s="177"/>
      <c r="U23" s="177"/>
      <c r="V23" s="177"/>
      <c r="W23" s="177"/>
      <c r="X23" s="177"/>
      <c r="Y23" s="177"/>
      <c r="Z23" s="177"/>
      <c r="AA23" s="177" t="str">
        <f>IFERROR(__xludf.DUMMYFUNCTION("""COMPUTED_VALUE"""),"Pasta de cacau pré-fabricada")</f>
        <v>Pasta de cacau pré-fabricada</v>
      </c>
    </row>
    <row r="24">
      <c r="A24" s="208" t="s">
        <v>455</v>
      </c>
      <c r="B24" s="209">
        <f t="shared" ref="B24:C24" si="6">IFERROR(SUM(B10:B23),"")</f>
        <v>1001</v>
      </c>
      <c r="C24" s="210">
        <f t="shared" si="6"/>
        <v>3000</v>
      </c>
      <c r="D24" s="211">
        <f t="shared" ref="D24:I24" si="7">SUM(D10:D23)</f>
        <v>176.1</v>
      </c>
      <c r="E24" s="211">
        <f t="shared" si="7"/>
        <v>74.2</v>
      </c>
      <c r="F24" s="211">
        <f t="shared" si="7"/>
        <v>108.45</v>
      </c>
      <c r="G24" s="211">
        <f t="shared" si="7"/>
        <v>6</v>
      </c>
      <c r="H24" s="211">
        <f t="shared" si="7"/>
        <v>364.75</v>
      </c>
      <c r="I24" s="211">
        <f t="shared" si="7"/>
        <v>636.25</v>
      </c>
      <c r="J24" s="212">
        <f t="shared" ref="J24:K24" si="8">IFERROR(1000*SUM(J10:J23)/$B$24,"")</f>
        <v>163.2827173</v>
      </c>
      <c r="K24" s="212">
        <f t="shared" si="8"/>
        <v>249.5504496</v>
      </c>
      <c r="L24" s="211">
        <f>SUM(L10:L23)</f>
        <v>41.5</v>
      </c>
      <c r="M24" s="216">
        <f>IFERROR(SUM(M10:M23)*1000/$B$24, 0)</f>
        <v>11.7037962</v>
      </c>
      <c r="N24" s="217"/>
      <c r="O24" s="177"/>
      <c r="P24" s="218" t="str">
        <f>IFERROR(__xludf.DUMMYFUNCTION("IFERROR(TEXTJOIN("", "", TRUE, SORT(FILTER(A10:A23, A10:A23&lt;&gt;""""), FILTER(B10:B23, A10:A23&lt;&gt;""""), FALSE)) &amp; ""."", """")"),"Leite Integral, Creme De Leite Fresco 35%, Açúcar Sacarose, Leite Em Pó Desnatado, Açúcar - Dextrose, Açúcar - Glucose em pó, Neutro Fabbri, Sal.")</f>
        <v>Leite Integral, Creme De Leite Fresco 35%, Açúcar Sacarose, Leite Em Pó Desnatado, Açúcar - Dextrose, Açúcar - Glucose em pó, Neutro Fabbri, Sal.</v>
      </c>
      <c r="Q24" s="219"/>
      <c r="R24" s="219"/>
      <c r="S24" s="220"/>
      <c r="T24" s="177"/>
      <c r="U24" s="177"/>
      <c r="V24" s="177"/>
      <c r="W24" s="177"/>
      <c r="X24" s="177"/>
      <c r="Y24" s="177"/>
      <c r="Z24" s="177"/>
      <c r="AA24" s="177" t="str">
        <f>IFERROR(__xludf.DUMMYFUNCTION("""COMPUTED_VALUE"""),"Pasta De Castanha De Caju 100%")</f>
        <v>Pasta De Castanha De Caju 100%</v>
      </c>
    </row>
    <row r="25" ht="15.75" customHeight="1">
      <c r="A25" s="221" t="s">
        <v>457</v>
      </c>
      <c r="B25" s="222">
        <f>IFERROR(K24 / IF(OR($C$4="Chocolate base água", $C$4="Vegano"), 20, IF($C$4="Gelatos de Leite com Fruta", 24, 25)), "-")</f>
        <v>9.982017982</v>
      </c>
      <c r="C25" s="223"/>
      <c r="D25" s="224">
        <f t="shared" ref="D25:I25" si="9">IFERROR(D24/$B$24,"")</f>
        <v>0.1759240759</v>
      </c>
      <c r="E25" s="224">
        <f t="shared" si="9"/>
        <v>0.07412587413</v>
      </c>
      <c r="F25" s="224">
        <f t="shared" si="9"/>
        <v>0.1083416583</v>
      </c>
      <c r="G25" s="224">
        <f t="shared" si="9"/>
        <v>0.005994005994</v>
      </c>
      <c r="H25" s="224">
        <f t="shared" si="9"/>
        <v>0.3643856144</v>
      </c>
      <c r="I25" s="224">
        <f t="shared" si="9"/>
        <v>0.6356143856</v>
      </c>
      <c r="J25" s="225">
        <f t="shared" ref="J25:K25" si="10">J24</f>
        <v>163.2827173</v>
      </c>
      <c r="K25" s="225">
        <f t="shared" si="10"/>
        <v>249.5504496</v>
      </c>
      <c r="L25" s="226">
        <f>IFERROR(L24/$B$24,"")</f>
        <v>0.04145854146</v>
      </c>
      <c r="M25" s="227"/>
      <c r="N25" s="217"/>
      <c r="O25" s="177"/>
      <c r="P25" s="206" t="s">
        <v>458</v>
      </c>
      <c r="S25" s="207"/>
      <c r="T25" s="177"/>
      <c r="U25" s="177"/>
      <c r="V25" s="177"/>
      <c r="W25" s="177"/>
      <c r="X25" s="177"/>
      <c r="Y25" s="177"/>
      <c r="Z25" s="177"/>
      <c r="AA25" s="177" t="str">
        <f>IFERROR(__xludf.DUMMYFUNCTION("""COMPUTED_VALUE"""),"Pasta De Castanha Do Pará 100%")</f>
        <v>Pasta De Castanha Do Pará 100%</v>
      </c>
    </row>
    <row r="26" ht="15.75" customHeight="1">
      <c r="A26" s="229" t="s">
        <v>54</v>
      </c>
      <c r="B26" s="232" t="str">
        <f>IFERROR(IF(SUM(D27:L27)=0, "Ok", "Revisar"), "")</f>
        <v>Ok</v>
      </c>
      <c r="C26" s="233"/>
      <c r="D26" s="234" t="str">
        <f>IF(ROUND(D25,4)&lt;ROUND(D$5,4), 'Tabela de ingredientes'!$X$8, IF(ROUND(D25,4)&gt;ROUND(D$6,4), 'Tabela de ingredientes'!$X$9, 'Tabela de ingredientes'!$X$7))</f>
        <v>Ok</v>
      </c>
      <c r="E26" s="234" t="str">
        <f>IF(ROUND(D25,4)&lt;ROUND(D$5,4), 'Tabela de ingredientes'!$X$8, IF(ROUND(D25,4)&gt;ROUND(D$6,4), 'Tabela de ingredientes'!$X$9, 'Tabela de ingredientes'!$X$7))</f>
        <v>Ok</v>
      </c>
      <c r="F26" s="234" t="str">
        <f>IF(ROUND(D25,4)&lt;ROUND(D$5,4), 'Tabela de ingredientes'!$X$8, IF(ROUND(D25,4)&gt;ROUND(D$6,4), 'Tabela de ingredientes'!$X$9, 'Tabela de ingredientes'!$X$7))</f>
        <v>Ok</v>
      </c>
      <c r="G26" s="234" t="str">
        <f>IF(ROUND(D25,4)&lt;ROUND(D$5,4), 'Tabela de ingredientes'!$X$8, IF(ROUND(D25,4)&gt;ROUND(D$6,4), 'Tabela de ingredientes'!$X$9, 'Tabela de ingredientes'!$X$7))</f>
        <v>Ok</v>
      </c>
      <c r="H26" s="234" t="str">
        <f>IF(ROUND(D25,4)&lt;ROUND(D$5,4), 'Tabela de ingredientes'!$X$8, IF(ROUND(D25,4)&gt;ROUND(D$6,4), 'Tabela de ingredientes'!$X$9, 'Tabela de ingredientes'!$X$7))</f>
        <v>Ok</v>
      </c>
      <c r="I26" s="234" t="str">
        <f>IF(ROUND(D25,4)&lt;ROUND(D$5,4), 'Tabela de ingredientes'!$X$8, IF(ROUND(D25,4)&gt;ROUND(D$6,4), 'Tabela de ingredientes'!$X$9, 'Tabela de ingredientes'!$X$7))</f>
        <v>Ok</v>
      </c>
      <c r="J26" s="235" t="str">
        <f>IF(ROUND(D25,4)&lt;ROUND(D$5,4), 'Tabela de ingredientes'!$X$8, IF(ROUND(D25,4)&gt;ROUND(D$6,4), 'Tabela de ingredientes'!$X$9, 'Tabela de ingredientes'!$X$7))</f>
        <v>Ok</v>
      </c>
      <c r="K26" s="235" t="str">
        <f>IF(ROUND(D25,4)&lt;ROUND(D$5,4), 'Tabela de ingredientes'!$X$8, IF(ROUND(D25,4)&gt;ROUND(D$6,4), 'Tabela de ingredientes'!$X$9, 'Tabela de ingredientes'!$X$7))</f>
        <v>Ok</v>
      </c>
      <c r="L26" s="236" t="str">
        <f>IF($C$4="Gelatos Proteicos", IF(ROUND(L25,4)&lt;ROUND(L$5,4), 'Tabela de ingredientes'!$X$8, IF(ROUND(L25,4)&gt;ROUND(L$6,4), 'Tabela de ingredientes'!$X$9, 'Tabela de ingredientes'!$X$7)), "Ok")</f>
        <v>Ok</v>
      </c>
      <c r="M26" s="237"/>
      <c r="N26" s="217"/>
      <c r="O26" s="177"/>
      <c r="P26" s="218" t="str">
        <f>IFERROR(__xludf.DUMMYFUNCTION("ARRAYFORMULA(IFERROR(""CONTÉM: "" &amp; UPPER(TEXTJOIN("", "", TRUE, UNIQUE(FILTER(A10:A23, (A10:A23&lt;&gt;"""") * (IFERROR(VLOOKUP(A10:A23, 'Tabela de ingredientes'!$A$5:$L$500, 12, FALSE), ""Não"")=""Sim""))))) &amp; ""."", ""NÃO CONTÉM ALERGÊNICOS."") &amp; IF(($F$24&gt;0"&amp;")+(COUNTIF(A10:A23, ""*Lactose*"")&gt;0)&gt;0, "" CONTÉM LACTOSE."", """") &amp; IF(SUMPRODUCT(--REGEXMATCH(TO_TEXT(A10:A23), ""(?i)(trigo|croissant|biscoff|biscoito|panettone|aveia|sucrilhos|ovomaltine)""))&gt;0, "" CONTÉM GLÚTEN."", "" NÃO CONTÉM GLÚTEN.""))"),"CONTÉM: LEITE INTEGRAL, CREME DE LEITE FRESCO 35%, LEITE EM PÓ DESNATADO. CONTÉM LACTOSE. NÃO CONTÉM GLÚTEN.")</f>
        <v>CONTÉM: LEITE INTEGRAL, CREME DE LEITE FRESCO 35%, LEITE EM PÓ DESNATADO. CONTÉM LACTOSE. NÃO CONTÉM GLÚTEN.</v>
      </c>
      <c r="Q26" s="219"/>
      <c r="R26" s="219"/>
      <c r="S26" s="220"/>
      <c r="T26" s="177"/>
      <c r="U26" s="177"/>
      <c r="V26" s="177"/>
      <c r="W26" s="177"/>
      <c r="X26" s="177"/>
      <c r="Y26" s="177"/>
      <c r="Z26" s="177"/>
      <c r="AA26" s="177" t="str">
        <f>IFERROR(__xludf.DUMMYFUNCTION("""COMPUTED_VALUE"""),"Pasta De Nozes 100%")</f>
        <v>Pasta De Nozes 100%</v>
      </c>
    </row>
    <row r="27" ht="15.75" customHeight="1">
      <c r="A27" s="238"/>
      <c r="B27" s="239"/>
      <c r="C27" s="240"/>
      <c r="D27" s="241">
        <f>IF(D26&lt;&gt;'Tabela de ingredientes'!$X$7,1,0)</f>
        <v>0</v>
      </c>
      <c r="E27" s="241">
        <f>IF(E26&lt;&gt;'Tabela de ingredientes'!$X$7,1,0)</f>
        <v>0</v>
      </c>
      <c r="F27" s="241">
        <f>IF(F26&lt;&gt;'Tabela de ingredientes'!$X$7,1,0)</f>
        <v>0</v>
      </c>
      <c r="G27" s="241">
        <f>IF(G26&lt;&gt;'Tabela de ingredientes'!$X$7,1,0)</f>
        <v>0</v>
      </c>
      <c r="H27" s="241">
        <f>IF(H26&lt;&gt;'Tabela de ingredientes'!$X$7,1,0)</f>
        <v>0</v>
      </c>
      <c r="I27" s="241">
        <f>IF(I26&lt;&gt;'Tabela de ingredientes'!$X$7,1,0)</f>
        <v>0</v>
      </c>
      <c r="J27" s="242">
        <f>IF(J26&lt;&gt;'Tabela de ingredientes'!$X$7,1,0)</f>
        <v>0</v>
      </c>
      <c r="K27" s="242">
        <f>IF(K26&lt;&gt;'Tabela de ingredientes'!$X$7,1,0)</f>
        <v>0</v>
      </c>
      <c r="L27" s="243">
        <f>IF(L26&lt;&gt;'Tabela de ingredientes'!$X$7,1,0)</f>
        <v>0</v>
      </c>
      <c r="M27" s="240"/>
      <c r="N27" s="244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 t="str">
        <f>IFERROR(__xludf.DUMMYFUNCTION("""COMPUTED_VALUE"""),"Pasta De Pistache 100%")</f>
        <v>Pasta De Pistache 100%</v>
      </c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168"/>
      <c r="K28" s="168"/>
      <c r="L28" s="169"/>
      <c r="M28" s="22"/>
      <c r="N28" s="22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 t="str">
        <f>IFERROR(__xludf.DUMMYFUNCTION("""COMPUTED_VALUE"""),"Pré-preparo de Caramelo")</f>
        <v>Pré-preparo de Caramelo</v>
      </c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168"/>
      <c r="K29" s="168"/>
      <c r="L29" s="177"/>
      <c r="M29" s="22"/>
      <c r="N29" s="22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 t="str">
        <f>IFERROR(__xludf.DUMMYFUNCTION("""COMPUTED_VALUE"""),"Pudim")</f>
        <v>Pudim</v>
      </c>
    </row>
    <row r="30">
      <c r="A30" s="245" t="s">
        <v>461</v>
      </c>
      <c r="B30" s="245" t="s">
        <v>462</v>
      </c>
      <c r="C30" s="245" t="s">
        <v>463</v>
      </c>
      <c r="D30" s="245" t="s">
        <v>464</v>
      </c>
      <c r="E30" s="245" t="s">
        <v>466</v>
      </c>
      <c r="F30" s="245" t="s">
        <v>467</v>
      </c>
      <c r="G30" s="246"/>
      <c r="H30" s="247" t="s">
        <v>468</v>
      </c>
      <c r="I30" s="245" t="s">
        <v>240</v>
      </c>
      <c r="J30" s="168"/>
      <c r="K30" s="168"/>
      <c r="L30" s="177"/>
      <c r="M30" s="22"/>
      <c r="N30" s="22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 t="str">
        <f>IFERROR(__xludf.DUMMYFUNCTION("""COMPUTED_VALUE"""),"Torrone")</f>
        <v>Torrone</v>
      </c>
    </row>
    <row r="31" ht="15.75" customHeight="1">
      <c r="A31" s="248" t="s">
        <v>187</v>
      </c>
      <c r="B31" s="249" t="s">
        <v>187</v>
      </c>
      <c r="C31" s="250" t="str">
        <f t="shared" ref="C31:C33" si="11">IF(OR(A31="", B31=""), "", ROUND(B31*($C$8/1000), 1))</f>
        <v/>
      </c>
      <c r="D31" s="251" t="str">
        <f>IF(A31="", "", IFERROR(VLOOKUP(A31, 'Tabela de ingredientes'!$A$5:$L$500, 2, FALSE), 0))</f>
        <v/>
      </c>
      <c r="E31" s="251" t="str">
        <f t="shared" ref="E31:E33" si="12">IF(OR(A31="", B31=""), "", IFERROR(B31*D31/1000, 0))</f>
        <v/>
      </c>
      <c r="F31" s="252" t="str">
        <f t="shared" ref="F31:F33" si="13">IF(OR(A31="", B31=""), "", IFERROR(B31/$B$34, 0))</f>
        <v/>
      </c>
      <c r="G31" s="22"/>
      <c r="H31" s="248" t="s">
        <v>470</v>
      </c>
      <c r="I31" s="253">
        <f>M24</f>
        <v>11.7037962</v>
      </c>
      <c r="J31" s="168"/>
      <c r="K31" s="168"/>
      <c r="L31" s="177"/>
      <c r="M31" s="22"/>
      <c r="N31" s="22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 t="str">
        <f>IFERROR(__xludf.DUMMYFUNCTION("""COMPUTED_VALUE"""),"Variegato de Brigadeiro")</f>
        <v>Variegato de Brigadeiro</v>
      </c>
    </row>
    <row r="32" ht="15.75" customHeight="1">
      <c r="A32" s="248" t="s">
        <v>187</v>
      </c>
      <c r="B32" s="249" t="s">
        <v>187</v>
      </c>
      <c r="C32" s="250" t="str">
        <f t="shared" si="11"/>
        <v/>
      </c>
      <c r="D32" s="251" t="str">
        <f>IF(A32="", "", IFERROR(VLOOKUP(A32, 'Tabela de ingredientes'!$A$5:$L$500, 2, FALSE), 0))</f>
        <v/>
      </c>
      <c r="E32" s="251" t="str">
        <f t="shared" si="12"/>
        <v/>
      </c>
      <c r="F32" s="252" t="str">
        <f t="shared" si="13"/>
        <v/>
      </c>
      <c r="G32" s="22"/>
      <c r="H32" s="248" t="s">
        <v>471</v>
      </c>
      <c r="I32" s="253">
        <f>D34</f>
        <v>11.7037962</v>
      </c>
      <c r="J32" s="168"/>
      <c r="K32" s="168"/>
      <c r="L32" s="177"/>
      <c r="M32" s="22"/>
      <c r="N32" s="22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 t="str">
        <f>IFERROR(__xludf.DUMMYFUNCTION("""COMPUTED_VALUE"""),"Variegato de Caramelo Flor de Sal")</f>
        <v>Variegato de Caramelo Flor de Sal</v>
      </c>
    </row>
    <row r="33" ht="15.75" customHeight="1">
      <c r="A33" s="248" t="s">
        <v>187</v>
      </c>
      <c r="B33" s="249" t="s">
        <v>187</v>
      </c>
      <c r="C33" s="250" t="str">
        <f t="shared" si="11"/>
        <v/>
      </c>
      <c r="D33" s="251" t="str">
        <f>IF(A33="", "", IFERROR(VLOOKUP(A33, 'Tabela de ingredientes'!$A$5:$L$500, 2, FALSE), 0))</f>
        <v/>
      </c>
      <c r="E33" s="251" t="str">
        <f t="shared" si="12"/>
        <v/>
      </c>
      <c r="F33" s="252" t="str">
        <f t="shared" si="13"/>
        <v/>
      </c>
      <c r="G33" s="22"/>
      <c r="H33" s="248" t="s">
        <v>474</v>
      </c>
      <c r="I33" s="253">
        <f>D34*0.06</f>
        <v>0.7022277722</v>
      </c>
      <c r="J33" s="168"/>
      <c r="K33" s="168"/>
      <c r="L33" s="177"/>
      <c r="M33" s="22"/>
      <c r="N33" s="22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 t="str">
        <f>IFERROR(__xludf.DUMMYFUNCTION("""COMPUTED_VALUE"""),"Variegato de Cocada")</f>
        <v>Variegato de Cocada</v>
      </c>
    </row>
    <row r="34" ht="15.75" customHeight="1">
      <c r="A34" s="248" t="s">
        <v>475</v>
      </c>
      <c r="B34" s="250">
        <f>1000 + SUM(B31:B33)</f>
        <v>1000</v>
      </c>
      <c r="C34" s="250">
        <f>$C$8 + SUM(C31:C33)</f>
        <v>3000</v>
      </c>
      <c r="D34" s="251">
        <f>IFERROR(($M$24 + SUM(E31:E33)) / (B34/1000), $M$24)</f>
        <v>11.7037962</v>
      </c>
      <c r="E34" s="251">
        <f>IFERROR(D34 * (C34/1000), 0)</f>
        <v>35.11138861</v>
      </c>
      <c r="F34" s="252">
        <f>SUM(F31:F33)</f>
        <v>0</v>
      </c>
      <c r="G34" s="22"/>
      <c r="H34" s="248" t="s">
        <v>119</v>
      </c>
      <c r="I34" s="251">
        <f>((D34 * ('Conversor Custo K|G'!$F$24/1000) + 'Conversor Custo K|G'!$H$24) + 'Conversor Custo K|G'!$C$10) / ((1 - 'Conversor Custo K|G'!$C$12/100) * (1 - 'Conversor Custo K|G'!$C$13/100))</f>
        <v>31.72113956</v>
      </c>
      <c r="J34" s="168"/>
      <c r="K34" s="168"/>
      <c r="L34" s="177"/>
      <c r="M34" s="22"/>
      <c r="N34" s="22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 t="str">
        <f>IFERROR(__xludf.DUMMYFUNCTION("""COMPUTED_VALUE"""),"Variegato de Nutella")</f>
        <v>Variegato de Nutella</v>
      </c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168"/>
      <c r="K35" s="168"/>
      <c r="L35" s="177"/>
      <c r="M35" s="22"/>
      <c r="N35" s="22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168"/>
      <c r="K36" s="168"/>
      <c r="L36" s="177"/>
      <c r="M36" s="22"/>
      <c r="N36" s="22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168"/>
      <c r="K37" s="168"/>
      <c r="L37" s="177"/>
      <c r="M37" s="22"/>
      <c r="N37" s="22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168"/>
      <c r="K38" s="168"/>
      <c r="L38" s="177"/>
      <c r="M38" s="22"/>
      <c r="N38" s="22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168"/>
      <c r="K39" s="168"/>
      <c r="L39" s="177"/>
      <c r="M39" s="22"/>
      <c r="N39" s="22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168"/>
      <c r="K40" s="168"/>
      <c r="L40" s="177"/>
      <c r="M40" s="22"/>
      <c r="N40" s="22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168"/>
      <c r="K41" s="168"/>
      <c r="L41" s="177"/>
      <c r="M41" s="22"/>
      <c r="N41" s="22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168"/>
      <c r="K42" s="168"/>
      <c r="L42" s="177"/>
      <c r="M42" s="22"/>
      <c r="N42" s="22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168"/>
      <c r="K43" s="168"/>
      <c r="L43" s="177"/>
      <c r="M43" s="22"/>
      <c r="N43" s="22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</row>
    <row r="44" ht="15.75" customHeight="1">
      <c r="A44" s="155"/>
      <c r="B44" s="155"/>
      <c r="C44" s="155"/>
      <c r="D44" s="155"/>
      <c r="E44" s="155"/>
      <c r="F44" s="155"/>
      <c r="G44" s="155"/>
      <c r="H44" s="155"/>
      <c r="I44" s="155"/>
      <c r="J44" s="254"/>
      <c r="K44" s="254"/>
      <c r="L44" s="177"/>
      <c r="M44" s="155"/>
      <c r="N44" s="155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</row>
    <row r="45" ht="15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254"/>
      <c r="K45" s="254"/>
      <c r="L45" s="177"/>
      <c r="M45" s="155"/>
      <c r="N45" s="155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</row>
    <row r="46" ht="15.75" customHeight="1">
      <c r="A46" s="155"/>
      <c r="B46" s="155"/>
      <c r="C46" s="155"/>
      <c r="D46" s="155"/>
      <c r="E46" s="155"/>
      <c r="F46" s="155"/>
      <c r="G46" s="155"/>
      <c r="H46" s="155"/>
      <c r="I46" s="155"/>
      <c r="J46" s="254"/>
      <c r="K46" s="254"/>
      <c r="L46" s="169"/>
      <c r="M46" s="155"/>
      <c r="N46" s="155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</row>
    <row r="47" ht="15.75" customHeight="1">
      <c r="A47" s="155"/>
      <c r="B47" s="155"/>
      <c r="C47" s="155"/>
      <c r="D47" s="155"/>
      <c r="E47" s="155"/>
      <c r="F47" s="155"/>
      <c r="G47" s="155"/>
      <c r="H47" s="155"/>
      <c r="I47" s="155"/>
      <c r="J47" s="254"/>
      <c r="K47" s="254"/>
      <c r="L47" s="177"/>
      <c r="M47" s="155"/>
      <c r="N47" s="155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</row>
    <row r="48" ht="15.75" customHeight="1">
      <c r="A48" s="155"/>
      <c r="B48" s="155"/>
      <c r="C48" s="155"/>
      <c r="D48" s="155"/>
      <c r="E48" s="155"/>
      <c r="F48" s="155"/>
      <c r="G48" s="155"/>
      <c r="H48" s="155"/>
      <c r="I48" s="155"/>
      <c r="J48" s="254"/>
      <c r="K48" s="254"/>
      <c r="L48" s="177"/>
      <c r="M48" s="155"/>
      <c r="N48" s="155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</row>
    <row r="49" ht="15.7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254"/>
      <c r="K49" s="254"/>
      <c r="L49" s="177"/>
      <c r="M49" s="155"/>
      <c r="N49" s="155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254"/>
      <c r="K50" s="254"/>
      <c r="L50" s="177"/>
      <c r="M50" s="155"/>
      <c r="N50" s="155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</row>
    <row r="51" ht="15.75" customHeight="1">
      <c r="A51" s="155"/>
      <c r="B51" s="155"/>
      <c r="C51" s="155"/>
      <c r="D51" s="155"/>
      <c r="E51" s="155"/>
      <c r="F51" s="155"/>
      <c r="G51" s="155"/>
      <c r="H51" s="155"/>
      <c r="I51" s="155"/>
      <c r="J51" s="254"/>
      <c r="K51" s="254"/>
      <c r="L51" s="177"/>
      <c r="M51" s="155"/>
      <c r="N51" s="155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</row>
    <row r="52" ht="15.75" customHeight="1">
      <c r="A52" s="155"/>
      <c r="B52" s="155"/>
      <c r="C52" s="155"/>
      <c r="D52" s="155"/>
      <c r="E52" s="155"/>
      <c r="F52" s="155"/>
      <c r="G52" s="155"/>
      <c r="H52" s="155"/>
      <c r="I52" s="155"/>
      <c r="J52" s="254"/>
      <c r="K52" s="254"/>
      <c r="L52" s="177"/>
      <c r="M52" s="155"/>
      <c r="N52" s="155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</row>
    <row r="53" ht="15.75" customHeight="1">
      <c r="A53" s="155"/>
      <c r="B53" s="155"/>
      <c r="C53" s="155"/>
      <c r="D53" s="155"/>
      <c r="E53" s="155"/>
      <c r="F53" s="155"/>
      <c r="G53" s="155"/>
      <c r="H53" s="155"/>
      <c r="I53" s="155"/>
      <c r="J53" s="254"/>
      <c r="K53" s="254"/>
      <c r="L53" s="177"/>
      <c r="M53" s="155"/>
      <c r="N53" s="155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</row>
    <row r="54" ht="15.75" customHeight="1">
      <c r="A54" s="155"/>
      <c r="B54" s="155"/>
      <c r="C54" s="155"/>
      <c r="D54" s="155"/>
      <c r="E54" s="155"/>
      <c r="F54" s="155"/>
      <c r="G54" s="155"/>
      <c r="H54" s="155"/>
      <c r="I54" s="155"/>
      <c r="J54" s="254"/>
      <c r="K54" s="254"/>
      <c r="L54" s="177"/>
      <c r="M54" s="155"/>
      <c r="N54" s="155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</row>
    <row r="55" ht="15.75" customHeight="1">
      <c r="A55" s="155"/>
      <c r="B55" s="155"/>
      <c r="C55" s="155"/>
      <c r="D55" s="155"/>
      <c r="E55" s="155"/>
      <c r="F55" s="155"/>
      <c r="G55" s="155"/>
      <c r="H55" s="155"/>
      <c r="I55" s="155"/>
      <c r="J55" s="254"/>
      <c r="K55" s="254"/>
      <c r="L55" s="177"/>
      <c r="M55" s="155"/>
      <c r="N55" s="155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</row>
    <row r="56" ht="15.75" customHeight="1">
      <c r="A56" s="155"/>
      <c r="B56" s="155"/>
      <c r="C56" s="155"/>
      <c r="D56" s="155"/>
      <c r="E56" s="155"/>
      <c r="F56" s="155"/>
      <c r="G56" s="155"/>
      <c r="H56" s="155"/>
      <c r="I56" s="155"/>
      <c r="J56" s="254"/>
      <c r="K56" s="254"/>
      <c r="L56" s="177"/>
      <c r="M56" s="155"/>
      <c r="N56" s="155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254"/>
      <c r="K57" s="254"/>
      <c r="L57" s="177"/>
      <c r="M57" s="155"/>
      <c r="N57" s="155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</row>
    <row r="58" ht="15.75" customHeight="1">
      <c r="A58" s="155"/>
      <c r="B58" s="155"/>
      <c r="C58" s="155"/>
      <c r="D58" s="155"/>
      <c r="E58" s="155"/>
      <c r="F58" s="155"/>
      <c r="G58" s="155"/>
      <c r="H58" s="155"/>
      <c r="I58" s="155"/>
      <c r="J58" s="254"/>
      <c r="K58" s="254"/>
      <c r="L58" s="177"/>
      <c r="M58" s="155"/>
      <c r="N58" s="155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</row>
    <row r="59" ht="15.75" customHeight="1">
      <c r="A59" s="155"/>
      <c r="B59" s="155"/>
      <c r="C59" s="155"/>
      <c r="D59" s="155"/>
      <c r="E59" s="155"/>
      <c r="F59" s="155"/>
      <c r="G59" s="155"/>
      <c r="H59" s="155"/>
      <c r="I59" s="155"/>
      <c r="J59" s="254"/>
      <c r="K59" s="254"/>
      <c r="L59" s="177"/>
      <c r="M59" s="155"/>
      <c r="N59" s="155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</row>
    <row r="60" ht="15.7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254"/>
      <c r="K60" s="254"/>
      <c r="L60" s="177"/>
      <c r="M60" s="155"/>
      <c r="N60" s="155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</row>
    <row r="61" ht="15.75" customHeight="1">
      <c r="A61" s="155"/>
      <c r="B61" s="155"/>
      <c r="C61" s="155"/>
      <c r="D61" s="155"/>
      <c r="E61" s="155"/>
      <c r="F61" s="155"/>
      <c r="G61" s="155"/>
      <c r="H61" s="155"/>
      <c r="I61" s="155"/>
      <c r="J61" s="254"/>
      <c r="K61" s="254"/>
      <c r="L61" s="177"/>
      <c r="M61" s="155"/>
      <c r="N61" s="155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</row>
    <row r="62" ht="15.75" customHeight="1">
      <c r="A62" s="155"/>
      <c r="B62" s="155"/>
      <c r="C62" s="155"/>
      <c r="D62" s="155"/>
      <c r="E62" s="155"/>
      <c r="F62" s="155"/>
      <c r="G62" s="155"/>
      <c r="H62" s="155"/>
      <c r="I62" s="155"/>
      <c r="J62" s="254"/>
      <c r="K62" s="254"/>
      <c r="L62" s="177"/>
      <c r="M62" s="155"/>
      <c r="N62" s="155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</row>
    <row r="63" ht="15.75" customHeight="1">
      <c r="A63" s="155"/>
      <c r="B63" s="155"/>
      <c r="C63" s="155"/>
      <c r="D63" s="155"/>
      <c r="E63" s="155"/>
      <c r="F63" s="155"/>
      <c r="G63" s="155"/>
      <c r="H63" s="155"/>
      <c r="I63" s="155"/>
      <c r="J63" s="254"/>
      <c r="K63" s="254"/>
      <c r="L63" s="177"/>
      <c r="M63" s="155"/>
      <c r="N63" s="155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</row>
    <row r="64" ht="15.75" customHeight="1">
      <c r="A64" s="155"/>
      <c r="B64" s="155"/>
      <c r="C64" s="155"/>
      <c r="D64" s="155"/>
      <c r="E64" s="155"/>
      <c r="F64" s="155"/>
      <c r="G64" s="155"/>
      <c r="H64" s="155"/>
      <c r="I64" s="155"/>
      <c r="J64" s="254"/>
      <c r="K64" s="254"/>
      <c r="L64" s="177"/>
      <c r="M64" s="155"/>
      <c r="N64" s="155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</row>
    <row r="65" ht="15.75" customHeight="1">
      <c r="A65" s="155"/>
      <c r="B65" s="155"/>
      <c r="C65" s="155"/>
      <c r="D65" s="155"/>
      <c r="E65" s="155"/>
      <c r="F65" s="155"/>
      <c r="G65" s="155"/>
      <c r="H65" s="155"/>
      <c r="I65" s="155"/>
      <c r="J65" s="254"/>
      <c r="K65" s="254"/>
      <c r="L65" s="169"/>
      <c r="M65" s="155"/>
      <c r="N65" s="155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254"/>
      <c r="K66" s="254"/>
      <c r="L66" s="177"/>
      <c r="M66" s="155"/>
      <c r="N66" s="155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</row>
    <row r="67" ht="15.75" customHeight="1">
      <c r="A67" s="155"/>
      <c r="B67" s="155"/>
      <c r="C67" s="155"/>
      <c r="D67" s="155"/>
      <c r="E67" s="155"/>
      <c r="F67" s="155"/>
      <c r="G67" s="155"/>
      <c r="H67" s="155"/>
      <c r="I67" s="155"/>
      <c r="J67" s="254"/>
      <c r="K67" s="254"/>
      <c r="L67" s="177"/>
      <c r="M67" s="155"/>
      <c r="N67" s="155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</row>
    <row r="68" ht="15.7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254"/>
      <c r="K68" s="254"/>
      <c r="L68" s="177"/>
      <c r="M68" s="155"/>
      <c r="N68" s="155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</row>
    <row r="69" ht="15.75" customHeight="1">
      <c r="A69" s="155"/>
      <c r="B69" s="155"/>
      <c r="C69" s="155"/>
      <c r="D69" s="155"/>
      <c r="E69" s="155"/>
      <c r="F69" s="155"/>
      <c r="G69" s="155"/>
      <c r="H69" s="155"/>
      <c r="I69" s="155"/>
      <c r="J69" s="254"/>
      <c r="K69" s="254"/>
      <c r="L69" s="177"/>
      <c r="M69" s="155"/>
      <c r="N69" s="155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</row>
    <row r="70" ht="15.75" customHeight="1">
      <c r="A70" s="155"/>
      <c r="B70" s="155"/>
      <c r="C70" s="155"/>
      <c r="D70" s="155"/>
      <c r="E70" s="155"/>
      <c r="F70" s="155"/>
      <c r="G70" s="155"/>
      <c r="H70" s="155"/>
      <c r="I70" s="155"/>
      <c r="J70" s="254"/>
      <c r="K70" s="254"/>
      <c r="L70" s="177"/>
      <c r="M70" s="155"/>
      <c r="N70" s="155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</row>
    <row r="71" ht="15.75" customHeight="1">
      <c r="A71" s="155"/>
      <c r="B71" s="155"/>
      <c r="C71" s="155"/>
      <c r="D71" s="155"/>
      <c r="E71" s="155"/>
      <c r="F71" s="155"/>
      <c r="G71" s="155"/>
      <c r="H71" s="155"/>
      <c r="I71" s="155"/>
      <c r="J71" s="254"/>
      <c r="K71" s="254"/>
      <c r="L71" s="177"/>
      <c r="M71" s="155"/>
      <c r="N71" s="155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</row>
    <row r="72" ht="15.75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254"/>
      <c r="K72" s="254"/>
      <c r="L72" s="177"/>
      <c r="M72" s="155"/>
      <c r="N72" s="155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</row>
    <row r="73" ht="15.75" customHeight="1">
      <c r="A73" s="155"/>
      <c r="B73" s="155"/>
      <c r="C73" s="155"/>
      <c r="D73" s="155"/>
      <c r="E73" s="155"/>
      <c r="F73" s="155"/>
      <c r="G73" s="155"/>
      <c r="H73" s="155"/>
      <c r="I73" s="155"/>
      <c r="J73" s="254"/>
      <c r="K73" s="254"/>
      <c r="L73" s="177"/>
      <c r="M73" s="155"/>
      <c r="N73" s="155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</row>
    <row r="74" ht="15.75" customHeight="1">
      <c r="A74" s="155"/>
      <c r="B74" s="155"/>
      <c r="C74" s="155"/>
      <c r="D74" s="155"/>
      <c r="E74" s="155"/>
      <c r="F74" s="155"/>
      <c r="G74" s="155"/>
      <c r="H74" s="155"/>
      <c r="I74" s="155"/>
      <c r="J74" s="254"/>
      <c r="K74" s="254"/>
      <c r="L74" s="177"/>
      <c r="M74" s="155"/>
      <c r="N74" s="155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254"/>
      <c r="K75" s="254"/>
      <c r="L75" s="177"/>
      <c r="M75" s="155"/>
      <c r="N75" s="155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254"/>
      <c r="K76" s="254"/>
      <c r="L76" s="177"/>
      <c r="M76" s="155"/>
      <c r="N76" s="155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</row>
    <row r="77" ht="15.75" customHeight="1">
      <c r="A77" s="155"/>
      <c r="B77" s="155"/>
      <c r="C77" s="155"/>
      <c r="D77" s="155"/>
      <c r="E77" s="155"/>
      <c r="F77" s="155"/>
      <c r="G77" s="155"/>
      <c r="H77" s="155"/>
      <c r="I77" s="155"/>
      <c r="J77" s="254"/>
      <c r="K77" s="254"/>
      <c r="L77" s="177"/>
      <c r="M77" s="155"/>
      <c r="N77" s="155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</row>
    <row r="78" ht="15.75" customHeight="1">
      <c r="A78" s="155"/>
      <c r="B78" s="155"/>
      <c r="C78" s="155"/>
      <c r="D78" s="155"/>
      <c r="E78" s="155"/>
      <c r="F78" s="155"/>
      <c r="G78" s="155"/>
      <c r="H78" s="155"/>
      <c r="I78" s="155"/>
      <c r="J78" s="254"/>
      <c r="K78" s="254"/>
      <c r="L78" s="177"/>
      <c r="M78" s="155"/>
      <c r="N78" s="155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</row>
    <row r="79" ht="15.75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254"/>
      <c r="K79" s="254"/>
      <c r="L79" s="177"/>
      <c r="M79" s="155"/>
      <c r="N79" s="155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</row>
    <row r="80" ht="15.75" customHeight="1">
      <c r="A80" s="155"/>
      <c r="B80" s="155"/>
      <c r="C80" s="155"/>
      <c r="D80" s="155"/>
      <c r="E80" s="155"/>
      <c r="F80" s="155"/>
      <c r="G80" s="155"/>
      <c r="H80" s="155"/>
      <c r="I80" s="155"/>
      <c r="J80" s="254"/>
      <c r="K80" s="254"/>
      <c r="L80" s="177"/>
      <c r="M80" s="155"/>
      <c r="N80" s="155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</row>
    <row r="81" ht="15.75" customHeight="1">
      <c r="A81" s="155"/>
      <c r="B81" s="155"/>
      <c r="C81" s="155"/>
      <c r="D81" s="155"/>
      <c r="E81" s="155"/>
      <c r="F81" s="155"/>
      <c r="G81" s="155"/>
      <c r="H81" s="155"/>
      <c r="I81" s="155"/>
      <c r="J81" s="254"/>
      <c r="K81" s="254"/>
      <c r="L81" s="177"/>
      <c r="M81" s="155"/>
      <c r="N81" s="155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</row>
    <row r="82" ht="15.75" customHeight="1">
      <c r="A82" s="155"/>
      <c r="B82" s="155"/>
      <c r="C82" s="155"/>
      <c r="D82" s="155"/>
      <c r="E82" s="155"/>
      <c r="F82" s="155"/>
      <c r="G82" s="155"/>
      <c r="H82" s="155"/>
      <c r="I82" s="155"/>
      <c r="J82" s="254"/>
      <c r="K82" s="254"/>
      <c r="L82" s="177"/>
      <c r="M82" s="155"/>
      <c r="N82" s="155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</row>
    <row r="83" ht="15.7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254"/>
      <c r="K83" s="254"/>
      <c r="L83" s="177"/>
      <c r="M83" s="155"/>
      <c r="N83" s="155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</row>
    <row r="84" ht="15.75" customHeight="1">
      <c r="A84" s="155"/>
      <c r="B84" s="155"/>
      <c r="C84" s="155"/>
      <c r="D84" s="155"/>
      <c r="E84" s="155"/>
      <c r="F84" s="155"/>
      <c r="G84" s="155"/>
      <c r="H84" s="155"/>
      <c r="I84" s="155"/>
      <c r="J84" s="254"/>
      <c r="K84" s="254"/>
      <c r="L84" s="169"/>
      <c r="M84" s="155"/>
      <c r="N84" s="155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</row>
    <row r="85" ht="15.75" customHeight="1">
      <c r="A85" s="155"/>
      <c r="B85" s="155"/>
      <c r="C85" s="155"/>
      <c r="D85" s="155"/>
      <c r="E85" s="155"/>
      <c r="F85" s="155"/>
      <c r="G85" s="155"/>
      <c r="H85" s="155"/>
      <c r="I85" s="155"/>
      <c r="J85" s="254"/>
      <c r="K85" s="254"/>
      <c r="L85" s="177"/>
      <c r="M85" s="155"/>
      <c r="N85" s="155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254"/>
      <c r="K86" s="254"/>
      <c r="L86" s="177"/>
      <c r="M86" s="155"/>
      <c r="N86" s="155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</row>
    <row r="87" ht="15.7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254"/>
      <c r="K87" s="254"/>
      <c r="L87" s="177"/>
      <c r="M87" s="155"/>
      <c r="N87" s="155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</row>
    <row r="88" ht="15.75" customHeight="1">
      <c r="A88" s="155"/>
      <c r="B88" s="155"/>
      <c r="C88" s="155"/>
      <c r="D88" s="155"/>
      <c r="E88" s="155"/>
      <c r="F88" s="155"/>
      <c r="G88" s="155"/>
      <c r="H88" s="155"/>
      <c r="I88" s="155"/>
      <c r="J88" s="254"/>
      <c r="K88" s="254"/>
      <c r="L88" s="177"/>
      <c r="M88" s="155"/>
      <c r="N88" s="155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</row>
    <row r="89" ht="15.7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254"/>
      <c r="K89" s="254"/>
      <c r="L89" s="177"/>
      <c r="M89" s="155"/>
      <c r="N89" s="155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</row>
    <row r="90" ht="15.7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254"/>
      <c r="K90" s="254"/>
      <c r="L90" s="177"/>
      <c r="M90" s="155"/>
      <c r="N90" s="155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254"/>
      <c r="K91" s="254"/>
      <c r="L91" s="177"/>
      <c r="M91" s="155"/>
      <c r="N91" s="155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</row>
    <row r="92" ht="15.7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254"/>
      <c r="K92" s="254"/>
      <c r="L92" s="177"/>
      <c r="M92" s="155"/>
      <c r="N92" s="155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</row>
    <row r="93" ht="15.7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254"/>
      <c r="K93" s="254"/>
      <c r="L93" s="177"/>
      <c r="M93" s="155"/>
      <c r="N93" s="155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254"/>
      <c r="K94" s="254"/>
      <c r="L94" s="177"/>
      <c r="M94" s="155"/>
      <c r="N94" s="155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254"/>
      <c r="K95" s="254"/>
      <c r="L95" s="177"/>
      <c r="M95" s="155"/>
      <c r="N95" s="155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254"/>
      <c r="K96" s="254"/>
      <c r="L96" s="177"/>
      <c r="M96" s="155"/>
      <c r="N96" s="155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254"/>
      <c r="K97" s="254"/>
      <c r="L97" s="177"/>
      <c r="M97" s="155"/>
      <c r="N97" s="155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254"/>
      <c r="K98" s="254"/>
      <c r="L98" s="177"/>
      <c r="M98" s="155"/>
      <c r="N98" s="155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254"/>
      <c r="K99" s="254"/>
      <c r="L99" s="177"/>
      <c r="M99" s="155"/>
      <c r="N99" s="155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254"/>
      <c r="K100" s="254"/>
      <c r="L100" s="177"/>
      <c r="M100" s="155"/>
      <c r="N100" s="155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254"/>
      <c r="K101" s="254"/>
      <c r="L101" s="177"/>
      <c r="M101" s="155"/>
      <c r="N101" s="155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254"/>
      <c r="K102" s="254"/>
      <c r="L102" s="177"/>
      <c r="M102" s="155"/>
      <c r="N102" s="155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254"/>
      <c r="K103" s="254"/>
      <c r="L103" s="169"/>
      <c r="M103" s="155"/>
      <c r="N103" s="155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254"/>
      <c r="K104" s="254"/>
      <c r="L104" s="177"/>
      <c r="M104" s="155"/>
      <c r="N104" s="155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254"/>
      <c r="K105" s="254"/>
      <c r="L105" s="177"/>
      <c r="M105" s="155"/>
      <c r="N105" s="155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254"/>
      <c r="K106" s="254"/>
      <c r="L106" s="177"/>
      <c r="M106" s="155"/>
      <c r="N106" s="155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254"/>
      <c r="K107" s="254"/>
      <c r="L107" s="177"/>
      <c r="M107" s="155"/>
      <c r="N107" s="155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254"/>
      <c r="K108" s="254"/>
      <c r="L108" s="177"/>
      <c r="M108" s="155"/>
      <c r="N108" s="155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254"/>
      <c r="K109" s="254"/>
      <c r="L109" s="177"/>
      <c r="M109" s="155"/>
      <c r="N109" s="155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254"/>
      <c r="K110" s="254"/>
      <c r="L110" s="177"/>
      <c r="M110" s="155"/>
      <c r="N110" s="155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254"/>
      <c r="K111" s="254"/>
      <c r="L111" s="177"/>
      <c r="M111" s="155"/>
      <c r="N111" s="155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254"/>
      <c r="K112" s="254"/>
      <c r="L112" s="177"/>
      <c r="M112" s="155"/>
      <c r="N112" s="155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254"/>
      <c r="K113" s="254"/>
      <c r="L113" s="177"/>
      <c r="M113" s="155"/>
      <c r="N113" s="155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254"/>
      <c r="K114" s="254"/>
      <c r="L114" s="177"/>
      <c r="M114" s="155"/>
      <c r="N114" s="155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254"/>
      <c r="K115" s="254"/>
      <c r="L115" s="177"/>
      <c r="M115" s="155"/>
      <c r="N115" s="155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254"/>
      <c r="K116" s="254"/>
      <c r="L116" s="177"/>
      <c r="M116" s="155"/>
      <c r="N116" s="155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254"/>
      <c r="K117" s="254"/>
      <c r="L117" s="177"/>
      <c r="M117" s="155"/>
      <c r="N117" s="155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254"/>
      <c r="K118" s="254"/>
      <c r="L118" s="177"/>
      <c r="M118" s="155"/>
      <c r="N118" s="155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254"/>
      <c r="K119" s="254"/>
      <c r="L119" s="177"/>
      <c r="M119" s="155"/>
      <c r="N119" s="155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254"/>
      <c r="K120" s="254"/>
      <c r="L120" s="177"/>
      <c r="M120" s="155"/>
      <c r="N120" s="155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254"/>
      <c r="K121" s="254"/>
      <c r="L121" s="177"/>
      <c r="M121" s="155"/>
      <c r="N121" s="155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254"/>
      <c r="K122" s="254"/>
      <c r="L122" s="169"/>
      <c r="M122" s="155"/>
      <c r="N122" s="155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254"/>
      <c r="K123" s="254"/>
      <c r="L123" s="177"/>
      <c r="M123" s="155"/>
      <c r="N123" s="155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254"/>
      <c r="K124" s="254"/>
      <c r="L124" s="177"/>
      <c r="M124" s="155"/>
      <c r="N124" s="155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254"/>
      <c r="K125" s="254"/>
      <c r="L125" s="177"/>
      <c r="M125" s="155"/>
      <c r="N125" s="155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254"/>
      <c r="K126" s="254"/>
      <c r="L126" s="177"/>
      <c r="M126" s="155"/>
      <c r="N126" s="155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254"/>
      <c r="K127" s="254"/>
      <c r="L127" s="177"/>
      <c r="M127" s="155"/>
      <c r="N127" s="155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254"/>
      <c r="K128" s="254"/>
      <c r="L128" s="177"/>
      <c r="M128" s="155"/>
      <c r="N128" s="155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254"/>
      <c r="K129" s="254"/>
      <c r="L129" s="177"/>
      <c r="M129" s="155"/>
      <c r="N129" s="155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254"/>
      <c r="K130" s="254"/>
      <c r="L130" s="177"/>
      <c r="M130" s="155"/>
      <c r="N130" s="155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254"/>
      <c r="K131" s="254"/>
      <c r="L131" s="177"/>
      <c r="M131" s="155"/>
      <c r="N131" s="155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254"/>
      <c r="K132" s="254"/>
      <c r="L132" s="177"/>
      <c r="M132" s="155"/>
      <c r="N132" s="155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254"/>
      <c r="K133" s="254"/>
      <c r="L133" s="177"/>
      <c r="M133" s="155"/>
      <c r="N133" s="155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254"/>
      <c r="K134" s="254"/>
      <c r="L134" s="177"/>
      <c r="M134" s="155"/>
      <c r="N134" s="155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254"/>
      <c r="K135" s="254"/>
      <c r="L135" s="177"/>
      <c r="M135" s="155"/>
      <c r="N135" s="155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  <c r="AA135" s="177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254"/>
      <c r="K136" s="254"/>
      <c r="L136" s="177"/>
      <c r="M136" s="155"/>
      <c r="N136" s="155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254"/>
      <c r="K137" s="254"/>
      <c r="L137" s="177"/>
      <c r="M137" s="155"/>
      <c r="N137" s="155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254"/>
      <c r="K138" s="254"/>
      <c r="L138" s="177"/>
      <c r="M138" s="155"/>
      <c r="N138" s="155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254"/>
      <c r="K139" s="254"/>
      <c r="L139" s="177"/>
      <c r="M139" s="155"/>
      <c r="N139" s="155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254"/>
      <c r="K140" s="254"/>
      <c r="L140" s="177"/>
      <c r="M140" s="155"/>
      <c r="N140" s="155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254"/>
      <c r="K141" s="254"/>
      <c r="L141" s="169"/>
      <c r="M141" s="155"/>
      <c r="N141" s="155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254"/>
      <c r="K142" s="254"/>
      <c r="L142" s="177"/>
      <c r="M142" s="155"/>
      <c r="N142" s="155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  <c r="AA142" s="177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254"/>
      <c r="K143" s="254"/>
      <c r="L143" s="177"/>
      <c r="M143" s="155"/>
      <c r="N143" s="155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254"/>
      <c r="K144" s="254"/>
      <c r="L144" s="177"/>
      <c r="M144" s="155"/>
      <c r="N144" s="155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  <c r="AA144" s="177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254"/>
      <c r="K145" s="254"/>
      <c r="L145" s="177"/>
      <c r="M145" s="155"/>
      <c r="N145" s="155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254"/>
      <c r="K146" s="254"/>
      <c r="L146" s="177"/>
      <c r="M146" s="155"/>
      <c r="N146" s="155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  <c r="AA146" s="177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254"/>
      <c r="K147" s="254"/>
      <c r="L147" s="177"/>
      <c r="M147" s="155"/>
      <c r="N147" s="155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254"/>
      <c r="K148" s="254"/>
      <c r="L148" s="177"/>
      <c r="M148" s="155"/>
      <c r="N148" s="155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254"/>
      <c r="K149" s="254"/>
      <c r="L149" s="177"/>
      <c r="M149" s="155"/>
      <c r="N149" s="155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254"/>
      <c r="K150" s="254"/>
      <c r="L150" s="177"/>
      <c r="M150" s="155"/>
      <c r="N150" s="155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  <c r="AA150" s="177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254"/>
      <c r="K151" s="254"/>
      <c r="L151" s="177"/>
      <c r="M151" s="155"/>
      <c r="N151" s="155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254"/>
      <c r="K152" s="254"/>
      <c r="L152" s="177"/>
      <c r="M152" s="155"/>
      <c r="N152" s="155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254"/>
      <c r="K153" s="254"/>
      <c r="L153" s="177"/>
      <c r="M153" s="155"/>
      <c r="N153" s="155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254"/>
      <c r="K154" s="254"/>
      <c r="L154" s="177"/>
      <c r="M154" s="155"/>
      <c r="N154" s="155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254"/>
      <c r="K155" s="254"/>
      <c r="L155" s="177"/>
      <c r="M155" s="155"/>
      <c r="N155" s="155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254"/>
      <c r="K156" s="254"/>
      <c r="L156" s="177"/>
      <c r="M156" s="155"/>
      <c r="N156" s="155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254"/>
      <c r="K157" s="254"/>
      <c r="L157" s="177"/>
      <c r="M157" s="155"/>
      <c r="N157" s="155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254"/>
      <c r="K158" s="254"/>
      <c r="L158" s="177"/>
      <c r="M158" s="155"/>
      <c r="N158" s="155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254"/>
      <c r="K159" s="254"/>
      <c r="L159" s="177"/>
      <c r="M159" s="155"/>
      <c r="N159" s="155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254"/>
      <c r="K160" s="254"/>
      <c r="L160" s="169"/>
      <c r="M160" s="155"/>
      <c r="N160" s="155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254"/>
      <c r="K161" s="254"/>
      <c r="L161" s="177"/>
      <c r="M161" s="155"/>
      <c r="N161" s="155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254"/>
      <c r="K162" s="254"/>
      <c r="L162" s="177"/>
      <c r="M162" s="155"/>
      <c r="N162" s="155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254"/>
      <c r="K163" s="254"/>
      <c r="L163" s="177"/>
      <c r="M163" s="155"/>
      <c r="N163" s="155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254"/>
      <c r="K164" s="254"/>
      <c r="L164" s="177"/>
      <c r="M164" s="155"/>
      <c r="N164" s="155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  <c r="AA164" s="177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254"/>
      <c r="K165" s="254"/>
      <c r="L165" s="177"/>
      <c r="M165" s="155"/>
      <c r="N165" s="155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254"/>
      <c r="K166" s="254"/>
      <c r="L166" s="177"/>
      <c r="M166" s="155"/>
      <c r="N166" s="155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  <c r="AA166" s="177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254"/>
      <c r="K167" s="254"/>
      <c r="L167" s="177"/>
      <c r="M167" s="155"/>
      <c r="N167" s="155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254"/>
      <c r="K168" s="254"/>
      <c r="L168" s="177"/>
      <c r="M168" s="155"/>
      <c r="N168" s="155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254"/>
      <c r="K169" s="254"/>
      <c r="L169" s="177"/>
      <c r="M169" s="155"/>
      <c r="N169" s="155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254"/>
      <c r="K170" s="254"/>
      <c r="L170" s="177"/>
      <c r="M170" s="155"/>
      <c r="N170" s="155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254"/>
      <c r="K171" s="254"/>
      <c r="L171" s="177"/>
      <c r="M171" s="155"/>
      <c r="N171" s="155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254"/>
      <c r="K172" s="254"/>
      <c r="L172" s="177"/>
      <c r="M172" s="155"/>
      <c r="N172" s="155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254"/>
      <c r="K173" s="254"/>
      <c r="L173" s="177"/>
      <c r="M173" s="155"/>
      <c r="N173" s="155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254"/>
      <c r="K174" s="254"/>
      <c r="L174" s="177"/>
      <c r="M174" s="155"/>
      <c r="N174" s="155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254"/>
      <c r="K175" s="254"/>
      <c r="L175" s="177"/>
      <c r="M175" s="155"/>
      <c r="N175" s="155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254"/>
      <c r="K176" s="254"/>
      <c r="L176" s="177"/>
      <c r="M176" s="155"/>
      <c r="N176" s="155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254"/>
      <c r="K177" s="254"/>
      <c r="L177" s="177"/>
      <c r="M177" s="155"/>
      <c r="N177" s="155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254"/>
      <c r="K178" s="254"/>
      <c r="L178" s="177"/>
      <c r="M178" s="155"/>
      <c r="N178" s="155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254"/>
      <c r="K179" s="254"/>
      <c r="L179" s="169"/>
      <c r="M179" s="155"/>
      <c r="N179" s="155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254"/>
      <c r="K180" s="254"/>
      <c r="L180" s="177"/>
      <c r="M180" s="155"/>
      <c r="N180" s="155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254"/>
      <c r="K181" s="254"/>
      <c r="L181" s="177"/>
      <c r="M181" s="155"/>
      <c r="N181" s="155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  <c r="AA181" s="177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254"/>
      <c r="K182" s="254"/>
      <c r="L182" s="177"/>
      <c r="M182" s="155"/>
      <c r="N182" s="155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  <c r="AA182" s="177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254"/>
      <c r="K183" s="254"/>
      <c r="L183" s="177"/>
      <c r="M183" s="155"/>
      <c r="N183" s="155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254"/>
      <c r="K184" s="254"/>
      <c r="L184" s="177"/>
      <c r="M184" s="155"/>
      <c r="N184" s="155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254"/>
      <c r="K185" s="254"/>
      <c r="L185" s="177"/>
      <c r="M185" s="155"/>
      <c r="N185" s="155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254"/>
      <c r="K186" s="254"/>
      <c r="L186" s="177"/>
      <c r="M186" s="155"/>
      <c r="N186" s="155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254"/>
      <c r="K187" s="254"/>
      <c r="L187" s="177"/>
      <c r="M187" s="155"/>
      <c r="N187" s="155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254"/>
      <c r="K188" s="254"/>
      <c r="L188" s="177"/>
      <c r="M188" s="155"/>
      <c r="N188" s="155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254"/>
      <c r="K189" s="254"/>
      <c r="L189" s="177"/>
      <c r="M189" s="155"/>
      <c r="N189" s="155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254"/>
      <c r="K190" s="254"/>
      <c r="L190" s="177"/>
      <c r="M190" s="155"/>
      <c r="N190" s="155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254"/>
      <c r="K191" s="254"/>
      <c r="L191" s="177"/>
      <c r="M191" s="155"/>
      <c r="N191" s="155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254"/>
      <c r="K192" s="254"/>
      <c r="L192" s="177"/>
      <c r="M192" s="155"/>
      <c r="N192" s="155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254"/>
      <c r="K193" s="254"/>
      <c r="L193" s="177"/>
      <c r="M193" s="155"/>
      <c r="N193" s="155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254"/>
      <c r="K194" s="254"/>
      <c r="L194" s="177"/>
      <c r="M194" s="155"/>
      <c r="N194" s="155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254"/>
      <c r="K195" s="254"/>
      <c r="L195" s="177"/>
      <c r="M195" s="155"/>
      <c r="N195" s="155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254"/>
      <c r="K196" s="254"/>
      <c r="L196" s="177"/>
      <c r="M196" s="155"/>
      <c r="N196" s="155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254"/>
      <c r="K197" s="254"/>
      <c r="L197" s="177"/>
      <c r="M197" s="155"/>
      <c r="N197" s="155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254"/>
      <c r="K198" s="254"/>
      <c r="L198" s="169"/>
      <c r="M198" s="155"/>
      <c r="N198" s="155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254"/>
      <c r="K199" s="254"/>
      <c r="L199" s="177"/>
      <c r="M199" s="155"/>
      <c r="N199" s="155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254"/>
      <c r="K200" s="254"/>
      <c r="L200" s="177"/>
      <c r="M200" s="155"/>
      <c r="N200" s="155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254"/>
      <c r="K201" s="254"/>
      <c r="L201" s="177"/>
      <c r="M201" s="155"/>
      <c r="N201" s="155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254"/>
      <c r="K202" s="254"/>
      <c r="L202" s="177"/>
      <c r="M202" s="155"/>
      <c r="N202" s="155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254"/>
      <c r="K203" s="254"/>
      <c r="L203" s="177"/>
      <c r="M203" s="155"/>
      <c r="N203" s="155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254"/>
      <c r="K204" s="254"/>
      <c r="L204" s="177"/>
      <c r="M204" s="155"/>
      <c r="N204" s="155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254"/>
      <c r="K205" s="254"/>
      <c r="L205" s="177"/>
      <c r="M205" s="155"/>
      <c r="N205" s="155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254"/>
      <c r="K206" s="254"/>
      <c r="L206" s="177"/>
      <c r="M206" s="155"/>
      <c r="N206" s="155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254"/>
      <c r="K207" s="254"/>
      <c r="L207" s="177"/>
      <c r="M207" s="155"/>
      <c r="N207" s="155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254"/>
      <c r="K208" s="254"/>
      <c r="L208" s="177"/>
      <c r="M208" s="155"/>
      <c r="N208" s="155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254"/>
      <c r="K209" s="254"/>
      <c r="L209" s="177"/>
      <c r="M209" s="155"/>
      <c r="N209" s="155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254"/>
      <c r="K210" s="254"/>
      <c r="L210" s="177"/>
      <c r="M210" s="155"/>
      <c r="N210" s="155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254"/>
      <c r="K211" s="254"/>
      <c r="L211" s="177"/>
      <c r="M211" s="155"/>
      <c r="N211" s="155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254"/>
      <c r="K212" s="254"/>
      <c r="L212" s="177"/>
      <c r="M212" s="155"/>
      <c r="N212" s="155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254"/>
      <c r="K213" s="254"/>
      <c r="L213" s="177"/>
      <c r="M213" s="155"/>
      <c r="N213" s="155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254"/>
      <c r="K214" s="254"/>
      <c r="L214" s="177"/>
      <c r="M214" s="155"/>
      <c r="N214" s="155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254"/>
      <c r="K215" s="254"/>
      <c r="L215" s="177"/>
      <c r="M215" s="155"/>
      <c r="N215" s="155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254"/>
      <c r="K216" s="254"/>
      <c r="L216" s="177"/>
      <c r="M216" s="155"/>
      <c r="N216" s="155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254"/>
      <c r="K217" s="254"/>
      <c r="L217" s="169"/>
      <c r="M217" s="155"/>
      <c r="N217" s="155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254"/>
      <c r="K218" s="254"/>
      <c r="L218" s="177"/>
      <c r="M218" s="155"/>
      <c r="N218" s="155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254"/>
      <c r="K219" s="254"/>
      <c r="L219" s="177"/>
      <c r="M219" s="155"/>
      <c r="N219" s="155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254"/>
      <c r="K220" s="254"/>
      <c r="L220" s="177"/>
      <c r="M220" s="155"/>
      <c r="N220" s="155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254"/>
      <c r="K221" s="254"/>
      <c r="L221" s="177"/>
      <c r="M221" s="155"/>
      <c r="N221" s="155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254"/>
      <c r="K222" s="254"/>
      <c r="L222" s="177"/>
      <c r="M222" s="155"/>
      <c r="N222" s="155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254"/>
      <c r="K223" s="254"/>
      <c r="L223" s="177"/>
      <c r="M223" s="155"/>
      <c r="N223" s="155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254"/>
      <c r="K224" s="254"/>
      <c r="L224" s="177"/>
      <c r="M224" s="155"/>
      <c r="N224" s="155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254"/>
      <c r="K225" s="254"/>
      <c r="L225" s="177"/>
      <c r="M225" s="155"/>
      <c r="N225" s="155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254"/>
      <c r="K226" s="254"/>
      <c r="L226" s="177"/>
      <c r="M226" s="155"/>
      <c r="N226" s="155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254"/>
      <c r="K227" s="254"/>
      <c r="L227" s="177"/>
      <c r="M227" s="155"/>
      <c r="N227" s="155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A227" s="177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254"/>
      <c r="K228" s="254"/>
      <c r="L228" s="177"/>
      <c r="M228" s="155"/>
      <c r="N228" s="155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254"/>
      <c r="K229" s="254"/>
      <c r="L229" s="177"/>
      <c r="M229" s="155"/>
      <c r="N229" s="155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254"/>
      <c r="K230" s="254"/>
      <c r="L230" s="177"/>
      <c r="M230" s="155"/>
      <c r="N230" s="155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254"/>
      <c r="K231" s="254"/>
      <c r="L231" s="177"/>
      <c r="M231" s="155"/>
      <c r="N231" s="155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254"/>
      <c r="K232" s="254"/>
      <c r="L232" s="177"/>
      <c r="M232" s="155"/>
      <c r="N232" s="155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254"/>
      <c r="K233" s="254"/>
      <c r="L233" s="177"/>
      <c r="M233" s="155"/>
      <c r="N233" s="155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254"/>
      <c r="K234" s="254"/>
      <c r="L234" s="177"/>
      <c r="M234" s="155"/>
      <c r="N234" s="155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254"/>
      <c r="K235" s="254"/>
      <c r="L235" s="177"/>
      <c r="M235" s="155"/>
      <c r="N235" s="155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254"/>
      <c r="K236" s="254"/>
      <c r="L236" s="169"/>
      <c r="M236" s="155"/>
      <c r="N236" s="155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254"/>
      <c r="K237" s="254"/>
      <c r="L237" s="177"/>
      <c r="M237" s="155"/>
      <c r="N237" s="155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254"/>
      <c r="K238" s="254"/>
      <c r="L238" s="177"/>
      <c r="M238" s="155"/>
      <c r="N238" s="155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254"/>
      <c r="K239" s="254"/>
      <c r="L239" s="177"/>
      <c r="M239" s="155"/>
      <c r="N239" s="155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254"/>
      <c r="K240" s="254"/>
      <c r="L240" s="177"/>
      <c r="M240" s="155"/>
      <c r="N240" s="155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254"/>
      <c r="K241" s="254"/>
      <c r="L241" s="177"/>
      <c r="M241" s="155"/>
      <c r="N241" s="155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254"/>
      <c r="K242" s="254"/>
      <c r="L242" s="177"/>
      <c r="M242" s="155"/>
      <c r="N242" s="155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254"/>
      <c r="K243" s="254"/>
      <c r="L243" s="177"/>
      <c r="M243" s="155"/>
      <c r="N243" s="155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254"/>
      <c r="K244" s="254"/>
      <c r="L244" s="177"/>
      <c r="M244" s="155"/>
      <c r="N244" s="155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254"/>
      <c r="K245" s="254"/>
      <c r="L245" s="177"/>
      <c r="M245" s="155"/>
      <c r="N245" s="155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254"/>
      <c r="K246" s="254"/>
      <c r="L246" s="177"/>
      <c r="M246" s="155"/>
      <c r="N246" s="155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254"/>
      <c r="K247" s="254"/>
      <c r="L247" s="177"/>
      <c r="M247" s="155"/>
      <c r="N247" s="155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254"/>
      <c r="K248" s="254"/>
      <c r="L248" s="177"/>
      <c r="M248" s="155"/>
      <c r="N248" s="155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254"/>
      <c r="K249" s="254"/>
      <c r="L249" s="177"/>
      <c r="M249" s="155"/>
      <c r="N249" s="155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254"/>
      <c r="K250" s="254"/>
      <c r="L250" s="177"/>
      <c r="M250" s="155"/>
      <c r="N250" s="155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254"/>
      <c r="K251" s="254"/>
      <c r="L251" s="177"/>
      <c r="M251" s="155"/>
      <c r="N251" s="155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254"/>
      <c r="K252" s="254"/>
      <c r="L252" s="177"/>
      <c r="M252" s="155"/>
      <c r="N252" s="155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254"/>
      <c r="K253" s="254"/>
      <c r="L253" s="177"/>
      <c r="M253" s="155"/>
      <c r="N253" s="155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254"/>
      <c r="K254" s="254"/>
      <c r="L254" s="177"/>
      <c r="M254" s="155"/>
      <c r="N254" s="155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254"/>
      <c r="K255" s="254"/>
      <c r="L255" s="169"/>
      <c r="M255" s="155"/>
      <c r="N255" s="155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254"/>
      <c r="K256" s="254"/>
      <c r="L256" s="177"/>
      <c r="M256" s="155"/>
      <c r="N256" s="155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254"/>
      <c r="K257" s="254"/>
      <c r="L257" s="177"/>
      <c r="M257" s="155"/>
      <c r="N257" s="155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254"/>
      <c r="K258" s="254"/>
      <c r="L258" s="177"/>
      <c r="M258" s="155"/>
      <c r="N258" s="155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  <c r="AA258" s="177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254"/>
      <c r="K259" s="254"/>
      <c r="L259" s="177"/>
      <c r="M259" s="155"/>
      <c r="N259" s="155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254"/>
      <c r="K260" s="254"/>
      <c r="L260" s="177"/>
      <c r="M260" s="155"/>
      <c r="N260" s="155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254"/>
      <c r="K261" s="254"/>
      <c r="L261" s="177"/>
      <c r="M261" s="155"/>
      <c r="N261" s="155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254"/>
      <c r="K262" s="254"/>
      <c r="L262" s="177"/>
      <c r="M262" s="155"/>
      <c r="N262" s="155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  <c r="AA262" s="177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254"/>
      <c r="K263" s="254"/>
      <c r="L263" s="177"/>
      <c r="M263" s="155"/>
      <c r="N263" s="155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  <c r="AA263" s="177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254"/>
      <c r="K264" s="254"/>
      <c r="L264" s="177"/>
      <c r="M264" s="155"/>
      <c r="N264" s="155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  <c r="AA264" s="177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254"/>
      <c r="K265" s="254"/>
      <c r="L265" s="177"/>
      <c r="M265" s="155"/>
      <c r="N265" s="155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  <c r="AA265" s="177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254"/>
      <c r="K266" s="254"/>
      <c r="L266" s="177"/>
      <c r="M266" s="155"/>
      <c r="N266" s="155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254"/>
      <c r="K267" s="254"/>
      <c r="L267" s="177"/>
      <c r="M267" s="155"/>
      <c r="N267" s="155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  <c r="AA267" s="177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254"/>
      <c r="K268" s="254"/>
      <c r="L268" s="177"/>
      <c r="M268" s="155"/>
      <c r="N268" s="155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  <c r="AA268" s="177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254"/>
      <c r="K269" s="254"/>
      <c r="L269" s="177"/>
      <c r="M269" s="155"/>
      <c r="N269" s="155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  <c r="AA269" s="177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254"/>
      <c r="K270" s="254"/>
      <c r="L270" s="177"/>
      <c r="M270" s="155"/>
      <c r="N270" s="155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  <c r="AA270" s="177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254"/>
      <c r="K271" s="254"/>
      <c r="L271" s="177"/>
      <c r="M271" s="155"/>
      <c r="N271" s="155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  <c r="AA271" s="177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254"/>
      <c r="K272" s="254"/>
      <c r="L272" s="177"/>
      <c r="M272" s="155"/>
      <c r="N272" s="155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  <c r="AA272" s="177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254"/>
      <c r="K273" s="254"/>
      <c r="L273" s="177"/>
      <c r="M273" s="155"/>
      <c r="N273" s="155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254"/>
      <c r="K274" s="254"/>
      <c r="L274" s="169"/>
      <c r="M274" s="155"/>
      <c r="N274" s="155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254"/>
      <c r="K275" s="254"/>
      <c r="L275" s="177"/>
      <c r="M275" s="155"/>
      <c r="N275" s="155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254"/>
      <c r="K276" s="254"/>
      <c r="L276" s="177"/>
      <c r="M276" s="155"/>
      <c r="N276" s="155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254"/>
      <c r="K277" s="254"/>
      <c r="L277" s="177"/>
      <c r="M277" s="155"/>
      <c r="N277" s="155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254"/>
      <c r="K278" s="254"/>
      <c r="L278" s="177"/>
      <c r="M278" s="155"/>
      <c r="N278" s="155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254"/>
      <c r="K279" s="254"/>
      <c r="L279" s="177"/>
      <c r="M279" s="155"/>
      <c r="N279" s="155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  <c r="AA279" s="177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254"/>
      <c r="K280" s="254"/>
      <c r="L280" s="177"/>
      <c r="M280" s="155"/>
      <c r="N280" s="155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254"/>
      <c r="K281" s="254"/>
      <c r="L281" s="177"/>
      <c r="M281" s="155"/>
      <c r="N281" s="155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254"/>
      <c r="K282" s="254"/>
      <c r="L282" s="177"/>
      <c r="M282" s="155"/>
      <c r="N282" s="155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7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254"/>
      <c r="K283" s="254"/>
      <c r="L283" s="177"/>
      <c r="M283" s="155"/>
      <c r="N283" s="155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  <c r="AA283" s="177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254"/>
      <c r="K284" s="254"/>
      <c r="L284" s="177"/>
      <c r="M284" s="155"/>
      <c r="N284" s="155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254"/>
      <c r="K285" s="254"/>
      <c r="L285" s="177"/>
      <c r="M285" s="155"/>
      <c r="N285" s="155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  <c r="AA285" s="177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254"/>
      <c r="K286" s="254"/>
      <c r="L286" s="177"/>
      <c r="M286" s="155"/>
      <c r="N286" s="155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7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254"/>
      <c r="K287" s="254"/>
      <c r="L287" s="177"/>
      <c r="M287" s="155"/>
      <c r="N287" s="155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  <c r="AA287" s="177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254"/>
      <c r="K288" s="254"/>
      <c r="L288" s="177"/>
      <c r="M288" s="155"/>
      <c r="N288" s="155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7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254"/>
      <c r="K289" s="254"/>
      <c r="L289" s="177"/>
      <c r="M289" s="155"/>
      <c r="N289" s="155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  <c r="AA289" s="177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254"/>
      <c r="K290" s="254"/>
      <c r="L290" s="177"/>
      <c r="M290" s="155"/>
      <c r="N290" s="155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254"/>
      <c r="K291" s="254"/>
      <c r="L291" s="177"/>
      <c r="M291" s="155"/>
      <c r="N291" s="155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  <c r="AA291" s="177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254"/>
      <c r="K292" s="254"/>
      <c r="L292" s="177"/>
      <c r="M292" s="155"/>
      <c r="N292" s="155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254"/>
      <c r="K293" s="254"/>
      <c r="L293" s="169"/>
      <c r="M293" s="155"/>
      <c r="N293" s="155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254"/>
      <c r="K294" s="254"/>
      <c r="L294" s="177"/>
      <c r="M294" s="155"/>
      <c r="N294" s="155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  <c r="AA294" s="177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254"/>
      <c r="K295" s="254"/>
      <c r="L295" s="177"/>
      <c r="M295" s="155"/>
      <c r="N295" s="155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  <c r="AA295" s="177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254"/>
      <c r="K296" s="254"/>
      <c r="L296" s="177"/>
      <c r="M296" s="155"/>
      <c r="N296" s="155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254"/>
      <c r="K297" s="254"/>
      <c r="L297" s="177"/>
      <c r="M297" s="155"/>
      <c r="N297" s="155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  <c r="AA297" s="177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254"/>
      <c r="K298" s="254"/>
      <c r="L298" s="177"/>
      <c r="M298" s="155"/>
      <c r="N298" s="155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  <c r="AA298" s="177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254"/>
      <c r="K299" s="254"/>
      <c r="L299" s="177"/>
      <c r="M299" s="155"/>
      <c r="N299" s="155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  <c r="AA299" s="177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254"/>
      <c r="K300" s="254"/>
      <c r="L300" s="177"/>
      <c r="M300" s="155"/>
      <c r="N300" s="155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  <c r="AA300" s="177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254"/>
      <c r="K301" s="254"/>
      <c r="L301" s="177"/>
      <c r="M301" s="155"/>
      <c r="N301" s="155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254"/>
      <c r="K302" s="254"/>
      <c r="L302" s="177"/>
      <c r="M302" s="155"/>
      <c r="N302" s="155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254"/>
      <c r="K303" s="254"/>
      <c r="L303" s="177"/>
      <c r="M303" s="155"/>
      <c r="N303" s="155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177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254"/>
      <c r="K304" s="254"/>
      <c r="L304" s="177"/>
      <c r="M304" s="155"/>
      <c r="N304" s="155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  <c r="AA304" s="177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254"/>
      <c r="K305" s="254"/>
      <c r="L305" s="177"/>
      <c r="M305" s="155"/>
      <c r="N305" s="155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  <c r="AA305" s="177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254"/>
      <c r="K306" s="254"/>
      <c r="L306" s="177"/>
      <c r="M306" s="155"/>
      <c r="N306" s="155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  <c r="AA306" s="177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254"/>
      <c r="K307" s="254"/>
      <c r="L307" s="177"/>
      <c r="M307" s="155"/>
      <c r="N307" s="155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  <c r="AA307" s="177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254"/>
      <c r="K308" s="254"/>
      <c r="L308" s="177"/>
      <c r="M308" s="155"/>
      <c r="N308" s="155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254"/>
      <c r="K309" s="254"/>
      <c r="L309" s="177"/>
      <c r="M309" s="155"/>
      <c r="N309" s="155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254"/>
      <c r="K310" s="254"/>
      <c r="L310" s="177"/>
      <c r="M310" s="155"/>
      <c r="N310" s="155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  <c r="AA310" s="177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254"/>
      <c r="K311" s="254"/>
      <c r="L311" s="177"/>
      <c r="M311" s="155"/>
      <c r="N311" s="155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  <c r="AA311" s="177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254"/>
      <c r="K312" s="254"/>
      <c r="L312" s="169"/>
      <c r="M312" s="155"/>
      <c r="N312" s="155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254"/>
      <c r="K313" s="254"/>
      <c r="L313" s="177"/>
      <c r="M313" s="155"/>
      <c r="N313" s="155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  <c r="AA313" s="177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254"/>
      <c r="K314" s="254"/>
      <c r="L314" s="177"/>
      <c r="M314" s="155"/>
      <c r="N314" s="155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254"/>
      <c r="K315" s="254"/>
      <c r="L315" s="177"/>
      <c r="M315" s="155"/>
      <c r="N315" s="155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  <c r="AA315" s="177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254"/>
      <c r="K316" s="254"/>
      <c r="L316" s="177"/>
      <c r="M316" s="155"/>
      <c r="N316" s="155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254"/>
      <c r="K317" s="254"/>
      <c r="L317" s="177"/>
      <c r="M317" s="155"/>
      <c r="N317" s="155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  <c r="AA317" s="177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254"/>
      <c r="K318" s="254"/>
      <c r="L318" s="177"/>
      <c r="M318" s="155"/>
      <c r="N318" s="155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  <c r="AA318" s="177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254"/>
      <c r="K319" s="254"/>
      <c r="L319" s="177"/>
      <c r="M319" s="155"/>
      <c r="N319" s="155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  <c r="AA319" s="177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254"/>
      <c r="K320" s="254"/>
      <c r="L320" s="177"/>
      <c r="M320" s="155"/>
      <c r="N320" s="155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  <c r="AA320" s="177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254"/>
      <c r="K321" s="254"/>
      <c r="L321" s="177"/>
      <c r="M321" s="155"/>
      <c r="N321" s="155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  <c r="AA321" s="177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254"/>
      <c r="K322" s="254"/>
      <c r="L322" s="177"/>
      <c r="M322" s="155"/>
      <c r="N322" s="155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  <c r="AA322" s="177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254"/>
      <c r="K323" s="254"/>
      <c r="L323" s="177"/>
      <c r="M323" s="155"/>
      <c r="N323" s="155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  <c r="AA323" s="177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254"/>
      <c r="K324" s="254"/>
      <c r="L324" s="177"/>
      <c r="M324" s="155"/>
      <c r="N324" s="155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  <c r="AA324" s="177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254"/>
      <c r="K325" s="254"/>
      <c r="L325" s="177"/>
      <c r="M325" s="155"/>
      <c r="N325" s="155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254"/>
      <c r="K326" s="254"/>
      <c r="L326" s="177"/>
      <c r="M326" s="155"/>
      <c r="N326" s="155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  <c r="AA326" s="177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254"/>
      <c r="K327" s="254"/>
      <c r="L327" s="177"/>
      <c r="M327" s="155"/>
      <c r="N327" s="155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  <c r="AA327" s="177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254"/>
      <c r="K328" s="254"/>
      <c r="L328" s="177"/>
      <c r="M328" s="155"/>
      <c r="N328" s="155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254"/>
      <c r="K329" s="254"/>
      <c r="L329" s="177"/>
      <c r="M329" s="155"/>
      <c r="N329" s="155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  <c r="AA329" s="177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254"/>
      <c r="K330" s="254"/>
      <c r="L330" s="177"/>
      <c r="M330" s="155"/>
      <c r="N330" s="155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  <c r="AA330" s="177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254"/>
      <c r="K331" s="254"/>
      <c r="L331" s="169"/>
      <c r="M331" s="155"/>
      <c r="N331" s="155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254"/>
      <c r="K332" s="254"/>
      <c r="L332" s="177"/>
      <c r="M332" s="155"/>
      <c r="N332" s="155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  <c r="AA332" s="177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254"/>
      <c r="K333" s="254"/>
      <c r="L333" s="177"/>
      <c r="M333" s="155"/>
      <c r="N333" s="155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  <c r="AA333" s="177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254"/>
      <c r="K334" s="254"/>
      <c r="L334" s="177"/>
      <c r="M334" s="155"/>
      <c r="N334" s="155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254"/>
      <c r="K335" s="254"/>
      <c r="L335" s="177"/>
      <c r="M335" s="155"/>
      <c r="N335" s="155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254"/>
      <c r="K336" s="254"/>
      <c r="L336" s="177"/>
      <c r="M336" s="155"/>
      <c r="N336" s="155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254"/>
      <c r="K337" s="254"/>
      <c r="L337" s="177"/>
      <c r="M337" s="155"/>
      <c r="N337" s="155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254"/>
      <c r="K338" s="254"/>
      <c r="L338" s="177"/>
      <c r="M338" s="155"/>
      <c r="N338" s="155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254"/>
      <c r="K339" s="254"/>
      <c r="L339" s="177"/>
      <c r="M339" s="155"/>
      <c r="N339" s="155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254"/>
      <c r="K340" s="254"/>
      <c r="L340" s="177"/>
      <c r="M340" s="155"/>
      <c r="N340" s="155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254"/>
      <c r="K341" s="254"/>
      <c r="L341" s="177"/>
      <c r="M341" s="155"/>
      <c r="N341" s="155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254"/>
      <c r="K342" s="254"/>
      <c r="L342" s="177"/>
      <c r="M342" s="155"/>
      <c r="N342" s="155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254"/>
      <c r="K343" s="254"/>
      <c r="L343" s="177"/>
      <c r="M343" s="155"/>
      <c r="N343" s="155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254"/>
      <c r="K344" s="254"/>
      <c r="L344" s="177"/>
      <c r="M344" s="155"/>
      <c r="N344" s="155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254"/>
      <c r="K345" s="254"/>
      <c r="L345" s="177"/>
      <c r="M345" s="155"/>
      <c r="N345" s="155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254"/>
      <c r="K346" s="254"/>
      <c r="L346" s="177"/>
      <c r="M346" s="155"/>
      <c r="N346" s="155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254"/>
      <c r="K347" s="254"/>
      <c r="L347" s="177"/>
      <c r="M347" s="155"/>
      <c r="N347" s="155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254"/>
      <c r="K348" s="254"/>
      <c r="L348" s="177"/>
      <c r="M348" s="155"/>
      <c r="N348" s="155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254"/>
      <c r="K349" s="254"/>
      <c r="L349" s="177"/>
      <c r="M349" s="155"/>
      <c r="N349" s="155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254"/>
      <c r="K350" s="254"/>
      <c r="L350" s="169"/>
      <c r="M350" s="155"/>
      <c r="N350" s="155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254"/>
      <c r="K351" s="254"/>
      <c r="L351" s="177"/>
      <c r="M351" s="155"/>
      <c r="N351" s="155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254"/>
      <c r="K352" s="254"/>
      <c r="L352" s="177"/>
      <c r="M352" s="155"/>
      <c r="N352" s="155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  <c r="AA352" s="177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254"/>
      <c r="K353" s="254"/>
      <c r="L353" s="177"/>
      <c r="M353" s="155"/>
      <c r="N353" s="155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  <c r="AA353" s="177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254"/>
      <c r="K354" s="254"/>
      <c r="L354" s="177"/>
      <c r="M354" s="155"/>
      <c r="N354" s="155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254"/>
      <c r="K355" s="254"/>
      <c r="L355" s="177"/>
      <c r="M355" s="155"/>
      <c r="N355" s="155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  <c r="AA355" s="177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254"/>
      <c r="K356" s="254"/>
      <c r="L356" s="177"/>
      <c r="M356" s="155"/>
      <c r="N356" s="155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254"/>
      <c r="K357" s="254"/>
      <c r="L357" s="177"/>
      <c r="M357" s="155"/>
      <c r="N357" s="155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254"/>
      <c r="K358" s="254"/>
      <c r="L358" s="177"/>
      <c r="M358" s="155"/>
      <c r="N358" s="155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254"/>
      <c r="K359" s="254"/>
      <c r="L359" s="177"/>
      <c r="M359" s="155"/>
      <c r="N359" s="155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254"/>
      <c r="K360" s="254"/>
      <c r="L360" s="177"/>
      <c r="M360" s="155"/>
      <c r="N360" s="155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254"/>
      <c r="K361" s="254"/>
      <c r="L361" s="177"/>
      <c r="M361" s="155"/>
      <c r="N361" s="155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254"/>
      <c r="K362" s="254"/>
      <c r="L362" s="177"/>
      <c r="M362" s="155"/>
      <c r="N362" s="155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254"/>
      <c r="K363" s="254"/>
      <c r="L363" s="177"/>
      <c r="M363" s="155"/>
      <c r="N363" s="155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254"/>
      <c r="K364" s="254"/>
      <c r="L364" s="177"/>
      <c r="M364" s="155"/>
      <c r="N364" s="155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254"/>
      <c r="K365" s="254"/>
      <c r="L365" s="177"/>
      <c r="M365" s="155"/>
      <c r="N365" s="155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254"/>
      <c r="K366" s="254"/>
      <c r="L366" s="177"/>
      <c r="M366" s="155"/>
      <c r="N366" s="155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254"/>
      <c r="K367" s="254"/>
      <c r="L367" s="177"/>
      <c r="M367" s="155"/>
      <c r="N367" s="155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254"/>
      <c r="K368" s="254"/>
      <c r="L368" s="177"/>
      <c r="M368" s="155"/>
      <c r="N368" s="155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254"/>
      <c r="K369" s="254"/>
      <c r="L369" s="169"/>
      <c r="M369" s="155"/>
      <c r="N369" s="155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254"/>
      <c r="K370" s="254"/>
      <c r="L370" s="177"/>
      <c r="M370" s="155"/>
      <c r="N370" s="155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254"/>
      <c r="K371" s="254"/>
      <c r="L371" s="177"/>
      <c r="M371" s="155"/>
      <c r="N371" s="155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254"/>
      <c r="K372" s="254"/>
      <c r="L372" s="177"/>
      <c r="M372" s="155"/>
      <c r="N372" s="155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254"/>
      <c r="K373" s="254"/>
      <c r="L373" s="177"/>
      <c r="M373" s="155"/>
      <c r="N373" s="155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254"/>
      <c r="K374" s="254"/>
      <c r="L374" s="177"/>
      <c r="M374" s="155"/>
      <c r="N374" s="155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254"/>
      <c r="K375" s="254"/>
      <c r="L375" s="177"/>
      <c r="M375" s="155"/>
      <c r="N375" s="155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  <c r="AA375" s="177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254"/>
      <c r="K376" s="254"/>
      <c r="L376" s="177"/>
      <c r="M376" s="155"/>
      <c r="N376" s="155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254"/>
      <c r="K377" s="254"/>
      <c r="L377" s="177"/>
      <c r="M377" s="155"/>
      <c r="N377" s="155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  <c r="AA377" s="177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254"/>
      <c r="K378" s="254"/>
      <c r="L378" s="177"/>
      <c r="M378" s="155"/>
      <c r="N378" s="155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254"/>
      <c r="K379" s="254"/>
      <c r="L379" s="177"/>
      <c r="M379" s="155"/>
      <c r="N379" s="155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254"/>
      <c r="K380" s="254"/>
      <c r="L380" s="177"/>
      <c r="M380" s="155"/>
      <c r="N380" s="155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254"/>
      <c r="K381" s="254"/>
      <c r="L381" s="177"/>
      <c r="M381" s="155"/>
      <c r="N381" s="155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254"/>
      <c r="K382" s="254"/>
      <c r="L382" s="177"/>
      <c r="M382" s="155"/>
      <c r="N382" s="155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254"/>
      <c r="K383" s="254"/>
      <c r="L383" s="177"/>
      <c r="M383" s="155"/>
      <c r="N383" s="155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254"/>
      <c r="K384" s="254"/>
      <c r="L384" s="177"/>
      <c r="M384" s="155"/>
      <c r="N384" s="155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254"/>
      <c r="K385" s="254"/>
      <c r="L385" s="177"/>
      <c r="M385" s="155"/>
      <c r="N385" s="155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254"/>
      <c r="K386" s="254"/>
      <c r="L386" s="177"/>
      <c r="M386" s="155"/>
      <c r="N386" s="155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254"/>
      <c r="K387" s="254"/>
      <c r="L387" s="177"/>
      <c r="M387" s="155"/>
      <c r="N387" s="155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254"/>
      <c r="K388" s="254"/>
      <c r="L388" s="169"/>
      <c r="M388" s="155"/>
      <c r="N388" s="155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254"/>
      <c r="K389" s="254"/>
      <c r="L389" s="177"/>
      <c r="M389" s="155"/>
      <c r="N389" s="155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254"/>
      <c r="K390" s="254"/>
      <c r="L390" s="177"/>
      <c r="M390" s="155"/>
      <c r="N390" s="155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254"/>
      <c r="K391" s="254"/>
      <c r="L391" s="177"/>
      <c r="M391" s="155"/>
      <c r="N391" s="155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254"/>
      <c r="K392" s="254"/>
      <c r="L392" s="177"/>
      <c r="M392" s="155"/>
      <c r="N392" s="155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254"/>
      <c r="K393" s="254"/>
      <c r="L393" s="177"/>
      <c r="M393" s="155"/>
      <c r="N393" s="155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254"/>
      <c r="K394" s="254"/>
      <c r="L394" s="177"/>
      <c r="M394" s="155"/>
      <c r="N394" s="155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254"/>
      <c r="K395" s="254"/>
      <c r="L395" s="177"/>
      <c r="M395" s="155"/>
      <c r="N395" s="155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254"/>
      <c r="K396" s="254"/>
      <c r="L396" s="177"/>
      <c r="M396" s="155"/>
      <c r="N396" s="155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254"/>
      <c r="K397" s="254"/>
      <c r="L397" s="177"/>
      <c r="M397" s="155"/>
      <c r="N397" s="155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254"/>
      <c r="K398" s="254"/>
      <c r="L398" s="177"/>
      <c r="M398" s="155"/>
      <c r="N398" s="155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254"/>
      <c r="K399" s="254"/>
      <c r="L399" s="177"/>
      <c r="M399" s="155"/>
      <c r="N399" s="155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254"/>
      <c r="K400" s="254"/>
      <c r="L400" s="177"/>
      <c r="M400" s="155"/>
      <c r="N400" s="155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254"/>
      <c r="K401" s="254"/>
      <c r="L401" s="177"/>
      <c r="M401" s="155"/>
      <c r="N401" s="155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254"/>
      <c r="K402" s="254"/>
      <c r="L402" s="177"/>
      <c r="M402" s="155"/>
      <c r="N402" s="155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254"/>
      <c r="K403" s="254"/>
      <c r="L403" s="177"/>
      <c r="M403" s="155"/>
      <c r="N403" s="155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254"/>
      <c r="K404" s="254"/>
      <c r="L404" s="177"/>
      <c r="M404" s="155"/>
      <c r="N404" s="155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254"/>
      <c r="K405" s="254"/>
      <c r="L405" s="177"/>
      <c r="M405" s="155"/>
      <c r="N405" s="155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254"/>
      <c r="K406" s="254"/>
      <c r="L406" s="177"/>
      <c r="M406" s="155"/>
      <c r="N406" s="155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254"/>
      <c r="K407" s="254"/>
      <c r="L407" s="169"/>
      <c r="M407" s="155"/>
      <c r="N407" s="155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254"/>
      <c r="K408" s="254"/>
      <c r="L408" s="177"/>
      <c r="M408" s="155"/>
      <c r="N408" s="155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254"/>
      <c r="K409" s="254"/>
      <c r="L409" s="177"/>
      <c r="M409" s="155"/>
      <c r="N409" s="155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254"/>
      <c r="K410" s="254"/>
      <c r="L410" s="177"/>
      <c r="M410" s="155"/>
      <c r="N410" s="155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254"/>
      <c r="K411" s="254"/>
      <c r="L411" s="177"/>
      <c r="M411" s="155"/>
      <c r="N411" s="155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254"/>
      <c r="K412" s="254"/>
      <c r="L412" s="177"/>
      <c r="M412" s="155"/>
      <c r="N412" s="155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254"/>
      <c r="K413" s="254"/>
      <c r="L413" s="177"/>
      <c r="M413" s="155"/>
      <c r="N413" s="155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254"/>
      <c r="K414" s="254"/>
      <c r="L414" s="177"/>
      <c r="M414" s="155"/>
      <c r="N414" s="155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254"/>
      <c r="K415" s="254"/>
      <c r="L415" s="177"/>
      <c r="M415" s="155"/>
      <c r="N415" s="155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254"/>
      <c r="K416" s="254"/>
      <c r="L416" s="177"/>
      <c r="M416" s="155"/>
      <c r="N416" s="155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254"/>
      <c r="K417" s="254"/>
      <c r="L417" s="177"/>
      <c r="M417" s="155"/>
      <c r="N417" s="155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254"/>
      <c r="K418" s="254"/>
      <c r="L418" s="177"/>
      <c r="M418" s="155"/>
      <c r="N418" s="155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254"/>
      <c r="K419" s="254"/>
      <c r="L419" s="177"/>
      <c r="M419" s="155"/>
      <c r="N419" s="155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254"/>
      <c r="K420" s="254"/>
      <c r="L420" s="177"/>
      <c r="M420" s="155"/>
      <c r="N420" s="155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254"/>
      <c r="K421" s="254"/>
      <c r="L421" s="177"/>
      <c r="M421" s="155"/>
      <c r="N421" s="155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254"/>
      <c r="K422" s="254"/>
      <c r="L422" s="177"/>
      <c r="M422" s="155"/>
      <c r="N422" s="155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254"/>
      <c r="K423" s="254"/>
      <c r="L423" s="177"/>
      <c r="M423" s="155"/>
      <c r="N423" s="155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254"/>
      <c r="K424" s="254"/>
      <c r="L424" s="177"/>
      <c r="M424" s="155"/>
      <c r="N424" s="155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254"/>
      <c r="K425" s="254"/>
      <c r="L425" s="177"/>
      <c r="M425" s="155"/>
      <c r="N425" s="155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254"/>
      <c r="K426" s="254"/>
      <c r="L426" s="169"/>
      <c r="M426" s="155"/>
      <c r="N426" s="155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254"/>
      <c r="K427" s="254"/>
      <c r="L427" s="177"/>
      <c r="M427" s="155"/>
      <c r="N427" s="155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254"/>
      <c r="K428" s="254"/>
      <c r="L428" s="177"/>
      <c r="M428" s="155"/>
      <c r="N428" s="155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254"/>
      <c r="K429" s="254"/>
      <c r="L429" s="177"/>
      <c r="M429" s="155"/>
      <c r="N429" s="155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254"/>
      <c r="K430" s="254"/>
      <c r="L430" s="177"/>
      <c r="M430" s="155"/>
      <c r="N430" s="155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254"/>
      <c r="K431" s="254"/>
      <c r="L431" s="177"/>
      <c r="M431" s="155"/>
      <c r="N431" s="155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254"/>
      <c r="K432" s="254"/>
      <c r="L432" s="177"/>
      <c r="M432" s="155"/>
      <c r="N432" s="155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254"/>
      <c r="K433" s="254"/>
      <c r="L433" s="177"/>
      <c r="M433" s="155"/>
      <c r="N433" s="155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254"/>
      <c r="K434" s="254"/>
      <c r="L434" s="177"/>
      <c r="M434" s="155"/>
      <c r="N434" s="155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254"/>
      <c r="K435" s="254"/>
      <c r="L435" s="177"/>
      <c r="M435" s="155"/>
      <c r="N435" s="155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254"/>
      <c r="K436" s="254"/>
      <c r="L436" s="177"/>
      <c r="M436" s="155"/>
      <c r="N436" s="155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254"/>
      <c r="K437" s="254"/>
      <c r="L437" s="177"/>
      <c r="M437" s="155"/>
      <c r="N437" s="155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254"/>
      <c r="K438" s="254"/>
      <c r="L438" s="177"/>
      <c r="M438" s="155"/>
      <c r="N438" s="155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254"/>
      <c r="K439" s="254"/>
      <c r="L439" s="177"/>
      <c r="M439" s="155"/>
      <c r="N439" s="155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254"/>
      <c r="K440" s="254"/>
      <c r="L440" s="177"/>
      <c r="M440" s="155"/>
      <c r="N440" s="155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254"/>
      <c r="K441" s="254"/>
      <c r="L441" s="177"/>
      <c r="M441" s="155"/>
      <c r="N441" s="155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254"/>
      <c r="K442" s="254"/>
      <c r="L442" s="177"/>
      <c r="M442" s="155"/>
      <c r="N442" s="155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254"/>
      <c r="K443" s="254"/>
      <c r="L443" s="177"/>
      <c r="M443" s="155"/>
      <c r="N443" s="155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254"/>
      <c r="K444" s="254"/>
      <c r="L444" s="177"/>
      <c r="M444" s="155"/>
      <c r="N444" s="155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254"/>
      <c r="K445" s="254"/>
      <c r="L445" s="169"/>
      <c r="M445" s="155"/>
      <c r="N445" s="155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254"/>
      <c r="K446" s="254"/>
      <c r="L446" s="177"/>
      <c r="M446" s="155"/>
      <c r="N446" s="155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254"/>
      <c r="K447" s="254"/>
      <c r="L447" s="177"/>
      <c r="M447" s="155"/>
      <c r="N447" s="155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254"/>
      <c r="K448" s="254"/>
      <c r="L448" s="177"/>
      <c r="M448" s="155"/>
      <c r="N448" s="155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254"/>
      <c r="K449" s="254"/>
      <c r="L449" s="177"/>
      <c r="M449" s="155"/>
      <c r="N449" s="155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254"/>
      <c r="K450" s="254"/>
      <c r="L450" s="177"/>
      <c r="M450" s="155"/>
      <c r="N450" s="155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254"/>
      <c r="K451" s="254"/>
      <c r="L451" s="177"/>
      <c r="M451" s="155"/>
      <c r="N451" s="155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254"/>
      <c r="K452" s="254"/>
      <c r="L452" s="177"/>
      <c r="M452" s="155"/>
      <c r="N452" s="155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254"/>
      <c r="K453" s="254"/>
      <c r="L453" s="177"/>
      <c r="M453" s="155"/>
      <c r="N453" s="155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254"/>
      <c r="K454" s="254"/>
      <c r="L454" s="177"/>
      <c r="M454" s="155"/>
      <c r="N454" s="155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254"/>
      <c r="K455" s="254"/>
      <c r="L455" s="177"/>
      <c r="M455" s="155"/>
      <c r="N455" s="155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254"/>
      <c r="K456" s="254"/>
      <c r="L456" s="177"/>
      <c r="M456" s="155"/>
      <c r="N456" s="155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254"/>
      <c r="K457" s="254"/>
      <c r="L457" s="177"/>
      <c r="M457" s="155"/>
      <c r="N457" s="155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254"/>
      <c r="K458" s="254"/>
      <c r="L458" s="177"/>
      <c r="M458" s="155"/>
      <c r="N458" s="155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254"/>
      <c r="K459" s="254"/>
      <c r="L459" s="177"/>
      <c r="M459" s="155"/>
      <c r="N459" s="155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254"/>
      <c r="K460" s="254"/>
      <c r="L460" s="177"/>
      <c r="M460" s="155"/>
      <c r="N460" s="155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254"/>
      <c r="K461" s="254"/>
      <c r="L461" s="177"/>
      <c r="M461" s="155"/>
      <c r="N461" s="155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254"/>
      <c r="K462" s="254"/>
      <c r="L462" s="177"/>
      <c r="M462" s="155"/>
      <c r="N462" s="155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254"/>
      <c r="K463" s="254"/>
      <c r="L463" s="177"/>
      <c r="M463" s="155"/>
      <c r="N463" s="155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254"/>
      <c r="K464" s="254"/>
      <c r="L464" s="169"/>
      <c r="M464" s="155"/>
      <c r="N464" s="155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254"/>
      <c r="K465" s="254"/>
      <c r="L465" s="177"/>
      <c r="M465" s="155"/>
      <c r="N465" s="155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254"/>
      <c r="K466" s="254"/>
      <c r="L466" s="177"/>
      <c r="M466" s="155"/>
      <c r="N466" s="155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254"/>
      <c r="K467" s="254"/>
      <c r="L467" s="177"/>
      <c r="M467" s="155"/>
      <c r="N467" s="155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254"/>
      <c r="K468" s="254"/>
      <c r="L468" s="177"/>
      <c r="M468" s="155"/>
      <c r="N468" s="155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254"/>
      <c r="K469" s="254"/>
      <c r="L469" s="177"/>
      <c r="M469" s="155"/>
      <c r="N469" s="155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254"/>
      <c r="K470" s="254"/>
      <c r="L470" s="177"/>
      <c r="M470" s="155"/>
      <c r="N470" s="155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254"/>
      <c r="K471" s="254"/>
      <c r="L471" s="177"/>
      <c r="M471" s="155"/>
      <c r="N471" s="155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254"/>
      <c r="K472" s="254"/>
      <c r="L472" s="177"/>
      <c r="M472" s="155"/>
      <c r="N472" s="155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254"/>
      <c r="K473" s="254"/>
      <c r="L473" s="177"/>
      <c r="M473" s="155"/>
      <c r="N473" s="155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254"/>
      <c r="K474" s="254"/>
      <c r="L474" s="177"/>
      <c r="M474" s="155"/>
      <c r="N474" s="155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254"/>
      <c r="K475" s="254"/>
      <c r="L475" s="177"/>
      <c r="M475" s="155"/>
      <c r="N475" s="155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254"/>
      <c r="K476" s="254"/>
      <c r="L476" s="177"/>
      <c r="M476" s="155"/>
      <c r="N476" s="155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254"/>
      <c r="K477" s="254"/>
      <c r="L477" s="177"/>
      <c r="M477" s="155"/>
      <c r="N477" s="155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254"/>
      <c r="K478" s="254"/>
      <c r="L478" s="177"/>
      <c r="M478" s="155"/>
      <c r="N478" s="155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254"/>
      <c r="K479" s="254"/>
      <c r="L479" s="177"/>
      <c r="M479" s="155"/>
      <c r="N479" s="155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254"/>
      <c r="K480" s="254"/>
      <c r="L480" s="177"/>
      <c r="M480" s="155"/>
      <c r="N480" s="155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254"/>
      <c r="K481" s="254"/>
      <c r="L481" s="177"/>
      <c r="M481" s="155"/>
      <c r="N481" s="155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254"/>
      <c r="K482" s="254"/>
      <c r="L482" s="177"/>
      <c r="M482" s="155"/>
      <c r="N482" s="155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254"/>
      <c r="K483" s="254"/>
      <c r="L483" s="169"/>
      <c r="M483" s="155"/>
      <c r="N483" s="155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254"/>
      <c r="K484" s="254"/>
      <c r="L484" s="177"/>
      <c r="M484" s="155"/>
      <c r="N484" s="155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254"/>
      <c r="K485" s="254"/>
      <c r="L485" s="177"/>
      <c r="M485" s="155"/>
      <c r="N485" s="155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254"/>
      <c r="K486" s="254"/>
      <c r="L486" s="177"/>
      <c r="M486" s="155"/>
      <c r="N486" s="155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254"/>
      <c r="K487" s="254"/>
      <c r="L487" s="177"/>
      <c r="M487" s="155"/>
      <c r="N487" s="155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254"/>
      <c r="K488" s="254"/>
      <c r="L488" s="177"/>
      <c r="M488" s="155"/>
      <c r="N488" s="155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254"/>
      <c r="K489" s="254"/>
      <c r="L489" s="177"/>
      <c r="M489" s="155"/>
      <c r="N489" s="155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254"/>
      <c r="K490" s="254"/>
      <c r="L490" s="177"/>
      <c r="M490" s="155"/>
      <c r="N490" s="155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254"/>
      <c r="K491" s="254"/>
      <c r="L491" s="177"/>
      <c r="M491" s="155"/>
      <c r="N491" s="155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254"/>
      <c r="K492" s="254"/>
      <c r="L492" s="177"/>
      <c r="M492" s="155"/>
      <c r="N492" s="155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254"/>
      <c r="K493" s="254"/>
      <c r="L493" s="177"/>
      <c r="M493" s="155"/>
      <c r="N493" s="155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254"/>
      <c r="K494" s="254"/>
      <c r="L494" s="177"/>
      <c r="M494" s="155"/>
      <c r="N494" s="155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254"/>
      <c r="K495" s="254"/>
      <c r="L495" s="177"/>
      <c r="M495" s="155"/>
      <c r="N495" s="155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254"/>
      <c r="K496" s="254"/>
      <c r="L496" s="177"/>
      <c r="M496" s="155"/>
      <c r="N496" s="155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254"/>
      <c r="K497" s="254"/>
      <c r="L497" s="177"/>
      <c r="M497" s="155"/>
      <c r="N497" s="155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254"/>
      <c r="K498" s="254"/>
      <c r="L498" s="177"/>
      <c r="M498" s="155"/>
      <c r="N498" s="155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254"/>
      <c r="K499" s="254"/>
      <c r="L499" s="177"/>
      <c r="M499" s="155"/>
      <c r="N499" s="155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254"/>
      <c r="K500" s="254"/>
      <c r="L500" s="177"/>
      <c r="M500" s="155"/>
      <c r="N500" s="155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254"/>
      <c r="K501" s="254"/>
      <c r="L501" s="177"/>
      <c r="M501" s="155"/>
      <c r="N501" s="155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254"/>
      <c r="K502" s="254"/>
      <c r="L502" s="169"/>
      <c r="M502" s="155"/>
      <c r="N502" s="155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254"/>
      <c r="K503" s="254"/>
      <c r="L503" s="177"/>
      <c r="M503" s="155"/>
      <c r="N503" s="155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254"/>
      <c r="K504" s="254"/>
      <c r="L504" s="177"/>
      <c r="M504" s="155"/>
      <c r="N504" s="155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254"/>
      <c r="K505" s="254"/>
      <c r="L505" s="177"/>
      <c r="M505" s="155"/>
      <c r="N505" s="155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254"/>
      <c r="K506" s="254"/>
      <c r="L506" s="177"/>
      <c r="M506" s="155"/>
      <c r="N506" s="155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254"/>
      <c r="K507" s="254"/>
      <c r="L507" s="177"/>
      <c r="M507" s="155"/>
      <c r="N507" s="155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254"/>
      <c r="K508" s="254"/>
      <c r="L508" s="177"/>
      <c r="M508" s="155"/>
      <c r="N508" s="155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254"/>
      <c r="K509" s="254"/>
      <c r="L509" s="177"/>
      <c r="M509" s="155"/>
      <c r="N509" s="155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254"/>
      <c r="K510" s="254"/>
      <c r="L510" s="177"/>
      <c r="M510" s="155"/>
      <c r="N510" s="155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254"/>
      <c r="K511" s="254"/>
      <c r="L511" s="177"/>
      <c r="M511" s="155"/>
      <c r="N511" s="155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254"/>
      <c r="K512" s="254"/>
      <c r="L512" s="177"/>
      <c r="M512" s="155"/>
      <c r="N512" s="155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254"/>
      <c r="K513" s="254"/>
      <c r="L513" s="177"/>
      <c r="M513" s="155"/>
      <c r="N513" s="155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254"/>
      <c r="K514" s="254"/>
      <c r="L514" s="177"/>
      <c r="M514" s="155"/>
      <c r="N514" s="155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254"/>
      <c r="K515" s="254"/>
      <c r="L515" s="177"/>
      <c r="M515" s="155"/>
      <c r="N515" s="155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254"/>
      <c r="K516" s="254"/>
      <c r="L516" s="177"/>
      <c r="M516" s="155"/>
      <c r="N516" s="155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254"/>
      <c r="K517" s="254"/>
      <c r="L517" s="177"/>
      <c r="M517" s="155"/>
      <c r="N517" s="155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254"/>
      <c r="K518" s="254"/>
      <c r="L518" s="177"/>
      <c r="M518" s="155"/>
      <c r="N518" s="155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254"/>
      <c r="K519" s="254"/>
      <c r="L519" s="177"/>
      <c r="M519" s="155"/>
      <c r="N519" s="155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254"/>
      <c r="K520" s="254"/>
      <c r="L520" s="177"/>
      <c r="M520" s="155"/>
      <c r="N520" s="155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254"/>
      <c r="K521" s="254"/>
      <c r="L521" s="169"/>
      <c r="M521" s="155"/>
      <c r="N521" s="155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254"/>
      <c r="K522" s="254"/>
      <c r="L522" s="177"/>
      <c r="M522" s="155"/>
      <c r="N522" s="155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254"/>
      <c r="K523" s="254"/>
      <c r="L523" s="177"/>
      <c r="M523" s="155"/>
      <c r="N523" s="155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254"/>
      <c r="K524" s="254"/>
      <c r="L524" s="177"/>
      <c r="M524" s="155"/>
      <c r="N524" s="155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254"/>
      <c r="K525" s="254"/>
      <c r="L525" s="177"/>
      <c r="M525" s="155"/>
      <c r="N525" s="155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254"/>
      <c r="K526" s="254"/>
      <c r="L526" s="177"/>
      <c r="M526" s="155"/>
      <c r="N526" s="155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254"/>
      <c r="K527" s="254"/>
      <c r="L527" s="177"/>
      <c r="M527" s="155"/>
      <c r="N527" s="155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254"/>
      <c r="K528" s="254"/>
      <c r="L528" s="177"/>
      <c r="M528" s="155"/>
      <c r="N528" s="155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254"/>
      <c r="K529" s="254"/>
      <c r="L529" s="177"/>
      <c r="M529" s="155"/>
      <c r="N529" s="155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254"/>
      <c r="K530" s="254"/>
      <c r="L530" s="177"/>
      <c r="M530" s="155"/>
      <c r="N530" s="155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254"/>
      <c r="K531" s="254"/>
      <c r="L531" s="177"/>
      <c r="M531" s="155"/>
      <c r="N531" s="155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254"/>
      <c r="K532" s="254"/>
      <c r="L532" s="177"/>
      <c r="M532" s="155"/>
      <c r="N532" s="155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254"/>
      <c r="K533" s="254"/>
      <c r="L533" s="177"/>
      <c r="M533" s="155"/>
      <c r="N533" s="155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254"/>
      <c r="K534" s="254"/>
      <c r="L534" s="177"/>
      <c r="M534" s="155"/>
      <c r="N534" s="155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254"/>
      <c r="K535" s="254"/>
      <c r="L535" s="177"/>
      <c r="M535" s="155"/>
      <c r="N535" s="155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254"/>
      <c r="K536" s="254"/>
      <c r="L536" s="177"/>
      <c r="M536" s="155"/>
      <c r="N536" s="155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254"/>
      <c r="K537" s="254"/>
      <c r="L537" s="177"/>
      <c r="M537" s="155"/>
      <c r="N537" s="155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254"/>
      <c r="K538" s="254"/>
      <c r="L538" s="177"/>
      <c r="M538" s="155"/>
      <c r="N538" s="155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254"/>
      <c r="K539" s="254"/>
      <c r="L539" s="177"/>
      <c r="M539" s="155"/>
      <c r="N539" s="155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254"/>
      <c r="K540" s="254"/>
      <c r="L540" s="169"/>
      <c r="M540" s="155"/>
      <c r="N540" s="155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254"/>
      <c r="K541" s="254"/>
      <c r="L541" s="177"/>
      <c r="M541" s="155"/>
      <c r="N541" s="155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254"/>
      <c r="K542" s="254"/>
      <c r="L542" s="177"/>
      <c r="M542" s="155"/>
      <c r="N542" s="155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254"/>
      <c r="K543" s="254"/>
      <c r="L543" s="177"/>
      <c r="M543" s="155"/>
      <c r="N543" s="155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254"/>
      <c r="K544" s="254"/>
      <c r="L544" s="177"/>
      <c r="M544" s="155"/>
      <c r="N544" s="155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254"/>
      <c r="K545" s="254"/>
      <c r="L545" s="177"/>
      <c r="M545" s="155"/>
      <c r="N545" s="155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254"/>
      <c r="K546" s="254"/>
      <c r="L546" s="177"/>
      <c r="M546" s="155"/>
      <c r="N546" s="155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254"/>
      <c r="K547" s="254"/>
      <c r="L547" s="177"/>
      <c r="M547" s="155"/>
      <c r="N547" s="155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254"/>
      <c r="K548" s="254"/>
      <c r="L548" s="177"/>
      <c r="M548" s="155"/>
      <c r="N548" s="155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254"/>
      <c r="K549" s="254"/>
      <c r="L549" s="177"/>
      <c r="M549" s="155"/>
      <c r="N549" s="155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254"/>
      <c r="K550" s="254"/>
      <c r="L550" s="177"/>
      <c r="M550" s="155"/>
      <c r="N550" s="155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254"/>
      <c r="K551" s="254"/>
      <c r="L551" s="177"/>
      <c r="M551" s="155"/>
      <c r="N551" s="155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254"/>
      <c r="K552" s="254"/>
      <c r="L552" s="177"/>
      <c r="M552" s="155"/>
      <c r="N552" s="155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254"/>
      <c r="K553" s="254"/>
      <c r="L553" s="177"/>
      <c r="M553" s="155"/>
      <c r="N553" s="155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254"/>
      <c r="K554" s="254"/>
      <c r="L554" s="177"/>
      <c r="M554" s="155"/>
      <c r="N554" s="155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254"/>
      <c r="K555" s="254"/>
      <c r="L555" s="177"/>
      <c r="M555" s="155"/>
      <c r="N555" s="155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254"/>
      <c r="K556" s="254"/>
      <c r="L556" s="177"/>
      <c r="M556" s="155"/>
      <c r="N556" s="155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254"/>
      <c r="K557" s="254"/>
      <c r="L557" s="177"/>
      <c r="M557" s="155"/>
      <c r="N557" s="155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254"/>
      <c r="K558" s="254"/>
      <c r="L558" s="177"/>
      <c r="M558" s="155"/>
      <c r="N558" s="155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254"/>
      <c r="K559" s="254"/>
      <c r="L559" s="169"/>
      <c r="M559" s="155"/>
      <c r="N559" s="155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254"/>
      <c r="K560" s="254"/>
      <c r="L560" s="177"/>
      <c r="M560" s="155"/>
      <c r="N560" s="155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254"/>
      <c r="K561" s="254"/>
      <c r="L561" s="177"/>
      <c r="M561" s="155"/>
      <c r="N561" s="155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254"/>
      <c r="K562" s="254"/>
      <c r="L562" s="177"/>
      <c r="M562" s="155"/>
      <c r="N562" s="155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254"/>
      <c r="K563" s="254"/>
      <c r="L563" s="177"/>
      <c r="M563" s="155"/>
      <c r="N563" s="155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254"/>
      <c r="K564" s="254"/>
      <c r="L564" s="177"/>
      <c r="M564" s="155"/>
      <c r="N564" s="155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254"/>
      <c r="K565" s="254"/>
      <c r="L565" s="177"/>
      <c r="M565" s="155"/>
      <c r="N565" s="155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254"/>
      <c r="K566" s="254"/>
      <c r="L566" s="177"/>
      <c r="M566" s="155"/>
      <c r="N566" s="155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254"/>
      <c r="K567" s="254"/>
      <c r="L567" s="177"/>
      <c r="M567" s="155"/>
      <c r="N567" s="155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254"/>
      <c r="K568" s="254"/>
      <c r="L568" s="177"/>
      <c r="M568" s="155"/>
      <c r="N568" s="155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254"/>
      <c r="K569" s="254"/>
      <c r="L569" s="177"/>
      <c r="M569" s="155"/>
      <c r="N569" s="155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254"/>
      <c r="K570" s="254"/>
      <c r="L570" s="177"/>
      <c r="M570" s="155"/>
      <c r="N570" s="155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254"/>
      <c r="K571" s="254"/>
      <c r="L571" s="177"/>
      <c r="M571" s="155"/>
      <c r="N571" s="155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254"/>
      <c r="K572" s="254"/>
      <c r="L572" s="177"/>
      <c r="M572" s="155"/>
      <c r="N572" s="155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254"/>
      <c r="K573" s="254"/>
      <c r="L573" s="177"/>
      <c r="M573" s="155"/>
      <c r="N573" s="155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254"/>
      <c r="K574" s="254"/>
      <c r="L574" s="177"/>
      <c r="M574" s="155"/>
      <c r="N574" s="155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254"/>
      <c r="K575" s="254"/>
      <c r="L575" s="177"/>
      <c r="M575" s="155"/>
      <c r="N575" s="155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254"/>
      <c r="K576" s="254"/>
      <c r="L576" s="177"/>
      <c r="M576" s="155"/>
      <c r="N576" s="155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254"/>
      <c r="K577" s="254"/>
      <c r="L577" s="177"/>
      <c r="M577" s="155"/>
      <c r="N577" s="155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254"/>
      <c r="K578" s="254"/>
      <c r="L578" s="169"/>
      <c r="M578" s="155"/>
      <c r="N578" s="155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254"/>
      <c r="K579" s="254"/>
      <c r="L579" s="177"/>
      <c r="M579" s="155"/>
      <c r="N579" s="155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254"/>
      <c r="K580" s="254"/>
      <c r="L580" s="177"/>
      <c r="M580" s="155"/>
      <c r="N580" s="155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254"/>
      <c r="K581" s="254"/>
      <c r="L581" s="177"/>
      <c r="M581" s="155"/>
      <c r="N581" s="155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254"/>
      <c r="K582" s="254"/>
      <c r="L582" s="177"/>
      <c r="M582" s="155"/>
      <c r="N582" s="155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254"/>
      <c r="K583" s="254"/>
      <c r="L583" s="177"/>
      <c r="M583" s="155"/>
      <c r="N583" s="155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254"/>
      <c r="K584" s="254"/>
      <c r="L584" s="177"/>
      <c r="M584" s="155"/>
      <c r="N584" s="155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254"/>
      <c r="K585" s="254"/>
      <c r="L585" s="177"/>
      <c r="M585" s="155"/>
      <c r="N585" s="155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254"/>
      <c r="K586" s="254"/>
      <c r="L586" s="177"/>
      <c r="M586" s="155"/>
      <c r="N586" s="155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254"/>
      <c r="K587" s="254"/>
      <c r="L587" s="177"/>
      <c r="M587" s="155"/>
      <c r="N587" s="155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254"/>
      <c r="K588" s="254"/>
      <c r="L588" s="177"/>
      <c r="M588" s="155"/>
      <c r="N588" s="155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254"/>
      <c r="K589" s="254"/>
      <c r="L589" s="177"/>
      <c r="M589" s="155"/>
      <c r="N589" s="155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254"/>
      <c r="K590" s="254"/>
      <c r="L590" s="177"/>
      <c r="M590" s="155"/>
      <c r="N590" s="155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254"/>
      <c r="K591" s="254"/>
      <c r="L591" s="177"/>
      <c r="M591" s="155"/>
      <c r="N591" s="155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254"/>
      <c r="K592" s="254"/>
      <c r="L592" s="177"/>
      <c r="M592" s="155"/>
      <c r="N592" s="155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254"/>
      <c r="K593" s="254"/>
      <c r="L593" s="177"/>
      <c r="M593" s="155"/>
      <c r="N593" s="155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254"/>
      <c r="K594" s="254"/>
      <c r="L594" s="177"/>
      <c r="M594" s="155"/>
      <c r="N594" s="155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254"/>
      <c r="K595" s="254"/>
      <c r="L595" s="177"/>
      <c r="M595" s="155"/>
      <c r="N595" s="155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254"/>
      <c r="K596" s="254"/>
      <c r="L596" s="177"/>
      <c r="M596" s="155"/>
      <c r="N596" s="155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254"/>
      <c r="K597" s="254"/>
      <c r="L597" s="169"/>
      <c r="M597" s="155"/>
      <c r="N597" s="155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254"/>
      <c r="K598" s="254"/>
      <c r="L598" s="177"/>
      <c r="M598" s="155"/>
      <c r="N598" s="155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254"/>
      <c r="K599" s="254"/>
      <c r="L599" s="177"/>
      <c r="M599" s="155"/>
      <c r="N599" s="155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254"/>
      <c r="K600" s="254"/>
      <c r="L600" s="177"/>
      <c r="M600" s="155"/>
      <c r="N600" s="155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254"/>
      <c r="K601" s="254"/>
      <c r="L601" s="177"/>
      <c r="M601" s="155"/>
      <c r="N601" s="155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254"/>
      <c r="K602" s="254"/>
      <c r="L602" s="177"/>
      <c r="M602" s="155"/>
      <c r="N602" s="155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254"/>
      <c r="K603" s="254"/>
      <c r="L603" s="177"/>
      <c r="M603" s="155"/>
      <c r="N603" s="155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254"/>
      <c r="K604" s="254"/>
      <c r="L604" s="177"/>
      <c r="M604" s="155"/>
      <c r="N604" s="155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254"/>
      <c r="K605" s="254"/>
      <c r="L605" s="177"/>
      <c r="M605" s="155"/>
      <c r="N605" s="155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254"/>
      <c r="K606" s="254"/>
      <c r="L606" s="177"/>
      <c r="M606" s="155"/>
      <c r="N606" s="155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254"/>
      <c r="K607" s="254"/>
      <c r="L607" s="177"/>
      <c r="M607" s="155"/>
      <c r="N607" s="155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254"/>
      <c r="K608" s="254"/>
      <c r="L608" s="177"/>
      <c r="M608" s="155"/>
      <c r="N608" s="155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254"/>
      <c r="K609" s="254"/>
      <c r="L609" s="177"/>
      <c r="M609" s="155"/>
      <c r="N609" s="155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254"/>
      <c r="K610" s="254"/>
      <c r="L610" s="177"/>
      <c r="M610" s="155"/>
      <c r="N610" s="155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254"/>
      <c r="K611" s="254"/>
      <c r="L611" s="177"/>
      <c r="M611" s="155"/>
      <c r="N611" s="155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254"/>
      <c r="K612" s="254"/>
      <c r="L612" s="177"/>
      <c r="M612" s="155"/>
      <c r="N612" s="155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254"/>
      <c r="K613" s="254"/>
      <c r="L613" s="177"/>
      <c r="M613" s="155"/>
      <c r="N613" s="155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254"/>
      <c r="K614" s="254"/>
      <c r="L614" s="177"/>
      <c r="M614" s="155"/>
      <c r="N614" s="155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254"/>
      <c r="K615" s="254"/>
      <c r="L615" s="177"/>
      <c r="M615" s="155"/>
      <c r="N615" s="155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254"/>
      <c r="K616" s="254"/>
      <c r="L616" s="169"/>
      <c r="M616" s="155"/>
      <c r="N616" s="155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254"/>
      <c r="K617" s="254"/>
      <c r="L617" s="177"/>
      <c r="M617" s="155"/>
      <c r="N617" s="155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254"/>
      <c r="K618" s="254"/>
      <c r="L618" s="177"/>
      <c r="M618" s="155"/>
      <c r="N618" s="155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254"/>
      <c r="K619" s="254"/>
      <c r="L619" s="177"/>
      <c r="M619" s="155"/>
      <c r="N619" s="155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254"/>
      <c r="K620" s="254"/>
      <c r="L620" s="177"/>
      <c r="M620" s="155"/>
      <c r="N620" s="155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254"/>
      <c r="K621" s="254"/>
      <c r="L621" s="177"/>
      <c r="M621" s="155"/>
      <c r="N621" s="155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254"/>
      <c r="K622" s="254"/>
      <c r="L622" s="177"/>
      <c r="M622" s="155"/>
      <c r="N622" s="155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254"/>
      <c r="K623" s="254"/>
      <c r="L623" s="177"/>
      <c r="M623" s="155"/>
      <c r="N623" s="155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254"/>
      <c r="K624" s="254"/>
      <c r="L624" s="177"/>
      <c r="M624" s="155"/>
      <c r="N624" s="155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254"/>
      <c r="K625" s="254"/>
      <c r="L625" s="177"/>
      <c r="M625" s="155"/>
      <c r="N625" s="155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254"/>
      <c r="K626" s="254"/>
      <c r="L626" s="177"/>
      <c r="M626" s="155"/>
      <c r="N626" s="155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254"/>
      <c r="K627" s="254"/>
      <c r="L627" s="177"/>
      <c r="M627" s="155"/>
      <c r="N627" s="155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254"/>
      <c r="K628" s="254"/>
      <c r="L628" s="177"/>
      <c r="M628" s="155"/>
      <c r="N628" s="155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254"/>
      <c r="K629" s="254"/>
      <c r="L629" s="177"/>
      <c r="M629" s="155"/>
      <c r="N629" s="155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254"/>
      <c r="K630" s="254"/>
      <c r="L630" s="177"/>
      <c r="M630" s="155"/>
      <c r="N630" s="155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254"/>
      <c r="K631" s="254"/>
      <c r="L631" s="177"/>
      <c r="M631" s="155"/>
      <c r="N631" s="155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254"/>
      <c r="K632" s="254"/>
      <c r="L632" s="177"/>
      <c r="M632" s="155"/>
      <c r="N632" s="155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254"/>
      <c r="K633" s="254"/>
      <c r="L633" s="177"/>
      <c r="M633" s="155"/>
      <c r="N633" s="155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254"/>
      <c r="K634" s="254"/>
      <c r="L634" s="177"/>
      <c r="M634" s="155"/>
      <c r="N634" s="155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254"/>
      <c r="K635" s="254"/>
      <c r="L635" s="169"/>
      <c r="M635" s="155"/>
      <c r="N635" s="155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254"/>
      <c r="K636" s="254"/>
      <c r="L636" s="177"/>
      <c r="M636" s="155"/>
      <c r="N636" s="155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254"/>
      <c r="K637" s="254"/>
      <c r="L637" s="177"/>
      <c r="M637" s="155"/>
      <c r="N637" s="155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254"/>
      <c r="K638" s="254"/>
      <c r="L638" s="177"/>
      <c r="M638" s="155"/>
      <c r="N638" s="155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254"/>
      <c r="K639" s="254"/>
      <c r="L639" s="177"/>
      <c r="M639" s="155"/>
      <c r="N639" s="155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254"/>
      <c r="K640" s="254"/>
      <c r="L640" s="177"/>
      <c r="M640" s="155"/>
      <c r="N640" s="155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254"/>
      <c r="K641" s="254"/>
      <c r="L641" s="177"/>
      <c r="M641" s="155"/>
      <c r="N641" s="155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254"/>
      <c r="K642" s="254"/>
      <c r="L642" s="177"/>
      <c r="M642" s="155"/>
      <c r="N642" s="155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254"/>
      <c r="K643" s="254"/>
      <c r="L643" s="177"/>
      <c r="M643" s="155"/>
      <c r="N643" s="155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254"/>
      <c r="K644" s="254"/>
      <c r="L644" s="177"/>
      <c r="M644" s="155"/>
      <c r="N644" s="155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254"/>
      <c r="K645" s="254"/>
      <c r="L645" s="177"/>
      <c r="M645" s="155"/>
      <c r="N645" s="155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254"/>
      <c r="K646" s="254"/>
      <c r="L646" s="177"/>
      <c r="M646" s="155"/>
      <c r="N646" s="155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254"/>
      <c r="K647" s="254"/>
      <c r="L647" s="177"/>
      <c r="M647" s="155"/>
      <c r="N647" s="155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254"/>
      <c r="K648" s="254"/>
      <c r="L648" s="177"/>
      <c r="M648" s="155"/>
      <c r="N648" s="155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254"/>
      <c r="K649" s="254"/>
      <c r="L649" s="177"/>
      <c r="M649" s="155"/>
      <c r="N649" s="155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254"/>
      <c r="K650" s="254"/>
      <c r="L650" s="177"/>
      <c r="M650" s="155"/>
      <c r="N650" s="155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254"/>
      <c r="K651" s="254"/>
      <c r="L651" s="177"/>
      <c r="M651" s="155"/>
      <c r="N651" s="155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254"/>
      <c r="K652" s="254"/>
      <c r="L652" s="177"/>
      <c r="M652" s="155"/>
      <c r="N652" s="155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254"/>
      <c r="K653" s="254"/>
      <c r="L653" s="177"/>
      <c r="M653" s="155"/>
      <c r="N653" s="155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254"/>
      <c r="K654" s="254"/>
      <c r="L654" s="169"/>
      <c r="M654" s="155"/>
      <c r="N654" s="155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254"/>
      <c r="K655" s="254"/>
      <c r="L655" s="177"/>
      <c r="M655" s="155"/>
      <c r="N655" s="155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254"/>
      <c r="K656" s="254"/>
      <c r="L656" s="177"/>
      <c r="M656" s="155"/>
      <c r="N656" s="155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254"/>
      <c r="K657" s="254"/>
      <c r="L657" s="177"/>
      <c r="M657" s="155"/>
      <c r="N657" s="155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254"/>
      <c r="K658" s="254"/>
      <c r="L658" s="177"/>
      <c r="M658" s="155"/>
      <c r="N658" s="155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254"/>
      <c r="K659" s="254"/>
      <c r="L659" s="177"/>
      <c r="M659" s="155"/>
      <c r="N659" s="155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254"/>
      <c r="K660" s="254"/>
      <c r="L660" s="177"/>
      <c r="M660" s="155"/>
      <c r="N660" s="155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254"/>
      <c r="K661" s="254"/>
      <c r="L661" s="177"/>
      <c r="M661" s="155"/>
      <c r="N661" s="155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254"/>
      <c r="K662" s="254"/>
      <c r="L662" s="177"/>
      <c r="M662" s="155"/>
      <c r="N662" s="155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254"/>
      <c r="K663" s="254"/>
      <c r="L663" s="177"/>
      <c r="M663" s="155"/>
      <c r="N663" s="155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254"/>
      <c r="K664" s="254"/>
      <c r="L664" s="177"/>
      <c r="M664" s="155"/>
      <c r="N664" s="155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254"/>
      <c r="K665" s="254"/>
      <c r="L665" s="177"/>
      <c r="M665" s="155"/>
      <c r="N665" s="155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254"/>
      <c r="K666" s="254"/>
      <c r="L666" s="177"/>
      <c r="M666" s="155"/>
      <c r="N666" s="155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254"/>
      <c r="K667" s="254"/>
      <c r="L667" s="177"/>
      <c r="M667" s="155"/>
      <c r="N667" s="155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254"/>
      <c r="K668" s="254"/>
      <c r="L668" s="177"/>
      <c r="M668" s="155"/>
      <c r="N668" s="155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254"/>
      <c r="K669" s="254"/>
      <c r="L669" s="177"/>
      <c r="M669" s="155"/>
      <c r="N669" s="155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254"/>
      <c r="K670" s="254"/>
      <c r="L670" s="177"/>
      <c r="M670" s="155"/>
      <c r="N670" s="155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254"/>
      <c r="K671" s="254"/>
      <c r="L671" s="177"/>
      <c r="M671" s="155"/>
      <c r="N671" s="155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254"/>
      <c r="K672" s="254"/>
      <c r="L672" s="177"/>
      <c r="M672" s="155"/>
      <c r="N672" s="155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254"/>
      <c r="K673" s="254"/>
      <c r="L673" s="169"/>
      <c r="M673" s="155"/>
      <c r="N673" s="155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254"/>
      <c r="K674" s="254"/>
      <c r="L674" s="177"/>
      <c r="M674" s="155"/>
      <c r="N674" s="155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254"/>
      <c r="K675" s="254"/>
      <c r="L675" s="177"/>
      <c r="M675" s="155"/>
      <c r="N675" s="155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254"/>
      <c r="K676" s="254"/>
      <c r="L676" s="177"/>
      <c r="M676" s="155"/>
      <c r="N676" s="155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254"/>
      <c r="K677" s="254"/>
      <c r="L677" s="177"/>
      <c r="M677" s="155"/>
      <c r="N677" s="155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254"/>
      <c r="K678" s="254"/>
      <c r="L678" s="177"/>
      <c r="M678" s="155"/>
      <c r="N678" s="155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254"/>
      <c r="K679" s="254"/>
      <c r="L679" s="177"/>
      <c r="M679" s="155"/>
      <c r="N679" s="155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254"/>
      <c r="K680" s="254"/>
      <c r="L680" s="177"/>
      <c r="M680" s="155"/>
      <c r="N680" s="155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254"/>
      <c r="K681" s="254"/>
      <c r="L681" s="177"/>
      <c r="M681" s="155"/>
      <c r="N681" s="155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254"/>
      <c r="K682" s="254"/>
      <c r="L682" s="177"/>
      <c r="M682" s="155"/>
      <c r="N682" s="155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254"/>
      <c r="K683" s="254"/>
      <c r="L683" s="177"/>
      <c r="M683" s="155"/>
      <c r="N683" s="155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254"/>
      <c r="K684" s="254"/>
      <c r="L684" s="177"/>
      <c r="M684" s="155"/>
      <c r="N684" s="155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254"/>
      <c r="K685" s="254"/>
      <c r="L685" s="177"/>
      <c r="M685" s="155"/>
      <c r="N685" s="155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254"/>
      <c r="K686" s="254"/>
      <c r="L686" s="177"/>
      <c r="M686" s="155"/>
      <c r="N686" s="155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254"/>
      <c r="K687" s="254"/>
      <c r="L687" s="177"/>
      <c r="M687" s="155"/>
      <c r="N687" s="155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254"/>
      <c r="K688" s="254"/>
      <c r="L688" s="177"/>
      <c r="M688" s="155"/>
      <c r="N688" s="155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254"/>
      <c r="K689" s="254"/>
      <c r="L689" s="177"/>
      <c r="M689" s="155"/>
      <c r="N689" s="155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254"/>
      <c r="K690" s="254"/>
      <c r="L690" s="177"/>
      <c r="M690" s="155"/>
      <c r="N690" s="155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254"/>
      <c r="K691" s="254"/>
      <c r="L691" s="177"/>
      <c r="M691" s="155"/>
      <c r="N691" s="155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254"/>
      <c r="K692" s="254"/>
      <c r="L692" s="169"/>
      <c r="M692" s="155"/>
      <c r="N692" s="155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254"/>
      <c r="K693" s="254"/>
      <c r="L693" s="177"/>
      <c r="M693" s="155"/>
      <c r="N693" s="155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254"/>
      <c r="K694" s="254"/>
      <c r="L694" s="177"/>
      <c r="M694" s="155"/>
      <c r="N694" s="155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254"/>
      <c r="K695" s="254"/>
      <c r="L695" s="177"/>
      <c r="M695" s="155"/>
      <c r="N695" s="155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254"/>
      <c r="K696" s="254"/>
      <c r="L696" s="177"/>
      <c r="M696" s="155"/>
      <c r="N696" s="155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254"/>
      <c r="K697" s="254"/>
      <c r="L697" s="177"/>
      <c r="M697" s="155"/>
      <c r="N697" s="155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254"/>
      <c r="K698" s="254"/>
      <c r="L698" s="177"/>
      <c r="M698" s="155"/>
      <c r="N698" s="155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254"/>
      <c r="K699" s="254"/>
      <c r="L699" s="177"/>
      <c r="M699" s="155"/>
      <c r="N699" s="155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254"/>
      <c r="K700" s="254"/>
      <c r="L700" s="177"/>
      <c r="M700" s="155"/>
      <c r="N700" s="155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254"/>
      <c r="K701" s="254"/>
      <c r="L701" s="177"/>
      <c r="M701" s="155"/>
      <c r="N701" s="155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254"/>
      <c r="K702" s="254"/>
      <c r="L702" s="177"/>
      <c r="M702" s="155"/>
      <c r="N702" s="155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254"/>
      <c r="K703" s="254"/>
      <c r="L703" s="177"/>
      <c r="M703" s="155"/>
      <c r="N703" s="155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254"/>
      <c r="K704" s="254"/>
      <c r="L704" s="177"/>
      <c r="M704" s="155"/>
      <c r="N704" s="155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254"/>
      <c r="K705" s="254"/>
      <c r="L705" s="177"/>
      <c r="M705" s="155"/>
      <c r="N705" s="155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254"/>
      <c r="K706" s="254"/>
      <c r="L706" s="177"/>
      <c r="M706" s="155"/>
      <c r="N706" s="155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254"/>
      <c r="K707" s="254"/>
      <c r="L707" s="177"/>
      <c r="M707" s="155"/>
      <c r="N707" s="155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254"/>
      <c r="K708" s="254"/>
      <c r="L708" s="177"/>
      <c r="M708" s="155"/>
      <c r="N708" s="155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254"/>
      <c r="K709" s="254"/>
      <c r="L709" s="177"/>
      <c r="M709" s="155"/>
      <c r="N709" s="155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254"/>
      <c r="K710" s="254"/>
      <c r="L710" s="177"/>
      <c r="M710" s="155"/>
      <c r="N710" s="155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254"/>
      <c r="K711" s="254"/>
      <c r="L711" s="169"/>
      <c r="M711" s="155"/>
      <c r="N711" s="155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254"/>
      <c r="K712" s="254"/>
      <c r="L712" s="177"/>
      <c r="M712" s="155"/>
      <c r="N712" s="155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254"/>
      <c r="K713" s="254"/>
      <c r="L713" s="177"/>
      <c r="M713" s="155"/>
      <c r="N713" s="155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254"/>
      <c r="K714" s="254"/>
      <c r="L714" s="177"/>
      <c r="M714" s="155"/>
      <c r="N714" s="155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254"/>
      <c r="K715" s="254"/>
      <c r="L715" s="177"/>
      <c r="M715" s="155"/>
      <c r="N715" s="155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254"/>
      <c r="K716" s="254"/>
      <c r="L716" s="177"/>
      <c r="M716" s="155"/>
      <c r="N716" s="155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254"/>
      <c r="K717" s="254"/>
      <c r="L717" s="177"/>
      <c r="M717" s="155"/>
      <c r="N717" s="155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254"/>
      <c r="K718" s="254"/>
      <c r="L718" s="177"/>
      <c r="M718" s="155"/>
      <c r="N718" s="155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254"/>
      <c r="K719" s="254"/>
      <c r="L719" s="177"/>
      <c r="M719" s="155"/>
      <c r="N719" s="155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254"/>
      <c r="K720" s="254"/>
      <c r="L720" s="177"/>
      <c r="M720" s="155"/>
      <c r="N720" s="155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254"/>
      <c r="K721" s="254"/>
      <c r="L721" s="177"/>
      <c r="M721" s="155"/>
      <c r="N721" s="155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254"/>
      <c r="K722" s="254"/>
      <c r="L722" s="177"/>
      <c r="M722" s="155"/>
      <c r="N722" s="155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254"/>
      <c r="K723" s="254"/>
      <c r="L723" s="177"/>
      <c r="M723" s="155"/>
      <c r="N723" s="155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254"/>
      <c r="K724" s="254"/>
      <c r="L724" s="177"/>
      <c r="M724" s="155"/>
      <c r="N724" s="155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254"/>
      <c r="K725" s="254"/>
      <c r="L725" s="177"/>
      <c r="M725" s="155"/>
      <c r="N725" s="155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254"/>
      <c r="K726" s="254"/>
      <c r="L726" s="177"/>
      <c r="M726" s="155"/>
      <c r="N726" s="155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254"/>
      <c r="K727" s="254"/>
      <c r="L727" s="177"/>
      <c r="M727" s="155"/>
      <c r="N727" s="155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254"/>
      <c r="K728" s="254"/>
      <c r="L728" s="177"/>
      <c r="M728" s="155"/>
      <c r="N728" s="155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254"/>
      <c r="K729" s="254"/>
      <c r="L729" s="177"/>
      <c r="M729" s="155"/>
      <c r="N729" s="155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254"/>
      <c r="K730" s="254"/>
      <c r="L730" s="169"/>
      <c r="M730" s="155"/>
      <c r="N730" s="155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254"/>
      <c r="K731" s="254"/>
      <c r="L731" s="177"/>
      <c r="M731" s="155"/>
      <c r="N731" s="155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254"/>
      <c r="K732" s="254"/>
      <c r="L732" s="177"/>
      <c r="M732" s="155"/>
      <c r="N732" s="155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254"/>
      <c r="K733" s="254"/>
      <c r="L733" s="177"/>
      <c r="M733" s="155"/>
      <c r="N733" s="155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254"/>
      <c r="K734" s="254"/>
      <c r="L734" s="177"/>
      <c r="M734" s="155"/>
      <c r="N734" s="155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254"/>
      <c r="K735" s="254"/>
      <c r="L735" s="177"/>
      <c r="M735" s="155"/>
      <c r="N735" s="155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254"/>
      <c r="K736" s="254"/>
      <c r="L736" s="177"/>
      <c r="M736" s="155"/>
      <c r="N736" s="155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254"/>
      <c r="K737" s="254"/>
      <c r="L737" s="177"/>
      <c r="M737" s="155"/>
      <c r="N737" s="155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254"/>
      <c r="K738" s="254"/>
      <c r="L738" s="177"/>
      <c r="M738" s="155"/>
      <c r="N738" s="155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254"/>
      <c r="K739" s="254"/>
      <c r="L739" s="177"/>
      <c r="M739" s="155"/>
      <c r="N739" s="155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254"/>
      <c r="K740" s="254"/>
      <c r="L740" s="177"/>
      <c r="M740" s="155"/>
      <c r="N740" s="155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254"/>
      <c r="K741" s="254"/>
      <c r="L741" s="177"/>
      <c r="M741" s="155"/>
      <c r="N741" s="155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254"/>
      <c r="K742" s="254"/>
      <c r="L742" s="177"/>
      <c r="M742" s="155"/>
      <c r="N742" s="155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254"/>
      <c r="K743" s="254"/>
      <c r="L743" s="177"/>
      <c r="M743" s="155"/>
      <c r="N743" s="155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254"/>
      <c r="K744" s="254"/>
      <c r="L744" s="177"/>
      <c r="M744" s="155"/>
      <c r="N744" s="155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254"/>
      <c r="K745" s="254"/>
      <c r="L745" s="177"/>
      <c r="M745" s="155"/>
      <c r="N745" s="155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254"/>
      <c r="K746" s="254"/>
      <c r="L746" s="177"/>
      <c r="M746" s="155"/>
      <c r="N746" s="155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254"/>
      <c r="K747" s="254"/>
      <c r="L747" s="177"/>
      <c r="M747" s="155"/>
      <c r="N747" s="155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254"/>
      <c r="K748" s="254"/>
      <c r="L748" s="177"/>
      <c r="M748" s="155"/>
      <c r="N748" s="155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254"/>
      <c r="K749" s="254"/>
      <c r="L749" s="169"/>
      <c r="M749" s="155"/>
      <c r="N749" s="155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254"/>
      <c r="K750" s="254"/>
      <c r="L750" s="177"/>
      <c r="M750" s="155"/>
      <c r="N750" s="155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254"/>
      <c r="K751" s="254"/>
      <c r="L751" s="177"/>
      <c r="M751" s="155"/>
      <c r="N751" s="155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254"/>
      <c r="K752" s="254"/>
      <c r="L752" s="177"/>
      <c r="M752" s="155"/>
      <c r="N752" s="155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254"/>
      <c r="K753" s="254"/>
      <c r="L753" s="177"/>
      <c r="M753" s="155"/>
      <c r="N753" s="155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254"/>
      <c r="K754" s="254"/>
      <c r="L754" s="177"/>
      <c r="M754" s="155"/>
      <c r="N754" s="155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254"/>
      <c r="K755" s="254"/>
      <c r="L755" s="177"/>
      <c r="M755" s="155"/>
      <c r="N755" s="155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254"/>
      <c r="K756" s="254"/>
      <c r="L756" s="177"/>
      <c r="M756" s="155"/>
      <c r="N756" s="155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254"/>
      <c r="K757" s="254"/>
      <c r="L757" s="177"/>
      <c r="M757" s="155"/>
      <c r="N757" s="155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254"/>
      <c r="K758" s="254"/>
      <c r="L758" s="177"/>
      <c r="M758" s="155"/>
      <c r="N758" s="155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254"/>
      <c r="K759" s="254"/>
      <c r="L759" s="177"/>
      <c r="M759" s="155"/>
      <c r="N759" s="155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254"/>
      <c r="K760" s="254"/>
      <c r="L760" s="177"/>
      <c r="M760" s="155"/>
      <c r="N760" s="155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254"/>
      <c r="K761" s="254"/>
      <c r="L761" s="177"/>
      <c r="M761" s="155"/>
      <c r="N761" s="155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254"/>
      <c r="K762" s="254"/>
      <c r="L762" s="177"/>
      <c r="M762" s="155"/>
      <c r="N762" s="155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254"/>
      <c r="K763" s="254"/>
      <c r="L763" s="177"/>
      <c r="M763" s="155"/>
      <c r="N763" s="155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254"/>
      <c r="K764" s="254"/>
      <c r="L764" s="177"/>
      <c r="M764" s="155"/>
      <c r="N764" s="155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254"/>
      <c r="K765" s="254"/>
      <c r="L765" s="177"/>
      <c r="M765" s="155"/>
      <c r="N765" s="155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254"/>
      <c r="K766" s="254"/>
      <c r="L766" s="177"/>
      <c r="M766" s="155"/>
      <c r="N766" s="155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254"/>
      <c r="K767" s="254"/>
      <c r="L767" s="177"/>
      <c r="M767" s="155"/>
      <c r="N767" s="155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254"/>
      <c r="K768" s="254"/>
      <c r="L768" s="169"/>
      <c r="M768" s="155"/>
      <c r="N768" s="155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254"/>
      <c r="K769" s="254"/>
      <c r="L769" s="177"/>
      <c r="M769" s="155"/>
      <c r="N769" s="155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254"/>
      <c r="K770" s="254"/>
      <c r="L770" s="177"/>
      <c r="M770" s="155"/>
      <c r="N770" s="155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254"/>
      <c r="K771" s="254"/>
      <c r="L771" s="177"/>
      <c r="M771" s="155"/>
      <c r="N771" s="155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254"/>
      <c r="K772" s="254"/>
      <c r="L772" s="177"/>
      <c r="M772" s="155"/>
      <c r="N772" s="155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254"/>
      <c r="K773" s="254"/>
      <c r="L773" s="177"/>
      <c r="M773" s="155"/>
      <c r="N773" s="155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254"/>
      <c r="K774" s="254"/>
      <c r="L774" s="177"/>
      <c r="M774" s="155"/>
      <c r="N774" s="155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254"/>
      <c r="K775" s="254"/>
      <c r="L775" s="177"/>
      <c r="M775" s="155"/>
      <c r="N775" s="155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254"/>
      <c r="K776" s="254"/>
      <c r="L776" s="177"/>
      <c r="M776" s="155"/>
      <c r="N776" s="155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254"/>
      <c r="K777" s="254"/>
      <c r="L777" s="177"/>
      <c r="M777" s="155"/>
      <c r="N777" s="155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254"/>
      <c r="K778" s="254"/>
      <c r="L778" s="177"/>
      <c r="M778" s="155"/>
      <c r="N778" s="155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254"/>
      <c r="K779" s="254"/>
      <c r="L779" s="177"/>
      <c r="M779" s="155"/>
      <c r="N779" s="155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254"/>
      <c r="K780" s="254"/>
      <c r="L780" s="177"/>
      <c r="M780" s="155"/>
      <c r="N780" s="155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254"/>
      <c r="K781" s="254"/>
      <c r="L781" s="177"/>
      <c r="M781" s="155"/>
      <c r="N781" s="155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254"/>
      <c r="K782" s="254"/>
      <c r="L782" s="177"/>
      <c r="M782" s="155"/>
      <c r="N782" s="155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254"/>
      <c r="K783" s="254"/>
      <c r="L783" s="177"/>
      <c r="M783" s="155"/>
      <c r="N783" s="155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254"/>
      <c r="K784" s="254"/>
      <c r="L784" s="177"/>
      <c r="M784" s="155"/>
      <c r="N784" s="155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254"/>
      <c r="K785" s="254"/>
      <c r="L785" s="177"/>
      <c r="M785" s="155"/>
      <c r="N785" s="155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254"/>
      <c r="K786" s="254"/>
      <c r="L786" s="177"/>
      <c r="M786" s="155"/>
      <c r="N786" s="155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254"/>
      <c r="K787" s="254"/>
      <c r="L787" s="169"/>
      <c r="M787" s="155"/>
      <c r="N787" s="155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254"/>
      <c r="K788" s="254"/>
      <c r="L788" s="177"/>
      <c r="M788" s="155"/>
      <c r="N788" s="155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254"/>
      <c r="K789" s="254"/>
      <c r="L789" s="177"/>
      <c r="M789" s="155"/>
      <c r="N789" s="155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254"/>
      <c r="K790" s="254"/>
      <c r="L790" s="177"/>
      <c r="M790" s="155"/>
      <c r="N790" s="155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254"/>
      <c r="K791" s="254"/>
      <c r="L791" s="177"/>
      <c r="M791" s="155"/>
      <c r="N791" s="155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254"/>
      <c r="K792" s="254"/>
      <c r="L792" s="177"/>
      <c r="M792" s="155"/>
      <c r="N792" s="155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254"/>
      <c r="K793" s="254"/>
      <c r="L793" s="177"/>
      <c r="M793" s="155"/>
      <c r="N793" s="155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254"/>
      <c r="K794" s="254"/>
      <c r="L794" s="177"/>
      <c r="M794" s="155"/>
      <c r="N794" s="155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254"/>
      <c r="K795" s="254"/>
      <c r="L795" s="177"/>
      <c r="M795" s="155"/>
      <c r="N795" s="155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254"/>
      <c r="K796" s="254"/>
      <c r="L796" s="177"/>
      <c r="M796" s="155"/>
      <c r="N796" s="155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254"/>
      <c r="K797" s="254"/>
      <c r="L797" s="177"/>
      <c r="M797" s="155"/>
      <c r="N797" s="155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254"/>
      <c r="K798" s="254"/>
      <c r="L798" s="177"/>
      <c r="M798" s="155"/>
      <c r="N798" s="155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254"/>
      <c r="K799" s="254"/>
      <c r="L799" s="177"/>
      <c r="M799" s="155"/>
      <c r="N799" s="155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254"/>
      <c r="K800" s="254"/>
      <c r="L800" s="177"/>
      <c r="M800" s="155"/>
      <c r="N800" s="155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254"/>
      <c r="K801" s="254"/>
      <c r="L801" s="177"/>
      <c r="M801" s="155"/>
      <c r="N801" s="155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254"/>
      <c r="K802" s="254"/>
      <c r="L802" s="177"/>
      <c r="M802" s="155"/>
      <c r="N802" s="155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254"/>
      <c r="K803" s="254"/>
      <c r="L803" s="177"/>
      <c r="M803" s="155"/>
      <c r="N803" s="155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254"/>
      <c r="K804" s="254"/>
      <c r="L804" s="177"/>
      <c r="M804" s="155"/>
      <c r="N804" s="155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254"/>
      <c r="K805" s="254"/>
      <c r="L805" s="177"/>
      <c r="M805" s="155"/>
      <c r="N805" s="155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254"/>
      <c r="K806" s="254"/>
      <c r="L806" s="169"/>
      <c r="M806" s="155"/>
      <c r="N806" s="155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254"/>
      <c r="K807" s="254"/>
      <c r="L807" s="177"/>
      <c r="M807" s="155"/>
      <c r="N807" s="155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254"/>
      <c r="K808" s="254"/>
      <c r="L808" s="177"/>
      <c r="M808" s="155"/>
      <c r="N808" s="155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</row>
    <row r="809" ht="15.7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254"/>
      <c r="K809" s="254"/>
      <c r="L809" s="177"/>
      <c r="M809" s="155"/>
      <c r="N809" s="155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</row>
    <row r="810" ht="15.7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254"/>
      <c r="K810" s="254"/>
      <c r="L810" s="177"/>
      <c r="M810" s="155"/>
      <c r="N810" s="155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</row>
    <row r="811" ht="15.7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254"/>
      <c r="K811" s="254"/>
      <c r="L811" s="177"/>
      <c r="M811" s="155"/>
      <c r="N811" s="155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</row>
    <row r="812" ht="15.7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254"/>
      <c r="K812" s="254"/>
      <c r="L812" s="177"/>
      <c r="M812" s="155"/>
      <c r="N812" s="155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</row>
    <row r="813" ht="15.7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254"/>
      <c r="K813" s="254"/>
      <c r="L813" s="177"/>
      <c r="M813" s="155"/>
      <c r="N813" s="155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</row>
    <row r="814" ht="15.7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254"/>
      <c r="K814" s="254"/>
      <c r="L814" s="177"/>
      <c r="M814" s="155"/>
      <c r="N814" s="155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</row>
    <row r="815" ht="15.7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254"/>
      <c r="K815" s="254"/>
      <c r="L815" s="177"/>
      <c r="M815" s="155"/>
      <c r="N815" s="155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</row>
    <row r="816" ht="15.7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254"/>
      <c r="K816" s="254"/>
      <c r="L816" s="177"/>
      <c r="M816" s="155"/>
      <c r="N816" s="155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</row>
    <row r="817" ht="15.7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254"/>
      <c r="K817" s="254"/>
      <c r="L817" s="177"/>
      <c r="M817" s="155"/>
      <c r="N817" s="155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</row>
    <row r="818" ht="15.7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254"/>
      <c r="K818" s="254"/>
      <c r="L818" s="177"/>
      <c r="M818" s="155"/>
      <c r="N818" s="155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</row>
    <row r="819" ht="15.7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254"/>
      <c r="K819" s="254"/>
      <c r="L819" s="177"/>
      <c r="M819" s="155"/>
      <c r="N819" s="155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</row>
    <row r="820" ht="15.7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254"/>
      <c r="K820" s="254"/>
      <c r="L820" s="177"/>
      <c r="M820" s="155"/>
      <c r="N820" s="155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</row>
    <row r="821" ht="15.7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254"/>
      <c r="K821" s="254"/>
      <c r="L821" s="177"/>
      <c r="M821" s="155"/>
      <c r="N821" s="155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</row>
    <row r="822" ht="15.7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254"/>
      <c r="K822" s="254"/>
      <c r="L822" s="177"/>
      <c r="M822" s="155"/>
      <c r="N822" s="155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</row>
    <row r="823" ht="15.7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254"/>
      <c r="K823" s="254"/>
      <c r="L823" s="177"/>
      <c r="M823" s="155"/>
      <c r="N823" s="155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</row>
    <row r="824" ht="15.7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254"/>
      <c r="K824" s="254"/>
      <c r="L824" s="177"/>
      <c r="M824" s="155"/>
      <c r="N824" s="155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</row>
    <row r="825" ht="15.7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254"/>
      <c r="K825" s="254"/>
      <c r="L825" s="169"/>
      <c r="M825" s="155"/>
      <c r="N825" s="155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 ht="15.7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254"/>
      <c r="K826" s="254"/>
      <c r="L826" s="177"/>
      <c r="M826" s="155"/>
      <c r="N826" s="155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</row>
    <row r="827" ht="15.7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254"/>
      <c r="K827" s="254"/>
      <c r="L827" s="177"/>
      <c r="M827" s="155"/>
      <c r="N827" s="155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</row>
    <row r="828" ht="15.7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254"/>
      <c r="K828" s="254"/>
      <c r="L828" s="177"/>
      <c r="M828" s="155"/>
      <c r="N828" s="155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</row>
    <row r="829" ht="15.7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254"/>
      <c r="K829" s="254"/>
      <c r="L829" s="177"/>
      <c r="M829" s="155"/>
      <c r="N829" s="155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</row>
    <row r="830" ht="15.7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254"/>
      <c r="K830" s="254"/>
      <c r="L830" s="177"/>
      <c r="M830" s="155"/>
      <c r="N830" s="155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</row>
    <row r="831" ht="15.7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254"/>
      <c r="K831" s="254"/>
      <c r="L831" s="177"/>
      <c r="M831" s="155"/>
      <c r="N831" s="155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</row>
    <row r="832" ht="15.7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254"/>
      <c r="K832" s="254"/>
      <c r="L832" s="177"/>
      <c r="M832" s="155"/>
      <c r="N832" s="155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</row>
    <row r="833" ht="15.7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254"/>
      <c r="K833" s="254"/>
      <c r="L833" s="177"/>
      <c r="M833" s="155"/>
      <c r="N833" s="155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</row>
    <row r="834" ht="15.7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254"/>
      <c r="K834" s="254"/>
      <c r="L834" s="177"/>
      <c r="M834" s="155"/>
      <c r="N834" s="155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</row>
    <row r="835" ht="15.7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254"/>
      <c r="K835" s="254"/>
      <c r="L835" s="177"/>
      <c r="M835" s="155"/>
      <c r="N835" s="155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</row>
    <row r="836" ht="15.7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254"/>
      <c r="K836" s="254"/>
      <c r="L836" s="177"/>
      <c r="M836" s="155"/>
      <c r="N836" s="155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</row>
    <row r="837" ht="15.7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254"/>
      <c r="K837" s="254"/>
      <c r="L837" s="177"/>
      <c r="M837" s="155"/>
      <c r="N837" s="155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</row>
    <row r="838" ht="15.7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254"/>
      <c r="K838" s="254"/>
      <c r="L838" s="177"/>
      <c r="M838" s="155"/>
      <c r="N838" s="155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</row>
    <row r="839" ht="15.7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254"/>
      <c r="K839" s="254"/>
      <c r="L839" s="177"/>
      <c r="M839" s="155"/>
      <c r="N839" s="155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</row>
    <row r="840" ht="15.7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254"/>
      <c r="K840" s="254"/>
      <c r="L840" s="177"/>
      <c r="M840" s="155"/>
      <c r="N840" s="155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</row>
    <row r="841" ht="15.7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254"/>
      <c r="K841" s="254"/>
      <c r="L841" s="177"/>
      <c r="M841" s="155"/>
      <c r="N841" s="155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</row>
    <row r="842" ht="15.7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254"/>
      <c r="K842" s="254"/>
      <c r="L842" s="177"/>
      <c r="M842" s="155"/>
      <c r="N842" s="155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</row>
    <row r="843" ht="15.7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254"/>
      <c r="K843" s="254"/>
      <c r="L843" s="177"/>
      <c r="M843" s="155"/>
      <c r="N843" s="155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</row>
    <row r="844" ht="15.7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254"/>
      <c r="K844" s="254"/>
      <c r="L844" s="169"/>
      <c r="M844" s="155"/>
      <c r="N844" s="155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 ht="15.7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254"/>
      <c r="K845" s="254"/>
      <c r="L845" s="177"/>
      <c r="M845" s="155"/>
      <c r="N845" s="155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</row>
    <row r="846" ht="15.7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254"/>
      <c r="K846" s="254"/>
      <c r="L846" s="177"/>
      <c r="M846" s="155"/>
      <c r="N846" s="155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</row>
    <row r="847" ht="15.7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254"/>
      <c r="K847" s="254"/>
      <c r="L847" s="177"/>
      <c r="M847" s="155"/>
      <c r="N847" s="155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</row>
    <row r="848" ht="15.7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254"/>
      <c r="K848" s="254"/>
      <c r="L848" s="177"/>
      <c r="M848" s="155"/>
      <c r="N848" s="155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</row>
    <row r="849" ht="15.7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254"/>
      <c r="K849" s="254"/>
      <c r="L849" s="177"/>
      <c r="M849" s="155"/>
      <c r="N849" s="155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</row>
    <row r="850" ht="15.7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254"/>
      <c r="K850" s="254"/>
      <c r="L850" s="177"/>
      <c r="M850" s="155"/>
      <c r="N850" s="155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</row>
    <row r="851" ht="15.7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254"/>
      <c r="K851" s="254"/>
      <c r="L851" s="177"/>
      <c r="M851" s="155"/>
      <c r="N851" s="155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</row>
    <row r="852" ht="15.7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254"/>
      <c r="K852" s="254"/>
      <c r="L852" s="177"/>
      <c r="M852" s="155"/>
      <c r="N852" s="155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</row>
    <row r="853" ht="15.7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254"/>
      <c r="K853" s="254"/>
      <c r="L853" s="177"/>
      <c r="M853" s="155"/>
      <c r="N853" s="155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</row>
    <row r="854" ht="15.7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254"/>
      <c r="K854" s="254"/>
      <c r="L854" s="177"/>
      <c r="M854" s="155"/>
      <c r="N854" s="155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</row>
    <row r="855" ht="15.7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254"/>
      <c r="K855" s="254"/>
      <c r="L855" s="177"/>
      <c r="M855" s="155"/>
      <c r="N855" s="155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</row>
    <row r="856" ht="15.7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254"/>
      <c r="K856" s="254"/>
      <c r="L856" s="177"/>
      <c r="M856" s="155"/>
      <c r="N856" s="155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</row>
    <row r="857" ht="15.7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254"/>
      <c r="K857" s="254"/>
      <c r="L857" s="177"/>
      <c r="M857" s="155"/>
      <c r="N857" s="155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</row>
    <row r="858" ht="15.7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254"/>
      <c r="K858" s="254"/>
      <c r="L858" s="177"/>
      <c r="M858" s="155"/>
      <c r="N858" s="155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</row>
    <row r="859" ht="15.7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254"/>
      <c r="K859" s="254"/>
      <c r="L859" s="177"/>
      <c r="M859" s="155"/>
      <c r="N859" s="155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</row>
    <row r="860" ht="15.7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254"/>
      <c r="K860" s="254"/>
      <c r="L860" s="177"/>
      <c r="M860" s="155"/>
      <c r="N860" s="155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</row>
    <row r="861" ht="15.7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254"/>
      <c r="K861" s="254"/>
      <c r="L861" s="177"/>
      <c r="M861" s="155"/>
      <c r="N861" s="155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</row>
    <row r="862" ht="15.7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254"/>
      <c r="K862" s="254"/>
      <c r="L862" s="177"/>
      <c r="M862" s="155"/>
      <c r="N862" s="155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</row>
    <row r="863" ht="15.7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254"/>
      <c r="K863" s="254"/>
      <c r="L863" s="169"/>
      <c r="M863" s="155"/>
      <c r="N863" s="155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 ht="15.7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254"/>
      <c r="K864" s="254"/>
      <c r="L864" s="177"/>
      <c r="M864" s="155"/>
      <c r="N864" s="155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</row>
    <row r="865" ht="15.7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254"/>
      <c r="K865" s="254"/>
      <c r="L865" s="177"/>
      <c r="M865" s="155"/>
      <c r="N865" s="155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</row>
    <row r="866" ht="15.7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254"/>
      <c r="K866" s="254"/>
      <c r="L866" s="177"/>
      <c r="M866" s="155"/>
      <c r="N866" s="155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</row>
    <row r="867" ht="15.7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254"/>
      <c r="K867" s="254"/>
      <c r="L867" s="177"/>
      <c r="M867" s="155"/>
      <c r="N867" s="155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</row>
    <row r="868" ht="15.7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254"/>
      <c r="K868" s="254"/>
      <c r="L868" s="177"/>
      <c r="M868" s="155"/>
      <c r="N868" s="155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</row>
    <row r="869" ht="15.7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254"/>
      <c r="K869" s="254"/>
      <c r="L869" s="177"/>
      <c r="M869" s="155"/>
      <c r="N869" s="155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</row>
    <row r="870" ht="15.7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254"/>
      <c r="K870" s="254"/>
      <c r="L870" s="177"/>
      <c r="M870" s="155"/>
      <c r="N870" s="155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</row>
    <row r="871" ht="15.7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254"/>
      <c r="K871" s="254"/>
      <c r="L871" s="177"/>
      <c r="M871" s="155"/>
      <c r="N871" s="155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</row>
    <row r="872" ht="15.7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254"/>
      <c r="K872" s="254"/>
      <c r="L872" s="177"/>
      <c r="M872" s="155"/>
      <c r="N872" s="155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</row>
    <row r="873" ht="15.7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254"/>
      <c r="K873" s="254"/>
      <c r="L873" s="177"/>
      <c r="M873" s="155"/>
      <c r="N873" s="155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</row>
    <row r="874" ht="15.7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254"/>
      <c r="K874" s="254"/>
      <c r="L874" s="177"/>
      <c r="M874" s="155"/>
      <c r="N874" s="155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</row>
    <row r="875" ht="15.7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254"/>
      <c r="K875" s="254"/>
      <c r="L875" s="177"/>
      <c r="M875" s="155"/>
      <c r="N875" s="155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</row>
    <row r="876" ht="15.7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254"/>
      <c r="K876" s="254"/>
      <c r="L876" s="177"/>
      <c r="M876" s="155"/>
      <c r="N876" s="155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</row>
    <row r="877" ht="15.7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254"/>
      <c r="K877" s="254"/>
      <c r="L877" s="177"/>
      <c r="M877" s="155"/>
      <c r="N877" s="155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</row>
    <row r="878" ht="15.7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254"/>
      <c r="K878" s="254"/>
      <c r="L878" s="177"/>
      <c r="M878" s="155"/>
      <c r="N878" s="155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</row>
    <row r="879" ht="15.7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254"/>
      <c r="K879" s="254"/>
      <c r="L879" s="177"/>
      <c r="M879" s="155"/>
      <c r="N879" s="155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</row>
    <row r="880" ht="15.7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254"/>
      <c r="K880" s="254"/>
      <c r="L880" s="177"/>
      <c r="M880" s="155"/>
      <c r="N880" s="155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</row>
    <row r="881" ht="15.7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254"/>
      <c r="K881" s="254"/>
      <c r="L881" s="177"/>
      <c r="M881" s="155"/>
      <c r="N881" s="155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</row>
    <row r="882" ht="15.7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254"/>
      <c r="K882" s="254"/>
      <c r="L882" s="169"/>
      <c r="M882" s="155"/>
      <c r="N882" s="155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 ht="15.7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254"/>
      <c r="K883" s="254"/>
      <c r="L883" s="177"/>
      <c r="M883" s="155"/>
      <c r="N883" s="155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</row>
    <row r="884" ht="15.7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254"/>
      <c r="K884" s="254"/>
      <c r="L884" s="177"/>
      <c r="M884" s="155"/>
      <c r="N884" s="155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</row>
    <row r="885" ht="15.7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254"/>
      <c r="K885" s="254"/>
      <c r="L885" s="177"/>
      <c r="M885" s="155"/>
      <c r="N885" s="155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</row>
    <row r="886" ht="15.7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254"/>
      <c r="K886" s="254"/>
      <c r="L886" s="177"/>
      <c r="M886" s="155"/>
      <c r="N886" s="155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</row>
    <row r="887" ht="15.7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254"/>
      <c r="K887" s="254"/>
      <c r="L887" s="177"/>
      <c r="M887" s="155"/>
      <c r="N887" s="155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</row>
    <row r="888" ht="15.7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254"/>
      <c r="K888" s="254"/>
      <c r="L888" s="177"/>
      <c r="M888" s="155"/>
      <c r="N888" s="155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</row>
    <row r="889" ht="15.7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254"/>
      <c r="K889" s="254"/>
      <c r="L889" s="177"/>
      <c r="M889" s="155"/>
      <c r="N889" s="155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</row>
    <row r="890" ht="15.7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254"/>
      <c r="K890" s="254"/>
      <c r="L890" s="177"/>
      <c r="M890" s="155"/>
      <c r="N890" s="155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</row>
    <row r="891" ht="15.7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254"/>
      <c r="K891" s="254"/>
      <c r="L891" s="177"/>
      <c r="M891" s="155"/>
      <c r="N891" s="155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</row>
    <row r="892" ht="15.7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254"/>
      <c r="K892" s="254"/>
      <c r="L892" s="177"/>
      <c r="M892" s="155"/>
      <c r="N892" s="155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</row>
    <row r="893" ht="15.7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254"/>
      <c r="K893" s="254"/>
      <c r="L893" s="177"/>
      <c r="M893" s="155"/>
      <c r="N893" s="155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</row>
    <row r="894" ht="15.7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254"/>
      <c r="K894" s="254"/>
      <c r="L894" s="177"/>
      <c r="M894" s="155"/>
      <c r="N894" s="155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</row>
    <row r="895" ht="15.7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254"/>
      <c r="K895" s="254"/>
      <c r="L895" s="177"/>
      <c r="M895" s="155"/>
      <c r="N895" s="155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</row>
    <row r="896" ht="15.7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254"/>
      <c r="K896" s="254"/>
      <c r="L896" s="177"/>
      <c r="M896" s="155"/>
      <c r="N896" s="155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</row>
    <row r="897" ht="15.7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254"/>
      <c r="K897" s="254"/>
      <c r="L897" s="177"/>
      <c r="M897" s="155"/>
      <c r="N897" s="155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</row>
    <row r="898" ht="15.7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254"/>
      <c r="K898" s="254"/>
      <c r="L898" s="177"/>
      <c r="M898" s="155"/>
      <c r="N898" s="155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</row>
    <row r="899" ht="15.7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254"/>
      <c r="K899" s="254"/>
      <c r="L899" s="177"/>
      <c r="M899" s="155"/>
      <c r="N899" s="155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</row>
    <row r="900" ht="15.7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254"/>
      <c r="K900" s="254"/>
      <c r="L900" s="177"/>
      <c r="M900" s="155"/>
      <c r="N900" s="155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</row>
    <row r="901" ht="15.7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254"/>
      <c r="K901" s="254"/>
      <c r="L901" s="169"/>
      <c r="M901" s="155"/>
      <c r="N901" s="155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 ht="15.7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254"/>
      <c r="K902" s="254"/>
      <c r="L902" s="177"/>
      <c r="M902" s="155"/>
      <c r="N902" s="155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</row>
    <row r="903" ht="15.7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254"/>
      <c r="K903" s="254"/>
      <c r="L903" s="177"/>
      <c r="M903" s="155"/>
      <c r="N903" s="155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</row>
    <row r="904" ht="15.7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254"/>
      <c r="K904" s="254"/>
      <c r="L904" s="177"/>
      <c r="M904" s="155"/>
      <c r="N904" s="155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</row>
    <row r="905" ht="15.7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254"/>
      <c r="K905" s="254"/>
      <c r="L905" s="177"/>
      <c r="M905" s="155"/>
      <c r="N905" s="155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</row>
    <row r="906" ht="15.7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254"/>
      <c r="K906" s="254"/>
      <c r="L906" s="177"/>
      <c r="M906" s="155"/>
      <c r="N906" s="155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</row>
    <row r="907" ht="15.7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254"/>
      <c r="K907" s="254"/>
      <c r="L907" s="177"/>
      <c r="M907" s="155"/>
      <c r="N907" s="155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</row>
    <row r="908" ht="15.7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254"/>
      <c r="K908" s="254"/>
      <c r="L908" s="177"/>
      <c r="M908" s="155"/>
      <c r="N908" s="155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</row>
    <row r="909" ht="15.7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254"/>
      <c r="K909" s="254"/>
      <c r="L909" s="177"/>
      <c r="M909" s="155"/>
      <c r="N909" s="155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</row>
    <row r="910" ht="15.7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254"/>
      <c r="K910" s="254"/>
      <c r="L910" s="177"/>
      <c r="M910" s="155"/>
      <c r="N910" s="155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</row>
    <row r="911" ht="15.7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254"/>
      <c r="K911" s="254"/>
      <c r="L911" s="177"/>
      <c r="M911" s="155"/>
      <c r="N911" s="155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</row>
    <row r="912" ht="15.7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254"/>
      <c r="K912" s="254"/>
      <c r="L912" s="177"/>
      <c r="M912" s="155"/>
      <c r="N912" s="155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</row>
    <row r="913" ht="15.7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254"/>
      <c r="K913" s="254"/>
      <c r="L913" s="177"/>
      <c r="M913" s="155"/>
      <c r="N913" s="155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</row>
    <row r="914" ht="15.7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254"/>
      <c r="K914" s="254"/>
      <c r="L914" s="177"/>
      <c r="M914" s="155"/>
      <c r="N914" s="155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</row>
    <row r="915" ht="15.75" customHeight="1">
      <c r="A915" s="155"/>
      <c r="B915" s="155"/>
      <c r="C915" s="155"/>
      <c r="D915" s="155"/>
      <c r="E915" s="155"/>
      <c r="F915" s="155"/>
      <c r="G915" s="155"/>
      <c r="H915" s="155"/>
      <c r="I915" s="155"/>
      <c r="J915" s="254"/>
      <c r="K915" s="254"/>
      <c r="L915" s="177"/>
      <c r="M915" s="155"/>
      <c r="N915" s="155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</row>
    <row r="916" ht="15.75" customHeight="1">
      <c r="A916" s="155"/>
      <c r="B916" s="155"/>
      <c r="C916" s="155"/>
      <c r="D916" s="155"/>
      <c r="E916" s="155"/>
      <c r="F916" s="155"/>
      <c r="G916" s="155"/>
      <c r="H916" s="155"/>
      <c r="I916" s="155"/>
      <c r="J916" s="254"/>
      <c r="K916" s="254"/>
      <c r="L916" s="177"/>
      <c r="M916" s="155"/>
      <c r="N916" s="155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</row>
    <row r="917" ht="15.75" customHeight="1">
      <c r="A917" s="155"/>
      <c r="B917" s="155"/>
      <c r="C917" s="155"/>
      <c r="D917" s="155"/>
      <c r="E917" s="155"/>
      <c r="F917" s="155"/>
      <c r="G917" s="155"/>
      <c r="H917" s="155"/>
      <c r="I917" s="155"/>
      <c r="J917" s="254"/>
      <c r="K917" s="254"/>
      <c r="L917" s="177"/>
      <c r="M917" s="155"/>
      <c r="N917" s="155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</row>
    <row r="918" ht="15.75" customHeight="1">
      <c r="A918" s="155"/>
      <c r="B918" s="155"/>
      <c r="C918" s="155"/>
      <c r="D918" s="155"/>
      <c r="E918" s="155"/>
      <c r="F918" s="155"/>
      <c r="G918" s="155"/>
      <c r="H918" s="155"/>
      <c r="I918" s="155"/>
      <c r="J918" s="254"/>
      <c r="K918" s="254"/>
      <c r="L918" s="177"/>
      <c r="M918" s="155"/>
      <c r="N918" s="155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</row>
    <row r="919" ht="15.75" customHeight="1">
      <c r="A919" s="155"/>
      <c r="B919" s="155"/>
      <c r="C919" s="155"/>
      <c r="D919" s="155"/>
      <c r="E919" s="155"/>
      <c r="F919" s="155"/>
      <c r="G919" s="155"/>
      <c r="H919" s="155"/>
      <c r="I919" s="155"/>
      <c r="J919" s="254"/>
      <c r="K919" s="254"/>
      <c r="L919" s="177"/>
      <c r="M919" s="155"/>
      <c r="N919" s="155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</row>
    <row r="920" ht="15.75" customHeight="1">
      <c r="A920" s="155"/>
      <c r="B920" s="155"/>
      <c r="C920" s="155"/>
      <c r="D920" s="155"/>
      <c r="E920" s="155"/>
      <c r="F920" s="155"/>
      <c r="G920" s="155"/>
      <c r="H920" s="155"/>
      <c r="I920" s="155"/>
      <c r="J920" s="254"/>
      <c r="K920" s="254"/>
      <c r="L920" s="169"/>
      <c r="M920" s="155"/>
      <c r="N920" s="155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</row>
    <row r="921" ht="15.75" customHeight="1">
      <c r="A921" s="155"/>
      <c r="B921" s="155"/>
      <c r="C921" s="155"/>
      <c r="D921" s="155"/>
      <c r="E921" s="155"/>
      <c r="F921" s="155"/>
      <c r="G921" s="155"/>
      <c r="H921" s="155"/>
      <c r="I921" s="155"/>
      <c r="J921" s="254"/>
      <c r="K921" s="254"/>
      <c r="L921" s="177"/>
      <c r="M921" s="155"/>
      <c r="N921" s="155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</row>
    <row r="922" ht="15.75" customHeight="1">
      <c r="A922" s="155"/>
      <c r="B922" s="155"/>
      <c r="C922" s="155"/>
      <c r="D922" s="155"/>
      <c r="E922" s="155"/>
      <c r="F922" s="155"/>
      <c r="G922" s="155"/>
      <c r="H922" s="155"/>
      <c r="I922" s="155"/>
      <c r="J922" s="254"/>
      <c r="K922" s="254"/>
      <c r="L922" s="177"/>
      <c r="M922" s="155"/>
      <c r="N922" s="155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</row>
    <row r="923" ht="15.75" customHeight="1">
      <c r="A923" s="155"/>
      <c r="B923" s="155"/>
      <c r="C923" s="155"/>
      <c r="D923" s="155"/>
      <c r="E923" s="155"/>
      <c r="F923" s="155"/>
      <c r="G923" s="155"/>
      <c r="H923" s="155"/>
      <c r="I923" s="155"/>
      <c r="J923" s="254"/>
      <c r="K923" s="254"/>
      <c r="L923" s="177"/>
      <c r="M923" s="155"/>
      <c r="N923" s="155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</row>
    <row r="924" ht="15.75" customHeight="1">
      <c r="A924" s="155"/>
      <c r="B924" s="155"/>
      <c r="C924" s="155"/>
      <c r="D924" s="155"/>
      <c r="E924" s="155"/>
      <c r="F924" s="155"/>
      <c r="G924" s="155"/>
      <c r="H924" s="155"/>
      <c r="I924" s="155"/>
      <c r="J924" s="254"/>
      <c r="K924" s="254"/>
      <c r="L924" s="177"/>
      <c r="M924" s="155"/>
      <c r="N924" s="155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</row>
    <row r="925" ht="15.75" customHeight="1">
      <c r="A925" s="155"/>
      <c r="B925" s="155"/>
      <c r="C925" s="155"/>
      <c r="D925" s="155"/>
      <c r="E925" s="155"/>
      <c r="F925" s="155"/>
      <c r="G925" s="155"/>
      <c r="H925" s="155"/>
      <c r="I925" s="155"/>
      <c r="J925" s="254"/>
      <c r="K925" s="254"/>
      <c r="L925" s="177"/>
      <c r="M925" s="155"/>
      <c r="N925" s="155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</row>
    <row r="926" ht="15.75" customHeight="1">
      <c r="A926" s="155"/>
      <c r="B926" s="155"/>
      <c r="C926" s="155"/>
      <c r="D926" s="155"/>
      <c r="E926" s="155"/>
      <c r="F926" s="155"/>
      <c r="G926" s="155"/>
      <c r="H926" s="155"/>
      <c r="I926" s="155"/>
      <c r="J926" s="254"/>
      <c r="K926" s="254"/>
      <c r="L926" s="177"/>
      <c r="M926" s="155"/>
      <c r="N926" s="155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</row>
    <row r="927" ht="15.75" customHeight="1">
      <c r="A927" s="155"/>
      <c r="B927" s="155"/>
      <c r="C927" s="155"/>
      <c r="D927" s="155"/>
      <c r="E927" s="155"/>
      <c r="F927" s="155"/>
      <c r="G927" s="155"/>
      <c r="H927" s="155"/>
      <c r="I927" s="155"/>
      <c r="J927" s="254"/>
      <c r="K927" s="254"/>
      <c r="L927" s="177"/>
      <c r="M927" s="155"/>
      <c r="N927" s="155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</row>
    <row r="928" ht="15.75" customHeight="1">
      <c r="A928" s="155"/>
      <c r="B928" s="155"/>
      <c r="C928" s="155"/>
      <c r="D928" s="155"/>
      <c r="E928" s="155"/>
      <c r="F928" s="155"/>
      <c r="G928" s="155"/>
      <c r="H928" s="155"/>
      <c r="I928" s="155"/>
      <c r="J928" s="254"/>
      <c r="K928" s="254"/>
      <c r="L928" s="177"/>
      <c r="M928" s="155"/>
      <c r="N928" s="155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</row>
    <row r="929" ht="15.75" customHeight="1">
      <c r="A929" s="155"/>
      <c r="B929" s="155"/>
      <c r="C929" s="155"/>
      <c r="D929" s="155"/>
      <c r="E929" s="155"/>
      <c r="F929" s="155"/>
      <c r="G929" s="155"/>
      <c r="H929" s="155"/>
      <c r="I929" s="155"/>
      <c r="J929" s="254"/>
      <c r="K929" s="254"/>
      <c r="L929" s="177"/>
      <c r="M929" s="155"/>
      <c r="N929" s="155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</row>
    <row r="930" ht="15.75" customHeight="1">
      <c r="A930" s="155"/>
      <c r="B930" s="155"/>
      <c r="C930" s="155"/>
      <c r="D930" s="155"/>
      <c r="E930" s="155"/>
      <c r="F930" s="155"/>
      <c r="G930" s="155"/>
      <c r="H930" s="155"/>
      <c r="I930" s="155"/>
      <c r="J930" s="254"/>
      <c r="K930" s="254"/>
      <c r="L930" s="177"/>
      <c r="M930" s="155"/>
      <c r="N930" s="155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</row>
    <row r="931" ht="15.75" customHeight="1">
      <c r="A931" s="155"/>
      <c r="B931" s="155"/>
      <c r="C931" s="155"/>
      <c r="D931" s="155"/>
      <c r="E931" s="155"/>
      <c r="F931" s="155"/>
      <c r="G931" s="155"/>
      <c r="H931" s="155"/>
      <c r="I931" s="155"/>
      <c r="J931" s="254"/>
      <c r="K931" s="254"/>
      <c r="L931" s="177"/>
      <c r="M931" s="155"/>
      <c r="N931" s="155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</row>
    <row r="932" ht="15.75" customHeight="1">
      <c r="A932" s="155"/>
      <c r="B932" s="155"/>
      <c r="C932" s="155"/>
      <c r="D932" s="155"/>
      <c r="E932" s="155"/>
      <c r="F932" s="155"/>
      <c r="G932" s="155"/>
      <c r="H932" s="155"/>
      <c r="I932" s="155"/>
      <c r="J932" s="254"/>
      <c r="K932" s="254"/>
      <c r="L932" s="177"/>
      <c r="M932" s="155"/>
      <c r="N932" s="155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</row>
    <row r="933" ht="15.75" customHeight="1">
      <c r="A933" s="155"/>
      <c r="B933" s="155"/>
      <c r="C933" s="155"/>
      <c r="D933" s="155"/>
      <c r="E933" s="155"/>
      <c r="F933" s="155"/>
      <c r="G933" s="155"/>
      <c r="H933" s="155"/>
      <c r="I933" s="155"/>
      <c r="J933" s="254"/>
      <c r="K933" s="254"/>
      <c r="L933" s="177"/>
      <c r="M933" s="155"/>
      <c r="N933" s="155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</row>
    <row r="934" ht="15.75" customHeight="1">
      <c r="A934" s="155"/>
      <c r="B934" s="155"/>
      <c r="C934" s="155"/>
      <c r="D934" s="155"/>
      <c r="E934" s="155"/>
      <c r="F934" s="155"/>
      <c r="G934" s="155"/>
      <c r="H934" s="155"/>
      <c r="I934" s="155"/>
      <c r="J934" s="254"/>
      <c r="K934" s="254"/>
      <c r="L934" s="177"/>
      <c r="M934" s="155"/>
      <c r="N934" s="155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</row>
    <row r="935" ht="15.75" customHeight="1">
      <c r="A935" s="155"/>
      <c r="B935" s="155"/>
      <c r="C935" s="155"/>
      <c r="D935" s="155"/>
      <c r="E935" s="155"/>
      <c r="F935" s="155"/>
      <c r="G935" s="155"/>
      <c r="H935" s="155"/>
      <c r="I935" s="155"/>
      <c r="J935" s="254"/>
      <c r="K935" s="254"/>
      <c r="L935" s="177"/>
      <c r="M935" s="155"/>
      <c r="N935" s="155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</row>
    <row r="936" ht="15.75" customHeight="1">
      <c r="A936" s="155"/>
      <c r="B936" s="155"/>
      <c r="C936" s="155"/>
      <c r="D936" s="155"/>
      <c r="E936" s="155"/>
      <c r="F936" s="155"/>
      <c r="G936" s="155"/>
      <c r="H936" s="155"/>
      <c r="I936" s="155"/>
      <c r="J936" s="254"/>
      <c r="K936" s="254"/>
      <c r="L936" s="177"/>
      <c r="M936" s="155"/>
      <c r="N936" s="155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</row>
    <row r="937" ht="15.75" customHeight="1">
      <c r="A937" s="155"/>
      <c r="B937" s="155"/>
      <c r="C937" s="155"/>
      <c r="D937" s="155"/>
      <c r="E937" s="155"/>
      <c r="F937" s="155"/>
      <c r="G937" s="155"/>
      <c r="H937" s="155"/>
      <c r="I937" s="155"/>
      <c r="J937" s="254"/>
      <c r="K937" s="254"/>
      <c r="L937" s="177"/>
      <c r="M937" s="155"/>
      <c r="N937" s="155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</row>
    <row r="938" ht="15.75" customHeight="1">
      <c r="A938" s="155"/>
      <c r="B938" s="155"/>
      <c r="C938" s="155"/>
      <c r="D938" s="155"/>
      <c r="E938" s="155"/>
      <c r="F938" s="155"/>
      <c r="G938" s="155"/>
      <c r="H938" s="155"/>
      <c r="I938" s="155"/>
      <c r="J938" s="254"/>
      <c r="K938" s="254"/>
      <c r="L938" s="177"/>
      <c r="M938" s="155"/>
      <c r="N938" s="155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</row>
    <row r="939" ht="15.75" customHeight="1">
      <c r="A939" s="155"/>
      <c r="B939" s="155"/>
      <c r="C939" s="155"/>
      <c r="D939" s="155"/>
      <c r="E939" s="155"/>
      <c r="F939" s="155"/>
      <c r="G939" s="155"/>
      <c r="H939" s="155"/>
      <c r="I939" s="155"/>
      <c r="J939" s="254"/>
      <c r="K939" s="254"/>
      <c r="L939" s="169"/>
      <c r="M939" s="155"/>
      <c r="N939" s="155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</row>
    <row r="940" ht="15.75" customHeight="1">
      <c r="A940" s="155"/>
      <c r="B940" s="155"/>
      <c r="C940" s="155"/>
      <c r="D940" s="155"/>
      <c r="E940" s="155"/>
      <c r="F940" s="155"/>
      <c r="G940" s="155"/>
      <c r="H940" s="155"/>
      <c r="I940" s="155"/>
      <c r="J940" s="254"/>
      <c r="K940" s="254"/>
      <c r="L940" s="177"/>
      <c r="M940" s="155"/>
      <c r="N940" s="155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</row>
    <row r="941" ht="15.75" customHeight="1">
      <c r="A941" s="155"/>
      <c r="B941" s="155"/>
      <c r="C941" s="155"/>
      <c r="D941" s="155"/>
      <c r="E941" s="155"/>
      <c r="F941" s="155"/>
      <c r="G941" s="155"/>
      <c r="H941" s="155"/>
      <c r="I941" s="155"/>
      <c r="J941" s="254"/>
      <c r="K941" s="254"/>
      <c r="L941" s="177"/>
      <c r="M941" s="155"/>
      <c r="N941" s="155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</row>
    <row r="942" ht="15.75" customHeight="1">
      <c r="A942" s="155"/>
      <c r="B942" s="155"/>
      <c r="C942" s="155"/>
      <c r="D942" s="155"/>
      <c r="E942" s="155"/>
      <c r="F942" s="155"/>
      <c r="G942" s="155"/>
      <c r="H942" s="155"/>
      <c r="I942" s="155"/>
      <c r="J942" s="254"/>
      <c r="K942" s="254"/>
      <c r="L942" s="177"/>
      <c r="M942" s="155"/>
      <c r="N942" s="155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</row>
    <row r="943" ht="15.75" customHeight="1">
      <c r="A943" s="155"/>
      <c r="B943" s="155"/>
      <c r="C943" s="155"/>
      <c r="D943" s="155"/>
      <c r="E943" s="155"/>
      <c r="F943" s="155"/>
      <c r="G943" s="155"/>
      <c r="H943" s="155"/>
      <c r="I943" s="155"/>
      <c r="J943" s="254"/>
      <c r="K943" s="254"/>
      <c r="L943" s="177"/>
      <c r="M943" s="155"/>
      <c r="N943" s="155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</row>
    <row r="944" ht="15.75" customHeight="1">
      <c r="A944" s="155"/>
      <c r="B944" s="155"/>
      <c r="C944" s="155"/>
      <c r="D944" s="155"/>
      <c r="E944" s="155"/>
      <c r="F944" s="155"/>
      <c r="G944" s="155"/>
      <c r="H944" s="155"/>
      <c r="I944" s="155"/>
      <c r="J944" s="254"/>
      <c r="K944" s="254"/>
      <c r="L944" s="177"/>
      <c r="M944" s="155"/>
      <c r="N944" s="155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</row>
    <row r="945" ht="15.75" customHeight="1">
      <c r="A945" s="155"/>
      <c r="B945" s="155"/>
      <c r="C945" s="155"/>
      <c r="D945" s="155"/>
      <c r="E945" s="155"/>
      <c r="F945" s="155"/>
      <c r="G945" s="155"/>
      <c r="H945" s="155"/>
      <c r="I945" s="155"/>
      <c r="J945" s="254"/>
      <c r="K945" s="254"/>
      <c r="L945" s="177"/>
      <c r="M945" s="155"/>
      <c r="N945" s="155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</row>
    <row r="946" ht="15.75" customHeight="1">
      <c r="A946" s="155"/>
      <c r="B946" s="155"/>
      <c r="C946" s="155"/>
      <c r="D946" s="155"/>
      <c r="E946" s="155"/>
      <c r="F946" s="155"/>
      <c r="G946" s="155"/>
      <c r="H946" s="155"/>
      <c r="I946" s="155"/>
      <c r="J946" s="254"/>
      <c r="K946" s="254"/>
      <c r="L946" s="177"/>
      <c r="M946" s="155"/>
      <c r="N946" s="155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</row>
    <row r="947" ht="15.75" customHeight="1">
      <c r="A947" s="155"/>
      <c r="B947" s="155"/>
      <c r="C947" s="155"/>
      <c r="D947" s="155"/>
      <c r="E947" s="155"/>
      <c r="F947" s="155"/>
      <c r="G947" s="155"/>
      <c r="H947" s="155"/>
      <c r="I947" s="155"/>
      <c r="J947" s="254"/>
      <c r="K947" s="254"/>
      <c r="L947" s="177"/>
      <c r="M947" s="155"/>
      <c r="N947" s="155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</row>
    <row r="948" ht="15.75" customHeight="1">
      <c r="A948" s="155"/>
      <c r="B948" s="155"/>
      <c r="C948" s="155"/>
      <c r="D948" s="155"/>
      <c r="E948" s="155"/>
      <c r="F948" s="155"/>
      <c r="G948" s="155"/>
      <c r="H948" s="155"/>
      <c r="I948" s="155"/>
      <c r="J948" s="254"/>
      <c r="K948" s="254"/>
      <c r="L948" s="177"/>
      <c r="M948" s="155"/>
      <c r="N948" s="155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</row>
    <row r="949" ht="15.75" customHeight="1">
      <c r="A949" s="155"/>
      <c r="B949" s="155"/>
      <c r="C949" s="155"/>
      <c r="D949" s="155"/>
      <c r="E949" s="155"/>
      <c r="F949" s="155"/>
      <c r="G949" s="155"/>
      <c r="H949" s="155"/>
      <c r="I949" s="155"/>
      <c r="J949" s="254"/>
      <c r="K949" s="254"/>
      <c r="L949" s="177"/>
      <c r="M949" s="155"/>
      <c r="N949" s="155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</row>
    <row r="950" ht="15.75" customHeight="1">
      <c r="A950" s="155"/>
      <c r="B950" s="155"/>
      <c r="C950" s="155"/>
      <c r="D950" s="155"/>
      <c r="E950" s="155"/>
      <c r="F950" s="155"/>
      <c r="G950" s="155"/>
      <c r="H950" s="155"/>
      <c r="I950" s="155"/>
      <c r="J950" s="254"/>
      <c r="K950" s="254"/>
      <c r="L950" s="177"/>
      <c r="M950" s="155"/>
      <c r="N950" s="155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</row>
    <row r="951" ht="15.75" customHeight="1">
      <c r="A951" s="155"/>
      <c r="B951" s="155"/>
      <c r="C951" s="155"/>
      <c r="D951" s="155"/>
      <c r="E951" s="155"/>
      <c r="F951" s="155"/>
      <c r="G951" s="155"/>
      <c r="H951" s="155"/>
      <c r="I951" s="155"/>
      <c r="J951" s="254"/>
      <c r="K951" s="254"/>
      <c r="L951" s="177"/>
      <c r="M951" s="155"/>
      <c r="N951" s="155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</row>
    <row r="952" ht="15.75" customHeight="1">
      <c r="A952" s="155"/>
      <c r="B952" s="155"/>
      <c r="C952" s="155"/>
      <c r="D952" s="155"/>
      <c r="E952" s="155"/>
      <c r="F952" s="155"/>
      <c r="G952" s="155"/>
      <c r="H952" s="155"/>
      <c r="I952" s="155"/>
      <c r="J952" s="254"/>
      <c r="K952" s="254"/>
      <c r="L952" s="177"/>
      <c r="M952" s="155"/>
      <c r="N952" s="155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</row>
    <row r="953" ht="15.75" customHeight="1">
      <c r="A953" s="155"/>
      <c r="B953" s="155"/>
      <c r="C953" s="155"/>
      <c r="D953" s="155"/>
      <c r="E953" s="155"/>
      <c r="F953" s="155"/>
      <c r="G953" s="155"/>
      <c r="H953" s="155"/>
      <c r="I953" s="155"/>
      <c r="J953" s="254"/>
      <c r="K953" s="254"/>
      <c r="L953" s="177"/>
      <c r="M953" s="155"/>
      <c r="N953" s="155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</row>
    <row r="954" ht="15.75" customHeight="1">
      <c r="A954" s="155"/>
      <c r="B954" s="155"/>
      <c r="C954" s="155"/>
      <c r="D954" s="155"/>
      <c r="E954" s="155"/>
      <c r="F954" s="155"/>
      <c r="G954" s="155"/>
      <c r="H954" s="155"/>
      <c r="I954" s="155"/>
      <c r="J954" s="254"/>
      <c r="K954" s="254"/>
      <c r="L954" s="177"/>
      <c r="M954" s="155"/>
      <c r="N954" s="155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</row>
    <row r="955" ht="15.75" customHeight="1">
      <c r="A955" s="155"/>
      <c r="B955" s="155"/>
      <c r="C955" s="155"/>
      <c r="D955" s="155"/>
      <c r="E955" s="155"/>
      <c r="F955" s="155"/>
      <c r="G955" s="155"/>
      <c r="H955" s="155"/>
      <c r="I955" s="155"/>
      <c r="J955" s="254"/>
      <c r="K955" s="254"/>
      <c r="L955" s="177"/>
      <c r="M955" s="155"/>
      <c r="N955" s="155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</row>
    <row r="956" ht="15.75" customHeight="1">
      <c r="A956" s="155"/>
      <c r="B956" s="155"/>
      <c r="C956" s="155"/>
      <c r="D956" s="155"/>
      <c r="E956" s="155"/>
      <c r="F956" s="155"/>
      <c r="G956" s="155"/>
      <c r="H956" s="155"/>
      <c r="I956" s="155"/>
      <c r="J956" s="254"/>
      <c r="K956" s="254"/>
      <c r="L956" s="177"/>
      <c r="M956" s="155"/>
      <c r="N956" s="155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</row>
    <row r="957" ht="15.75" customHeight="1">
      <c r="A957" s="155"/>
      <c r="B957" s="155"/>
      <c r="C957" s="155"/>
      <c r="D957" s="155"/>
      <c r="E957" s="155"/>
      <c r="F957" s="155"/>
      <c r="G957" s="155"/>
      <c r="H957" s="155"/>
      <c r="I957" s="155"/>
      <c r="J957" s="254"/>
      <c r="K957" s="254"/>
      <c r="L957" s="177"/>
      <c r="M957" s="155"/>
      <c r="N957" s="155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</row>
    <row r="958" ht="15.75" customHeight="1">
      <c r="A958" s="155"/>
      <c r="B958" s="155"/>
      <c r="C958" s="155"/>
      <c r="D958" s="155"/>
      <c r="E958" s="155"/>
      <c r="F958" s="155"/>
      <c r="G958" s="155"/>
      <c r="H958" s="155"/>
      <c r="I958" s="155"/>
      <c r="J958" s="254"/>
      <c r="K958" s="254"/>
      <c r="L958" s="169"/>
      <c r="M958" s="155"/>
      <c r="N958" s="155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</row>
    <row r="959" ht="15.75" customHeight="1">
      <c r="A959" s="155"/>
      <c r="B959" s="155"/>
      <c r="C959" s="155"/>
      <c r="D959" s="155"/>
      <c r="E959" s="155"/>
      <c r="F959" s="155"/>
      <c r="G959" s="155"/>
      <c r="H959" s="155"/>
      <c r="I959" s="155"/>
      <c r="J959" s="254"/>
      <c r="K959" s="254"/>
      <c r="L959" s="177"/>
      <c r="M959" s="155"/>
      <c r="N959" s="155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</row>
    <row r="960" ht="15.75" customHeight="1">
      <c r="A960" s="155"/>
      <c r="B960" s="155"/>
      <c r="C960" s="155"/>
      <c r="D960" s="155"/>
      <c r="E960" s="155"/>
      <c r="F960" s="155"/>
      <c r="G960" s="155"/>
      <c r="H960" s="155"/>
      <c r="I960" s="155"/>
      <c r="J960" s="254"/>
      <c r="K960" s="254"/>
      <c r="L960" s="177"/>
      <c r="M960" s="155"/>
      <c r="N960" s="155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</row>
    <row r="961" ht="15.75" customHeight="1">
      <c r="A961" s="155"/>
      <c r="B961" s="155"/>
      <c r="C961" s="155"/>
      <c r="D961" s="155"/>
      <c r="E961" s="155"/>
      <c r="F961" s="155"/>
      <c r="G961" s="155"/>
      <c r="H961" s="155"/>
      <c r="I961" s="155"/>
      <c r="J961" s="254"/>
      <c r="K961" s="254"/>
      <c r="L961" s="177"/>
      <c r="M961" s="155"/>
      <c r="N961" s="155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</row>
    <row r="962" ht="15.75" customHeight="1">
      <c r="A962" s="155"/>
      <c r="B962" s="155"/>
      <c r="C962" s="155"/>
      <c r="D962" s="155"/>
      <c r="E962" s="155"/>
      <c r="F962" s="155"/>
      <c r="G962" s="155"/>
      <c r="H962" s="155"/>
      <c r="I962" s="155"/>
      <c r="J962" s="254"/>
      <c r="K962" s="254"/>
      <c r="L962" s="177"/>
      <c r="M962" s="155"/>
      <c r="N962" s="155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</row>
    <row r="963" ht="15.75" customHeight="1">
      <c r="A963" s="155"/>
      <c r="B963" s="155"/>
      <c r="C963" s="155"/>
      <c r="D963" s="155"/>
      <c r="E963" s="155"/>
      <c r="F963" s="155"/>
      <c r="G963" s="155"/>
      <c r="H963" s="155"/>
      <c r="I963" s="155"/>
      <c r="J963" s="254"/>
      <c r="K963" s="254"/>
      <c r="L963" s="177"/>
      <c r="M963" s="155"/>
      <c r="N963" s="155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</row>
    <row r="964" ht="15.75" customHeight="1">
      <c r="A964" s="155"/>
      <c r="B964" s="155"/>
      <c r="C964" s="155"/>
      <c r="D964" s="155"/>
      <c r="E964" s="155"/>
      <c r="F964" s="155"/>
      <c r="G964" s="155"/>
      <c r="H964" s="155"/>
      <c r="I964" s="155"/>
      <c r="J964" s="254"/>
      <c r="K964" s="254"/>
      <c r="L964" s="177"/>
      <c r="M964" s="155"/>
      <c r="N964" s="155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</row>
    <row r="965" ht="15.75" customHeight="1">
      <c r="A965" s="155"/>
      <c r="B965" s="155"/>
      <c r="C965" s="155"/>
      <c r="D965" s="155"/>
      <c r="E965" s="155"/>
      <c r="F965" s="155"/>
      <c r="G965" s="155"/>
      <c r="H965" s="155"/>
      <c r="I965" s="155"/>
      <c r="J965" s="254"/>
      <c r="K965" s="254"/>
      <c r="L965" s="177"/>
      <c r="M965" s="155"/>
      <c r="N965" s="155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</row>
    <row r="966" ht="15.75" customHeight="1">
      <c r="A966" s="155"/>
      <c r="B966" s="155"/>
      <c r="C966" s="155"/>
      <c r="D966" s="155"/>
      <c r="E966" s="155"/>
      <c r="F966" s="155"/>
      <c r="G966" s="155"/>
      <c r="H966" s="155"/>
      <c r="I966" s="155"/>
      <c r="J966" s="254"/>
      <c r="K966" s="254"/>
      <c r="L966" s="177"/>
      <c r="M966" s="155"/>
      <c r="N966" s="155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</row>
    <row r="967" ht="15.75" customHeight="1">
      <c r="A967" s="155"/>
      <c r="B967" s="155"/>
      <c r="C967" s="155"/>
      <c r="D967" s="155"/>
      <c r="E967" s="155"/>
      <c r="F967" s="155"/>
      <c r="G967" s="155"/>
      <c r="H967" s="155"/>
      <c r="I967" s="155"/>
      <c r="J967" s="254"/>
      <c r="K967" s="254"/>
      <c r="L967" s="177"/>
      <c r="M967" s="155"/>
      <c r="N967" s="155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</row>
    <row r="968" ht="15.75" customHeight="1">
      <c r="A968" s="155"/>
      <c r="B968" s="155"/>
      <c r="C968" s="155"/>
      <c r="D968" s="155"/>
      <c r="E968" s="155"/>
      <c r="F968" s="155"/>
      <c r="G968" s="155"/>
      <c r="H968" s="155"/>
      <c r="I968" s="155"/>
      <c r="J968" s="254"/>
      <c r="K968" s="254"/>
      <c r="L968" s="177"/>
      <c r="M968" s="155"/>
      <c r="N968" s="155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</row>
    <row r="969" ht="15.75" customHeight="1">
      <c r="A969" s="155"/>
      <c r="B969" s="155"/>
      <c r="C969" s="155"/>
      <c r="D969" s="155"/>
      <c r="E969" s="155"/>
      <c r="F969" s="155"/>
      <c r="G969" s="155"/>
      <c r="H969" s="155"/>
      <c r="I969" s="155"/>
      <c r="J969" s="254"/>
      <c r="K969" s="254"/>
      <c r="L969" s="177"/>
      <c r="M969" s="155"/>
      <c r="N969" s="155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</row>
    <row r="970" ht="15.75" customHeight="1">
      <c r="A970" s="155"/>
      <c r="B970" s="155"/>
      <c r="C970" s="155"/>
      <c r="D970" s="155"/>
      <c r="E970" s="155"/>
      <c r="F970" s="155"/>
      <c r="G970" s="155"/>
      <c r="H970" s="155"/>
      <c r="I970" s="155"/>
      <c r="J970" s="254"/>
      <c r="K970" s="254"/>
      <c r="L970" s="177"/>
      <c r="M970" s="155"/>
      <c r="N970" s="155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</row>
    <row r="971" ht="15.75" customHeight="1">
      <c r="A971" s="155"/>
      <c r="B971" s="155"/>
      <c r="C971" s="155"/>
      <c r="D971" s="155"/>
      <c r="E971" s="155"/>
      <c r="F971" s="155"/>
      <c r="G971" s="155"/>
      <c r="H971" s="155"/>
      <c r="I971" s="155"/>
      <c r="J971" s="254"/>
      <c r="K971" s="254"/>
      <c r="L971" s="177"/>
      <c r="M971" s="155"/>
      <c r="N971" s="155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</row>
    <row r="972" ht="15.75" customHeight="1">
      <c r="A972" s="155"/>
      <c r="B972" s="155"/>
      <c r="C972" s="155"/>
      <c r="D972" s="155"/>
      <c r="E972" s="155"/>
      <c r="F972" s="155"/>
      <c r="G972" s="155"/>
      <c r="H972" s="155"/>
      <c r="I972" s="155"/>
      <c r="J972" s="254"/>
      <c r="K972" s="254"/>
      <c r="L972" s="177"/>
      <c r="M972" s="155"/>
      <c r="N972" s="155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</row>
    <row r="973" ht="15.75" customHeight="1">
      <c r="A973" s="155"/>
      <c r="B973" s="155"/>
      <c r="C973" s="155"/>
      <c r="D973" s="155"/>
      <c r="E973" s="155"/>
      <c r="F973" s="155"/>
      <c r="G973" s="155"/>
      <c r="H973" s="155"/>
      <c r="I973" s="155"/>
      <c r="J973" s="254"/>
      <c r="K973" s="254"/>
      <c r="L973" s="177"/>
      <c r="M973" s="155"/>
      <c r="N973" s="155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</row>
    <row r="974" ht="15.75" customHeight="1">
      <c r="A974" s="155"/>
      <c r="B974" s="155"/>
      <c r="C974" s="155"/>
      <c r="D974" s="155"/>
      <c r="E974" s="155"/>
      <c r="F974" s="155"/>
      <c r="G974" s="155"/>
      <c r="H974" s="155"/>
      <c r="I974" s="155"/>
      <c r="J974" s="254"/>
      <c r="K974" s="254"/>
      <c r="L974" s="177"/>
      <c r="M974" s="155"/>
      <c r="N974" s="155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</row>
    <row r="975" ht="15.75" customHeight="1">
      <c r="A975" s="155"/>
      <c r="B975" s="155"/>
      <c r="C975" s="155"/>
      <c r="D975" s="155"/>
      <c r="E975" s="155"/>
      <c r="F975" s="155"/>
      <c r="G975" s="155"/>
      <c r="H975" s="155"/>
      <c r="I975" s="155"/>
      <c r="J975" s="254"/>
      <c r="K975" s="254"/>
      <c r="L975" s="177"/>
      <c r="M975" s="155"/>
      <c r="N975" s="155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</row>
    <row r="976" ht="15.75" customHeight="1">
      <c r="A976" s="155"/>
      <c r="B976" s="155"/>
      <c r="C976" s="155"/>
      <c r="D976" s="155"/>
      <c r="E976" s="155"/>
      <c r="F976" s="155"/>
      <c r="G976" s="155"/>
      <c r="H976" s="155"/>
      <c r="I976" s="155"/>
      <c r="J976" s="254"/>
      <c r="K976" s="254"/>
      <c r="L976" s="177"/>
      <c r="M976" s="155"/>
      <c r="N976" s="155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</row>
    <row r="977" ht="15.75" customHeight="1">
      <c r="A977" s="155"/>
      <c r="B977" s="155"/>
      <c r="C977" s="155"/>
      <c r="D977" s="155"/>
      <c r="E977" s="155"/>
      <c r="F977" s="155"/>
      <c r="G977" s="155"/>
      <c r="H977" s="155"/>
      <c r="I977" s="155"/>
      <c r="J977" s="254"/>
      <c r="K977" s="254"/>
      <c r="L977" s="169"/>
      <c r="M977" s="155"/>
      <c r="N977" s="155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</row>
    <row r="978" ht="15.75" customHeight="1">
      <c r="A978" s="155"/>
      <c r="B978" s="155"/>
      <c r="C978" s="155"/>
      <c r="D978" s="155"/>
      <c r="E978" s="155"/>
      <c r="F978" s="155"/>
      <c r="G978" s="155"/>
      <c r="H978" s="155"/>
      <c r="I978" s="155"/>
      <c r="J978" s="254"/>
      <c r="K978" s="254"/>
      <c r="L978" s="177"/>
      <c r="M978" s="155"/>
      <c r="N978" s="155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</row>
    <row r="979" ht="15.75" customHeight="1">
      <c r="A979" s="155"/>
      <c r="B979" s="155"/>
      <c r="C979" s="155"/>
      <c r="D979" s="155"/>
      <c r="E979" s="155"/>
      <c r="F979" s="155"/>
      <c r="G979" s="155"/>
      <c r="H979" s="155"/>
      <c r="I979" s="155"/>
      <c r="J979" s="254"/>
      <c r="K979" s="254"/>
      <c r="L979" s="177"/>
      <c r="M979" s="155"/>
      <c r="N979" s="155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</row>
    <row r="980" ht="15.75" customHeight="1">
      <c r="A980" s="155"/>
      <c r="B980" s="155"/>
      <c r="C980" s="155"/>
      <c r="D980" s="155"/>
      <c r="E980" s="155"/>
      <c r="F980" s="155"/>
      <c r="G980" s="155"/>
      <c r="H980" s="155"/>
      <c r="I980" s="155"/>
      <c r="J980" s="254"/>
      <c r="K980" s="254"/>
      <c r="L980" s="177"/>
      <c r="M980" s="155"/>
      <c r="N980" s="155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</row>
    <row r="981" ht="15.75" customHeight="1">
      <c r="A981" s="155"/>
      <c r="B981" s="155"/>
      <c r="C981" s="155"/>
      <c r="D981" s="155"/>
      <c r="E981" s="155"/>
      <c r="F981" s="155"/>
      <c r="G981" s="155"/>
      <c r="H981" s="155"/>
      <c r="I981" s="155"/>
      <c r="J981" s="254"/>
      <c r="K981" s="254"/>
      <c r="L981" s="177"/>
      <c r="M981" s="155"/>
      <c r="N981" s="155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</row>
    <row r="982" ht="15.75" customHeight="1">
      <c r="A982" s="155"/>
      <c r="B982" s="155"/>
      <c r="C982" s="155"/>
      <c r="D982" s="155"/>
      <c r="E982" s="155"/>
      <c r="F982" s="155"/>
      <c r="G982" s="155"/>
      <c r="H982" s="155"/>
      <c r="I982" s="155"/>
      <c r="J982" s="254"/>
      <c r="K982" s="254"/>
      <c r="L982" s="177"/>
      <c r="M982" s="155"/>
      <c r="N982" s="155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</row>
    <row r="983" ht="15.75" customHeight="1">
      <c r="A983" s="155"/>
      <c r="B983" s="155"/>
      <c r="C983" s="155"/>
      <c r="D983" s="155"/>
      <c r="E983" s="155"/>
      <c r="F983" s="155"/>
      <c r="G983" s="155"/>
      <c r="H983" s="155"/>
      <c r="I983" s="155"/>
      <c r="J983" s="254"/>
      <c r="K983" s="254"/>
      <c r="L983" s="177"/>
      <c r="M983" s="155"/>
      <c r="N983" s="155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</row>
    <row r="984" ht="15.75" customHeight="1">
      <c r="A984" s="155"/>
      <c r="B984" s="155"/>
      <c r="C984" s="155"/>
      <c r="D984" s="155"/>
      <c r="E984" s="155"/>
      <c r="F984" s="155"/>
      <c r="G984" s="155"/>
      <c r="H984" s="155"/>
      <c r="I984" s="155"/>
      <c r="J984" s="254"/>
      <c r="K984" s="254"/>
      <c r="L984" s="177"/>
      <c r="M984" s="155"/>
      <c r="N984" s="155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</row>
    <row r="985" ht="15.75" customHeight="1">
      <c r="A985" s="155"/>
      <c r="B985" s="155"/>
      <c r="C985" s="155"/>
      <c r="D985" s="155"/>
      <c r="E985" s="155"/>
      <c r="F985" s="155"/>
      <c r="G985" s="155"/>
      <c r="H985" s="155"/>
      <c r="I985" s="155"/>
      <c r="J985" s="254"/>
      <c r="K985" s="254"/>
      <c r="L985" s="177"/>
      <c r="M985" s="155"/>
      <c r="N985" s="155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</row>
    <row r="986" ht="15.75" customHeight="1">
      <c r="A986" s="155"/>
      <c r="B986" s="155"/>
      <c r="C986" s="155"/>
      <c r="D986" s="155"/>
      <c r="E986" s="155"/>
      <c r="F986" s="155"/>
      <c r="G986" s="155"/>
      <c r="H986" s="155"/>
      <c r="I986" s="155"/>
      <c r="J986" s="254"/>
      <c r="K986" s="254"/>
      <c r="L986" s="177"/>
      <c r="M986" s="155"/>
      <c r="N986" s="155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</row>
    <row r="987" ht="15.75" customHeight="1">
      <c r="A987" s="155"/>
      <c r="B987" s="155"/>
      <c r="C987" s="155"/>
      <c r="D987" s="155"/>
      <c r="E987" s="155"/>
      <c r="F987" s="155"/>
      <c r="G987" s="155"/>
      <c r="H987" s="155"/>
      <c r="I987" s="155"/>
      <c r="J987" s="254"/>
      <c r="K987" s="254"/>
      <c r="L987" s="177"/>
      <c r="M987" s="155"/>
      <c r="N987" s="155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</row>
    <row r="988" ht="15.75" customHeight="1">
      <c r="A988" s="155"/>
      <c r="B988" s="155"/>
      <c r="C988" s="155"/>
      <c r="D988" s="155"/>
      <c r="E988" s="155"/>
      <c r="F988" s="155"/>
      <c r="G988" s="155"/>
      <c r="H988" s="155"/>
      <c r="I988" s="155"/>
      <c r="J988" s="254"/>
      <c r="K988" s="254"/>
      <c r="L988" s="177"/>
      <c r="M988" s="155"/>
      <c r="N988" s="155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</row>
    <row r="989" ht="15.75" customHeight="1">
      <c r="A989" s="155"/>
      <c r="B989" s="155"/>
      <c r="C989" s="155"/>
      <c r="D989" s="155"/>
      <c r="E989" s="155"/>
      <c r="F989" s="155"/>
      <c r="G989" s="155"/>
      <c r="H989" s="155"/>
      <c r="I989" s="155"/>
      <c r="J989" s="254"/>
      <c r="K989" s="254"/>
      <c r="L989" s="177"/>
      <c r="M989" s="155"/>
      <c r="N989" s="155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</row>
    <row r="990" ht="15.75" customHeight="1">
      <c r="A990" s="155"/>
      <c r="B990" s="155"/>
      <c r="C990" s="155"/>
      <c r="D990" s="155"/>
      <c r="E990" s="155"/>
      <c r="F990" s="155"/>
      <c r="G990" s="155"/>
      <c r="H990" s="155"/>
      <c r="I990" s="155"/>
      <c r="J990" s="254"/>
      <c r="K990" s="254"/>
      <c r="L990" s="177"/>
      <c r="M990" s="155"/>
      <c r="N990" s="155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</row>
    <row r="991" ht="15.75" customHeight="1">
      <c r="A991" s="155"/>
      <c r="B991" s="155"/>
      <c r="C991" s="155"/>
      <c r="D991" s="155"/>
      <c r="E991" s="155"/>
      <c r="F991" s="155"/>
      <c r="G991" s="155"/>
      <c r="H991" s="155"/>
      <c r="I991" s="155"/>
      <c r="J991" s="254"/>
      <c r="K991" s="254"/>
      <c r="L991" s="177"/>
      <c r="M991" s="155"/>
      <c r="N991" s="155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</row>
    <row r="992" ht="15.75" customHeight="1">
      <c r="A992" s="155"/>
      <c r="B992" s="155"/>
      <c r="C992" s="155"/>
      <c r="D992" s="155"/>
      <c r="E992" s="155"/>
      <c r="F992" s="155"/>
      <c r="G992" s="155"/>
      <c r="H992" s="155"/>
      <c r="I992" s="155"/>
      <c r="J992" s="254"/>
      <c r="K992" s="254"/>
      <c r="L992" s="177"/>
      <c r="M992" s="155"/>
      <c r="N992" s="155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</row>
    <row r="993" ht="15.75" customHeight="1">
      <c r="A993" s="155"/>
      <c r="B993" s="155"/>
      <c r="C993" s="155"/>
      <c r="D993" s="155"/>
      <c r="E993" s="155"/>
      <c r="F993" s="155"/>
      <c r="G993" s="155"/>
      <c r="H993" s="155"/>
      <c r="I993" s="155"/>
      <c r="J993" s="254"/>
      <c r="K993" s="254"/>
      <c r="L993" s="177"/>
      <c r="M993" s="155"/>
      <c r="N993" s="155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</row>
    <row r="994" ht="15.75" customHeight="1">
      <c r="A994" s="155"/>
      <c r="B994" s="155"/>
      <c r="C994" s="155"/>
      <c r="D994" s="155"/>
      <c r="E994" s="155"/>
      <c r="F994" s="155"/>
      <c r="G994" s="155"/>
      <c r="H994" s="155"/>
      <c r="I994" s="155"/>
      <c r="J994" s="254"/>
      <c r="K994" s="254"/>
      <c r="L994" s="177"/>
      <c r="M994" s="155"/>
      <c r="N994" s="155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</row>
    <row r="995" ht="15.75" customHeight="1">
      <c r="A995" s="155"/>
      <c r="B995" s="155"/>
      <c r="C995" s="155"/>
      <c r="D995" s="155"/>
      <c r="E995" s="155"/>
      <c r="F995" s="155"/>
      <c r="G995" s="155"/>
      <c r="H995" s="155"/>
      <c r="I995" s="155"/>
      <c r="J995" s="254"/>
      <c r="K995" s="254"/>
      <c r="L995" s="177"/>
      <c r="M995" s="155"/>
      <c r="N995" s="155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</row>
    <row r="996" ht="15.75" customHeight="1">
      <c r="A996" s="155"/>
      <c r="B996" s="155"/>
      <c r="C996" s="155"/>
      <c r="D996" s="155"/>
      <c r="E996" s="155"/>
      <c r="F996" s="155"/>
      <c r="G996" s="155"/>
      <c r="H996" s="155"/>
      <c r="I996" s="155"/>
      <c r="J996" s="254"/>
      <c r="K996" s="254"/>
      <c r="L996" s="157"/>
      <c r="M996" s="155"/>
      <c r="N996" s="155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</row>
    <row r="997" ht="15.75" customHeight="1">
      <c r="A997" s="155"/>
      <c r="B997" s="155"/>
      <c r="C997" s="155"/>
      <c r="D997" s="155"/>
      <c r="E997" s="155"/>
      <c r="F997" s="155"/>
      <c r="G997" s="155"/>
      <c r="H997" s="155"/>
      <c r="I997" s="155"/>
      <c r="J997" s="254"/>
      <c r="K997" s="254"/>
      <c r="L997" s="157"/>
      <c r="M997" s="155"/>
      <c r="N997" s="155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</row>
    <row r="998" ht="15.75" customHeight="1">
      <c r="A998" s="155"/>
      <c r="B998" s="155"/>
      <c r="C998" s="155"/>
      <c r="D998" s="155"/>
      <c r="E998" s="155"/>
      <c r="F998" s="155"/>
      <c r="G998" s="155"/>
      <c r="H998" s="155"/>
      <c r="I998" s="155"/>
      <c r="J998" s="254"/>
      <c r="K998" s="254"/>
      <c r="L998" s="157"/>
      <c r="M998" s="155"/>
      <c r="N998" s="155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</row>
    <row r="999" ht="15.75" customHeight="1">
      <c r="A999" s="155"/>
      <c r="B999" s="155"/>
      <c r="C999" s="155"/>
      <c r="D999" s="155"/>
      <c r="E999" s="155"/>
      <c r="F999" s="155"/>
      <c r="G999" s="155"/>
      <c r="H999" s="155"/>
      <c r="I999" s="155"/>
      <c r="J999" s="254"/>
      <c r="K999" s="254"/>
      <c r="L999" s="157"/>
      <c r="M999" s="155"/>
      <c r="N999" s="155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</row>
    <row r="1000" ht="15.75" customHeight="1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254"/>
      <c r="K1000" s="254"/>
      <c r="L1000" s="157"/>
      <c r="M1000" s="155"/>
      <c r="N1000" s="155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</row>
  </sheetData>
  <mergeCells count="14">
    <mergeCell ref="P23:S23"/>
    <mergeCell ref="P24:S24"/>
    <mergeCell ref="A1:A4"/>
    <mergeCell ref="A26:A27"/>
    <mergeCell ref="B26:B27"/>
    <mergeCell ref="P25:S25"/>
    <mergeCell ref="P26:S26"/>
    <mergeCell ref="D1:K3"/>
    <mergeCell ref="P8:S8"/>
    <mergeCell ref="P9:S9"/>
    <mergeCell ref="P10:S10"/>
    <mergeCell ref="P22:S22"/>
    <mergeCell ref="M24:M27"/>
    <mergeCell ref="C26:C27"/>
  </mergeCells>
  <conditionalFormatting sqref="D26:K26">
    <cfRule type="cellIs" dxfId="10" priority="1" operator="equal">
      <formula>"Baixo"</formula>
    </cfRule>
  </conditionalFormatting>
  <conditionalFormatting sqref="D26:K26">
    <cfRule type="cellIs" dxfId="11" priority="2" operator="equal">
      <formula>"Alto"</formula>
    </cfRule>
  </conditionalFormatting>
  <conditionalFormatting sqref="M23:M27">
    <cfRule type="colorScale" priority="3">
      <colorScale>
        <cfvo type="formula" val="10"/>
        <cfvo type="formula" val="25"/>
        <cfvo type="formula" val="40"/>
        <color rgb="FFD9EAD2"/>
        <color rgb="FFFBE8B1"/>
        <color rgb="FFC53929"/>
      </colorScale>
    </cfRule>
  </conditionalFormatting>
  <conditionalFormatting sqref="M9:M23">
    <cfRule type="colorScale" priority="4">
      <colorScale>
        <cfvo type="min"/>
        <cfvo type="max"/>
        <color rgb="FFFFFFFF"/>
        <color rgb="FFE67C73"/>
      </colorScale>
    </cfRule>
  </conditionalFormatting>
  <conditionalFormatting sqref="N9:N23">
    <cfRule type="colorScale" priority="5">
      <colorScale>
        <cfvo type="min"/>
        <cfvo type="max"/>
        <color rgb="FFFFFFFF"/>
        <color rgb="FFE67C73"/>
      </colorScale>
    </cfRule>
  </conditionalFormatting>
  <conditionalFormatting sqref="B24:C27">
    <cfRule type="cellIs" dxfId="12" priority="6" operator="equal">
      <formula>"Revisar"</formula>
    </cfRule>
  </conditionalFormatting>
  <conditionalFormatting sqref="B24:C27">
    <cfRule type="cellIs" dxfId="13" priority="7" operator="equal">
      <formula>"Ok"</formula>
    </cfRule>
  </conditionalFormatting>
  <conditionalFormatting sqref="L9:L23 N9:N23 O9:O22 T9:AA22 L28:L41 O28:AA41 L47:L60 O47:AA60 L66:L79 O66:AA79 L85:L98 O85:AA98 L104:L117 O104:AA117 L123:L136 O123:AA136 L142:L155 O142:AA155 L161:L174 O161:AA174 L180:L193 O180:AA193 L199:L212 O199:AA212 L218:L231 O218:AA231 L237:L250 O237:AA250 L256:L269 O256:AA269 L275:L288 O275:AA288 L294:L307 O294:AA307 L313:L326 O313:AA326 L332:L345 O332:AA345 L351:L364 O351:AA364 L370:L383 O370:AA383 L389:L402 O389:AA402 L408:L421 O408:AA421 L427:L440 O427:AA440 L446:L459 O446:AA459 L465:L478 O465:AA478 L484:L497 O484:AA497 L503:L516 O503:AA516 L522:L535 O522:AA535 L541:L554 O541:AA554 L560:L573 O560:AA573 L579:L592 O579:AA592 L598:L611 O598:AA611 L617:L630 O617:AA630 L636:L649 O636:AA649 L655:L668 O655:AA668 L674:L687 O674:AA687 L693:L706 O693:AA706 L712:L725 O712:AA725 L731:L744 O731:AA744 L750:L763 O750:AA763 L769:L782 O769:AA782 L788:L801 O788:AA801 L807:L820 O807:AA820 L826:L839 O826:AA839 L845:L858 O845:AA858 L864:L877 O864:AA877 L883:L896 O883:AA896 L902:L915 O902:AA915 L921:L934 O921:AA934 L940:L953 O940:AA953 L959:L972 O959:AA972 L978:L991 O978:AA991">
    <cfRule type="colorScale" priority="8">
      <colorScale>
        <cfvo type="min"/>
        <cfvo type="max"/>
        <color rgb="FFFFFFFF"/>
        <color rgb="FFE67C73"/>
      </colorScale>
    </cfRule>
  </conditionalFormatting>
  <conditionalFormatting sqref="L26">
    <cfRule type="cellIs" dxfId="14" priority="9" operator="equal">
      <formula>"Baixo"</formula>
    </cfRule>
  </conditionalFormatting>
  <conditionalFormatting sqref="L26">
    <cfRule type="cellIs" dxfId="15" priority="10" operator="equal">
      <formula>"Alto"</formula>
    </cfRule>
  </conditionalFormatting>
  <dataValidations>
    <dataValidation type="list" allowBlank="1" sqref="A8">
      <formula1>'Catálogo Geral'!$A$14:$A$500</formula1>
    </dataValidation>
    <dataValidation type="list" allowBlank="1" showErrorMessage="1" sqref="A10:A23">
      <formula1>'Tabela de ingredientes'!$A$5:$A$188</formula1>
    </dataValidation>
    <dataValidation type="list" allowBlank="1" sqref="B5">
      <formula1>"Automático,Gelatos de Leite,Gelatos de Leite com Fruta,Sorbets,Chocolate base água,Vegano,Alcoólicos,Gelatos Proteicos,Zero"</formula1>
    </dataValidation>
    <dataValidation type="list" allowBlank="1" sqref="A31:A33">
      <formula1>'Tabela de ingredientes'!$A$5:$A$500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2">
    <tablePart r:id="rId4"/>
    <tablePart r:id="rId5"/>
  </tableParts>
</worksheet>
</file>