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dwell/Documents/github/intmap/inspiired_test/"/>
    </mc:Choice>
  </mc:AlternateContent>
  <xr:revisionPtr revIDLastSave="0" documentId="13_ncr:1_{9560D9CC-81DE-664D-ACE1-98F68DF8E63C}" xr6:coauthVersionLast="46" xr6:coauthVersionMax="46" xr10:uidLastSave="{00000000-0000-0000-0000-000000000000}"/>
  <bookViews>
    <workbookView xWindow="0" yWindow="0" windowWidth="28800" windowHeight="18000" xr2:uid="{31A990DB-335A-C847-8705-EB0104C1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24" i="1"/>
  <c r="I29" i="1"/>
  <c r="I28" i="1"/>
  <c r="I27" i="1"/>
  <c r="I26" i="1"/>
  <c r="K26" i="1" s="1"/>
  <c r="I25" i="1"/>
  <c r="I24" i="1"/>
  <c r="H29" i="1"/>
  <c r="H28" i="1"/>
  <c r="H27" i="1"/>
  <c r="H26" i="1"/>
  <c r="H25" i="1"/>
  <c r="K25" i="1" s="1"/>
  <c r="H24" i="1"/>
  <c r="G27" i="1"/>
  <c r="G26" i="1"/>
  <c r="G25" i="1"/>
  <c r="G24" i="1"/>
  <c r="G29" i="1"/>
  <c r="G28" i="1"/>
  <c r="K28" i="1" s="1"/>
  <c r="F29" i="1"/>
  <c r="K29" i="1" s="1"/>
  <c r="F28" i="1"/>
  <c r="F27" i="1"/>
  <c r="K27" i="1" s="1"/>
  <c r="F26" i="1"/>
  <c r="F25" i="1"/>
  <c r="J25" i="1" s="1"/>
  <c r="F24" i="1"/>
  <c r="I23" i="1"/>
  <c r="J23" i="1" s="1"/>
  <c r="I22" i="1"/>
  <c r="I21" i="1"/>
  <c r="I20" i="1"/>
  <c r="I19" i="1"/>
  <c r="I18" i="1"/>
  <c r="H23" i="1"/>
  <c r="H22" i="1"/>
  <c r="H21" i="1"/>
  <c r="H20" i="1"/>
  <c r="J20" i="1" s="1"/>
  <c r="H19" i="1"/>
  <c r="H18" i="1"/>
  <c r="G23" i="1"/>
  <c r="G22" i="1"/>
  <c r="K22" i="1" s="1"/>
  <c r="G21" i="1"/>
  <c r="G20" i="1"/>
  <c r="G19" i="1"/>
  <c r="G18" i="1"/>
  <c r="K18" i="1" s="1"/>
  <c r="F23" i="1"/>
  <c r="F22" i="1"/>
  <c r="J22" i="1" s="1"/>
  <c r="F21" i="1"/>
  <c r="K21" i="1" s="1"/>
  <c r="F20" i="1"/>
  <c r="K20" i="1" s="1"/>
  <c r="F19" i="1"/>
  <c r="F18" i="1"/>
  <c r="I17" i="1"/>
  <c r="J17" i="1" s="1"/>
  <c r="I16" i="1"/>
  <c r="I15" i="1"/>
  <c r="I14" i="1"/>
  <c r="I13" i="1"/>
  <c r="I12" i="1"/>
  <c r="G17" i="1"/>
  <c r="H17" i="1"/>
  <c r="H16" i="1"/>
  <c r="K16" i="1" s="1"/>
  <c r="H15" i="1"/>
  <c r="K15" i="1" s="1"/>
  <c r="H14" i="1"/>
  <c r="H13" i="1"/>
  <c r="H12" i="1"/>
  <c r="G16" i="1"/>
  <c r="G15" i="1"/>
  <c r="G14" i="1"/>
  <c r="K14" i="1" s="1"/>
  <c r="G13" i="1"/>
  <c r="G12" i="1"/>
  <c r="F16" i="1"/>
  <c r="F15" i="1"/>
  <c r="F14" i="1"/>
  <c r="F13" i="1"/>
  <c r="K13" i="1" s="1"/>
  <c r="F12" i="1"/>
  <c r="I11" i="1"/>
  <c r="I10" i="1"/>
  <c r="H11" i="1"/>
  <c r="H10" i="1"/>
  <c r="G11" i="1"/>
  <c r="G10" i="1"/>
  <c r="F11" i="1"/>
  <c r="K11" i="1" s="1"/>
  <c r="F10" i="1"/>
  <c r="I9" i="1"/>
  <c r="I8" i="1"/>
  <c r="K8" i="1" s="1"/>
  <c r="H9" i="1"/>
  <c r="K9" i="1" s="1"/>
  <c r="H8" i="1"/>
  <c r="G9" i="1"/>
  <c r="G8" i="1"/>
  <c r="F9" i="1"/>
  <c r="F8" i="1"/>
  <c r="I7" i="1"/>
  <c r="I6" i="1"/>
  <c r="H7" i="1"/>
  <c r="K7" i="1" s="1"/>
  <c r="H6" i="1"/>
  <c r="G7" i="1"/>
  <c r="G6" i="1"/>
  <c r="F7" i="1"/>
  <c r="F6" i="1"/>
  <c r="K6" i="1" s="1"/>
  <c r="I5" i="1"/>
  <c r="I4" i="1"/>
  <c r="H5" i="1"/>
  <c r="H4" i="1"/>
  <c r="G5" i="1"/>
  <c r="G4" i="1"/>
  <c r="F5" i="1"/>
  <c r="K5" i="1" s="1"/>
  <c r="F4" i="1"/>
  <c r="K4" i="1" s="1"/>
  <c r="I3" i="1"/>
  <c r="I2" i="1"/>
  <c r="H3" i="1"/>
  <c r="H2" i="1"/>
  <c r="G3" i="1"/>
  <c r="G2" i="1"/>
  <c r="F3" i="1"/>
  <c r="K3" i="1" s="1"/>
  <c r="F2" i="1"/>
  <c r="K2" i="1" s="1"/>
  <c r="K17" i="1" l="1"/>
  <c r="J19" i="1"/>
  <c r="K23" i="1"/>
  <c r="J6" i="1"/>
  <c r="J12" i="1"/>
  <c r="J14" i="1"/>
  <c r="J26" i="1"/>
  <c r="K12" i="1"/>
  <c r="J28" i="1"/>
  <c r="J24" i="1"/>
  <c r="K19" i="1"/>
  <c r="J21" i="1"/>
  <c r="J13" i="1"/>
  <c r="J27" i="1"/>
  <c r="J18" i="1"/>
  <c r="J15" i="1"/>
  <c r="J29" i="1"/>
  <c r="J16" i="1"/>
  <c r="J10" i="1"/>
  <c r="J9" i="1"/>
  <c r="J11" i="1"/>
  <c r="J7" i="1"/>
  <c r="J4" i="1"/>
  <c r="J2" i="1"/>
  <c r="J8" i="1"/>
  <c r="J5" i="1"/>
  <c r="J3" i="1"/>
</calcChain>
</file>

<file path=xl/sharedStrings.xml><?xml version="1.0" encoding="utf-8"?>
<sst xmlns="http://schemas.openxmlformats.org/spreadsheetml/2006/main" count="93" uniqueCount="38">
  <si>
    <t>clone</t>
  </si>
  <si>
    <t>clone_id</t>
  </si>
  <si>
    <t>chromosome</t>
  </si>
  <si>
    <t>site</t>
  </si>
  <si>
    <t>strand</t>
  </si>
  <si>
    <t>expected_frac</t>
  </si>
  <si>
    <t>clone1</t>
  </si>
  <si>
    <t>clone2</t>
  </si>
  <si>
    <t>clone3</t>
  </si>
  <si>
    <t>clone7</t>
  </si>
  <si>
    <t>clone4</t>
  </si>
  <si>
    <t>pool1</t>
  </si>
  <si>
    <t>pool2</t>
  </si>
  <si>
    <t>pool3</t>
  </si>
  <si>
    <t>chr1</t>
  </si>
  <si>
    <t>+</t>
  </si>
  <si>
    <t>chr17</t>
  </si>
  <si>
    <t>chr19</t>
  </si>
  <si>
    <t>-</t>
  </si>
  <si>
    <t>original_expected</t>
  </si>
  <si>
    <t>rep1</t>
  </si>
  <si>
    <t>rep2</t>
  </si>
  <si>
    <t>rep3</t>
  </si>
  <si>
    <t>rep4</t>
  </si>
  <si>
    <t>clone_frac</t>
  </si>
  <si>
    <t>clone_sd</t>
  </si>
  <si>
    <t>inspiired_frac</t>
  </si>
  <si>
    <t>inspiired_sd</t>
  </si>
  <si>
    <t>isseq_frac</t>
  </si>
  <si>
    <t>isseq_sd</t>
  </si>
  <si>
    <t>inspiired_rep1</t>
  </si>
  <si>
    <t>inspiired_rep2</t>
  </si>
  <si>
    <t>inspiired_rep3</t>
  </si>
  <si>
    <t>inspiired_rep4</t>
  </si>
  <si>
    <t>isseq_rep1</t>
  </si>
  <si>
    <t>isseq_rep2</t>
  </si>
  <si>
    <t>isseq_rep3</t>
  </si>
  <si>
    <t>isseq_rep4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</si>
</sst>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FA7E-8C90-564C-B41B-867D0B532DD3}">
  <dimension ref="A1:Y29"/>
  <sheetViews>
    <sheetView tabSelected="1" topLeftCell="F1" workbookViewId="0">
      <selection activeCell="W30" sqref="W30"/>
    </sheetView>
  </sheetViews>
  <sheetFormatPr baseColWidth="10" defaultRowHeight="16" x14ac:dyDescent="0.2"/>
  <cols>
    <col min="3" max="3" width="11.83203125" bestFit="1" customWidth="1"/>
    <col min="12" max="12" width="12.6640625" bestFit="1" customWidth="1"/>
    <col min="13" max="13" width="15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5</v>
      </c>
      <c r="M1" t="s">
        <v>19</v>
      </c>
      <c r="N1" t="s">
        <v>30</v>
      </c>
      <c r="O1" t="s">
        <v>31</v>
      </c>
      <c r="P1" t="s">
        <v>32</v>
      </c>
      <c r="Q1" t="s">
        <v>33</v>
      </c>
      <c r="R1" t="s">
        <v>26</v>
      </c>
      <c r="S1" t="s">
        <v>27</v>
      </c>
      <c r="T1" t="s">
        <v>34</v>
      </c>
      <c r="U1" t="s">
        <v>35</v>
      </c>
      <c r="V1" t="s">
        <v>36</v>
      </c>
      <c r="W1" t="s">
        <v>37</v>
      </c>
      <c r="X1" t="s">
        <v>28</v>
      </c>
      <c r="Y1" t="s">
        <v>29</v>
      </c>
    </row>
    <row r="2" spans="1:25" x14ac:dyDescent="0.2">
      <c r="A2" t="s">
        <v>6</v>
      </c>
      <c r="B2">
        <v>1</v>
      </c>
      <c r="C2" t="s">
        <v>14</v>
      </c>
      <c r="D2">
        <v>52699701</v>
      </c>
      <c r="E2" t="s">
        <v>15</v>
      </c>
      <c r="F2">
        <f>18/18</f>
        <v>1</v>
      </c>
      <c r="G2">
        <f>8/8</f>
        <v>1</v>
      </c>
      <c r="H2">
        <f>19/19</f>
        <v>1</v>
      </c>
      <c r="I2">
        <f>25/26</f>
        <v>0.96153846153846156</v>
      </c>
      <c r="J2">
        <f>AVERAGE(F2:I2)</f>
        <v>0.99038461538461542</v>
      </c>
      <c r="K2">
        <f>STDEV(F2:I2)</f>
        <v>1.9230769230769218E-2</v>
      </c>
      <c r="L2">
        <v>1</v>
      </c>
      <c r="M2">
        <v>1</v>
      </c>
      <c r="N2">
        <v>1</v>
      </c>
      <c r="O2">
        <v>1</v>
      </c>
      <c r="P2">
        <v>1</v>
      </c>
      <c r="Q2">
        <v>0.97058823529411764</v>
      </c>
      <c r="R2">
        <v>0.99264705882352944</v>
      </c>
      <c r="S2">
        <v>1.470588235294118E-2</v>
      </c>
      <c r="T2">
        <v>1</v>
      </c>
      <c r="U2">
        <v>1</v>
      </c>
      <c r="V2">
        <v>1</v>
      </c>
      <c r="W2">
        <v>0.967741935483871</v>
      </c>
      <c r="X2">
        <v>0.99193548387096775</v>
      </c>
      <c r="Y2">
        <v>1.6129032258064502E-2</v>
      </c>
    </row>
    <row r="3" spans="1:25" x14ac:dyDescent="0.2">
      <c r="A3" t="s">
        <v>6</v>
      </c>
      <c r="B3">
        <v>0</v>
      </c>
      <c r="F3">
        <f>0/18</f>
        <v>0</v>
      </c>
      <c r="G3">
        <f>0/8</f>
        <v>0</v>
      </c>
      <c r="H3">
        <f>0/19</f>
        <v>0</v>
      </c>
      <c r="I3">
        <f>1/26</f>
        <v>3.8461538461538464E-2</v>
      </c>
      <c r="J3">
        <f>AVERAGE(F3:I3)</f>
        <v>9.6153846153846159E-3</v>
      </c>
      <c r="K3">
        <f t="shared" ref="K3:K29" si="0">STDEV(F3:I3)</f>
        <v>1.9230769230769232E-2</v>
      </c>
      <c r="L3">
        <v>0</v>
      </c>
      <c r="M3">
        <v>0</v>
      </c>
      <c r="N3">
        <v>0</v>
      </c>
      <c r="O3">
        <v>0</v>
      </c>
      <c r="P3">
        <v>0</v>
      </c>
      <c r="Q3">
        <v>2.9411764705882353E-2</v>
      </c>
      <c r="R3">
        <v>7.3529411764705881E-3</v>
      </c>
      <c r="S3">
        <v>1.4705882352941176E-2</v>
      </c>
      <c r="T3">
        <v>0</v>
      </c>
      <c r="U3">
        <v>0</v>
      </c>
      <c r="V3">
        <v>0</v>
      </c>
      <c r="W3">
        <v>3.2258064516129031E-2</v>
      </c>
      <c r="X3">
        <v>8.0645161290322578E-3</v>
      </c>
      <c r="Y3">
        <v>1.6129032258064516E-2</v>
      </c>
    </row>
    <row r="4" spans="1:25" x14ac:dyDescent="0.2">
      <c r="A4" t="s">
        <v>7</v>
      </c>
      <c r="B4">
        <v>1</v>
      </c>
      <c r="C4" t="s">
        <v>16</v>
      </c>
      <c r="D4">
        <v>77440128</v>
      </c>
      <c r="E4" t="s">
        <v>15</v>
      </c>
      <c r="F4">
        <f>30/30</f>
        <v>1</v>
      </c>
      <c r="G4">
        <f>39/39</f>
        <v>1</v>
      </c>
      <c r="H4">
        <f>54/54</f>
        <v>1</v>
      </c>
      <c r="I4">
        <f>44/44</f>
        <v>1</v>
      </c>
      <c r="J4">
        <f>AVERAGE(F4:I4)</f>
        <v>1</v>
      </c>
      <c r="K4">
        <f t="shared" si="0"/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</row>
    <row r="5" spans="1:25" x14ac:dyDescent="0.2">
      <c r="A5" t="s">
        <v>7</v>
      </c>
      <c r="B5">
        <v>0</v>
      </c>
      <c r="F5">
        <f>0/30</f>
        <v>0</v>
      </c>
      <c r="G5">
        <f>0/39</f>
        <v>0</v>
      </c>
      <c r="H5">
        <f>0/54</f>
        <v>0</v>
      </c>
      <c r="I5">
        <f>0/44</f>
        <v>0</v>
      </c>
      <c r="J5">
        <f>AVERAGE(F5:I5)</f>
        <v>0</v>
      </c>
      <c r="K5">
        <f t="shared" si="0"/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8</v>
      </c>
      <c r="B6">
        <v>1</v>
      </c>
      <c r="C6" t="s">
        <v>17</v>
      </c>
      <c r="D6">
        <v>1330530</v>
      </c>
      <c r="E6" t="s">
        <v>15</v>
      </c>
      <c r="F6">
        <f>21/22</f>
        <v>0.95454545454545459</v>
      </c>
      <c r="G6">
        <f>15/16</f>
        <v>0.9375</v>
      </c>
      <c r="H6">
        <f>20/20</f>
        <v>1</v>
      </c>
      <c r="I6">
        <f>11/11</f>
        <v>1</v>
      </c>
      <c r="J6">
        <f t="shared" ref="J6:J29" si="1">AVERAGE(F6:I6)</f>
        <v>0.97301136363636365</v>
      </c>
      <c r="K6">
        <f t="shared" si="0"/>
        <v>3.1931278977438186E-2</v>
      </c>
      <c r="L6">
        <v>1</v>
      </c>
      <c r="M6">
        <v>1</v>
      </c>
      <c r="N6">
        <v>0.96875</v>
      </c>
      <c r="O6">
        <v>1</v>
      </c>
      <c r="P6">
        <v>1</v>
      </c>
      <c r="Q6">
        <v>1</v>
      </c>
      <c r="R6">
        <v>0.9921875</v>
      </c>
      <c r="S6">
        <v>1.5625E-2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2">
      <c r="A7" t="s">
        <v>8</v>
      </c>
      <c r="B7">
        <v>0</v>
      </c>
      <c r="F7">
        <f>1/22</f>
        <v>4.5454545454545456E-2</v>
      </c>
      <c r="G7">
        <f>1/16</f>
        <v>6.25E-2</v>
      </c>
      <c r="H7">
        <f>0/20</f>
        <v>0</v>
      </c>
      <c r="I7">
        <f>0/11</f>
        <v>0</v>
      </c>
      <c r="J7">
        <f t="shared" si="1"/>
        <v>2.6988636363636364E-2</v>
      </c>
      <c r="K7">
        <f t="shared" si="0"/>
        <v>3.1931278977438193E-2</v>
      </c>
      <c r="L7">
        <v>0</v>
      </c>
      <c r="M7">
        <v>0</v>
      </c>
      <c r="N7">
        <v>3.125E-2</v>
      </c>
      <c r="O7">
        <v>0</v>
      </c>
      <c r="P7">
        <v>0</v>
      </c>
      <c r="Q7">
        <v>0</v>
      </c>
      <c r="R7">
        <v>7.8125E-3</v>
      </c>
      <c r="S7">
        <v>1.5625E-2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10</v>
      </c>
      <c r="B8">
        <v>1</v>
      </c>
      <c r="C8" t="s">
        <v>14</v>
      </c>
      <c r="D8">
        <v>153461600</v>
      </c>
      <c r="E8" t="s">
        <v>18</v>
      </c>
      <c r="F8">
        <f>31/31</f>
        <v>1</v>
      </c>
      <c r="G8">
        <f>36/36</f>
        <v>1</v>
      </c>
      <c r="H8">
        <f>42/43</f>
        <v>0.97674418604651159</v>
      </c>
      <c r="I8">
        <f>49/49</f>
        <v>1</v>
      </c>
      <c r="J8">
        <f t="shared" si="1"/>
        <v>0.9941860465116279</v>
      </c>
      <c r="K8">
        <f t="shared" si="0"/>
        <v>1.1627906976744207E-2</v>
      </c>
      <c r="L8">
        <v>1</v>
      </c>
      <c r="M8">
        <v>1</v>
      </c>
      <c r="N8">
        <v>1</v>
      </c>
      <c r="O8">
        <v>1</v>
      </c>
      <c r="P8">
        <v>0.9838709677419355</v>
      </c>
      <c r="Q8">
        <v>1</v>
      </c>
      <c r="R8">
        <v>0.99596774193548387</v>
      </c>
      <c r="S8">
        <v>8.0645161290322509E-3</v>
      </c>
      <c r="T8">
        <v>1</v>
      </c>
      <c r="U8">
        <v>1</v>
      </c>
      <c r="V8">
        <v>0.97777777777777775</v>
      </c>
      <c r="W8">
        <v>1</v>
      </c>
      <c r="X8">
        <v>0.99444444444444446</v>
      </c>
      <c r="Y8">
        <v>1.1111111111111127E-2</v>
      </c>
    </row>
    <row r="9" spans="1:25" x14ac:dyDescent="0.2">
      <c r="A9" t="s">
        <v>10</v>
      </c>
      <c r="B9">
        <v>0</v>
      </c>
      <c r="F9">
        <f>0/31</f>
        <v>0</v>
      </c>
      <c r="G9">
        <f>0/36</f>
        <v>0</v>
      </c>
      <c r="H9">
        <f>1/43</f>
        <v>2.3255813953488372E-2</v>
      </c>
      <c r="I9">
        <f>0/49</f>
        <v>0</v>
      </c>
      <c r="J9">
        <f t="shared" si="1"/>
        <v>5.8139534883720929E-3</v>
      </c>
      <c r="K9">
        <f t="shared" si="0"/>
        <v>1.1627906976744186E-2</v>
      </c>
      <c r="L9">
        <v>0</v>
      </c>
      <c r="M9">
        <v>0</v>
      </c>
      <c r="N9">
        <v>0</v>
      </c>
      <c r="O9">
        <v>0</v>
      </c>
      <c r="P9">
        <v>1.6129032258064516E-2</v>
      </c>
      <c r="Q9">
        <v>0</v>
      </c>
      <c r="R9">
        <v>4.0322580645161289E-3</v>
      </c>
      <c r="S9">
        <v>8.0645161290322578E-3</v>
      </c>
      <c r="T9">
        <v>0</v>
      </c>
      <c r="U9">
        <v>0</v>
      </c>
      <c r="V9">
        <v>2.2222222222222223E-2</v>
      </c>
      <c r="W9">
        <v>0</v>
      </c>
      <c r="X9">
        <v>5.5555555555555558E-3</v>
      </c>
      <c r="Y9">
        <v>1.1111111111111112E-2</v>
      </c>
    </row>
    <row r="10" spans="1:25" x14ac:dyDescent="0.2">
      <c r="A10" t="s">
        <v>9</v>
      </c>
      <c r="B10">
        <v>1</v>
      </c>
      <c r="C10" t="s">
        <v>14</v>
      </c>
      <c r="D10">
        <v>148889089</v>
      </c>
      <c r="E10" t="s">
        <v>15</v>
      </c>
      <c r="F10">
        <f>2/2</f>
        <v>1</v>
      </c>
      <c r="G10">
        <f>1/1</f>
        <v>1</v>
      </c>
      <c r="H10">
        <f>1/1</f>
        <v>1</v>
      </c>
      <c r="I10">
        <f>2/2</f>
        <v>1</v>
      </c>
      <c r="J10">
        <f t="shared" si="1"/>
        <v>1</v>
      </c>
      <c r="K10">
        <f t="shared" si="0"/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2">
      <c r="A11" t="s">
        <v>9</v>
      </c>
      <c r="B11">
        <v>0</v>
      </c>
      <c r="F11">
        <f>0/2</f>
        <v>0</v>
      </c>
      <c r="G11">
        <f>0/1</f>
        <v>0</v>
      </c>
      <c r="H11">
        <f>0/1</f>
        <v>0</v>
      </c>
      <c r="I11">
        <f>0/2</f>
        <v>0</v>
      </c>
      <c r="J11">
        <f t="shared" si="1"/>
        <v>0</v>
      </c>
      <c r="K11">
        <f t="shared" si="0"/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11</v>
      </c>
      <c r="B12">
        <v>1</v>
      </c>
      <c r="C12" t="s">
        <v>14</v>
      </c>
      <c r="D12">
        <v>52699701</v>
      </c>
      <c r="E12" t="s">
        <v>15</v>
      </c>
      <c r="F12">
        <f>2/SUM(2,8,8,9,11)</f>
        <v>5.2631578947368418E-2</v>
      </c>
      <c r="G12">
        <f>2/SUM(2,9,10,6,6)</f>
        <v>6.0606060606060608E-2</v>
      </c>
      <c r="H12">
        <f>7/SUM(7,8,9,5,7)</f>
        <v>0.19444444444444445</v>
      </c>
      <c r="I12">
        <f>4/SUM(4,3,4,8,8)</f>
        <v>0.14814814814814814</v>
      </c>
      <c r="J12">
        <f t="shared" si="1"/>
        <v>0.1139575580365054</v>
      </c>
      <c r="K12">
        <f t="shared" si="0"/>
        <v>6.8930867118533745E-2</v>
      </c>
      <c r="L12">
        <v>0.2</v>
      </c>
      <c r="M12">
        <v>0.2</v>
      </c>
      <c r="N12">
        <v>4.3478260869565216E-2</v>
      </c>
      <c r="O12">
        <v>4.6511627906976744E-2</v>
      </c>
      <c r="P12">
        <v>0.21153846153846154</v>
      </c>
      <c r="Q12">
        <v>0.17647058823529413</v>
      </c>
      <c r="R12">
        <v>0.11949973463757441</v>
      </c>
      <c r="S12">
        <v>8.7222576601791432E-2</v>
      </c>
      <c r="T12">
        <v>5.7142857142857141E-2</v>
      </c>
      <c r="U12">
        <v>3.2258064516129031E-2</v>
      </c>
      <c r="V12">
        <v>0.20512820512820512</v>
      </c>
      <c r="W12">
        <v>0.17241379310344829</v>
      </c>
      <c r="X12">
        <v>0.11673572997265989</v>
      </c>
      <c r="Y12">
        <v>8.4854901314369818E-2</v>
      </c>
    </row>
    <row r="13" spans="1:25" x14ac:dyDescent="0.2">
      <c r="A13" t="s">
        <v>11</v>
      </c>
      <c r="B13">
        <v>5</v>
      </c>
      <c r="C13" t="s">
        <v>14</v>
      </c>
      <c r="D13">
        <v>148889089</v>
      </c>
      <c r="E13" t="s">
        <v>15</v>
      </c>
      <c r="F13">
        <f>8/SUM(2,8,8,9,11)</f>
        <v>0.21052631578947367</v>
      </c>
      <c r="G13">
        <f>9/SUM(2,9,10,6,6)</f>
        <v>0.27272727272727271</v>
      </c>
      <c r="H13">
        <f>8/SUM(7,8,9,5,7)</f>
        <v>0.22222222222222221</v>
      </c>
      <c r="I13">
        <f>3/SUM(4,3,4,8,8)</f>
        <v>0.1111111111111111</v>
      </c>
      <c r="J13">
        <f t="shared" si="1"/>
        <v>0.20414673046251991</v>
      </c>
      <c r="K13">
        <f t="shared" si="0"/>
        <v>6.7642047467352653E-2</v>
      </c>
      <c r="L13">
        <v>0.2</v>
      </c>
      <c r="M13">
        <v>0.2</v>
      </c>
      <c r="N13">
        <v>0.36956521739130432</v>
      </c>
      <c r="O13">
        <v>0.27906976744186046</v>
      </c>
      <c r="P13">
        <v>0.26923076923076922</v>
      </c>
      <c r="Q13">
        <v>0.23529411764705882</v>
      </c>
      <c r="R13">
        <v>0.28828996792774819</v>
      </c>
      <c r="S13">
        <v>5.7336699923369192E-2</v>
      </c>
      <c r="T13">
        <v>0.45714285714285713</v>
      </c>
      <c r="U13">
        <v>0.22580645161290322</v>
      </c>
      <c r="V13">
        <v>0.35897435897435898</v>
      </c>
      <c r="W13">
        <v>0.2413793103448276</v>
      </c>
      <c r="X13">
        <v>0.32082574451873674</v>
      </c>
      <c r="Y13">
        <v>0.10859415869240648</v>
      </c>
    </row>
    <row r="14" spans="1:25" x14ac:dyDescent="0.2">
      <c r="A14" t="s">
        <v>11</v>
      </c>
      <c r="B14">
        <v>4</v>
      </c>
      <c r="C14" t="s">
        <v>14</v>
      </c>
      <c r="D14">
        <v>153461600</v>
      </c>
      <c r="E14" t="s">
        <v>18</v>
      </c>
      <c r="F14">
        <f>8/SUM(2,8,8,9,11)</f>
        <v>0.21052631578947367</v>
      </c>
      <c r="G14">
        <f>10/SUM(2,9,10,6,6)</f>
        <v>0.30303030303030304</v>
      </c>
      <c r="H14">
        <f>9/SUM(7,8,9,5,7)</f>
        <v>0.25</v>
      </c>
      <c r="I14">
        <f>4/SUM(4,3,4,8,8)</f>
        <v>0.14814814814814814</v>
      </c>
      <c r="J14">
        <f t="shared" si="1"/>
        <v>0.2279261917419812</v>
      </c>
      <c r="K14">
        <f t="shared" si="0"/>
        <v>6.5307407610067716E-2</v>
      </c>
      <c r="L14">
        <v>0.2</v>
      </c>
      <c r="M14">
        <v>0.2</v>
      </c>
      <c r="N14">
        <v>0.21739130434782608</v>
      </c>
      <c r="O14">
        <v>0.20930232558139536</v>
      </c>
      <c r="P14">
        <v>0.26923076923076922</v>
      </c>
      <c r="Q14">
        <v>8.8235294117647065E-2</v>
      </c>
      <c r="R14">
        <v>0.19603992331940942</v>
      </c>
      <c r="S14">
        <v>7.6617036373836392E-2</v>
      </c>
      <c r="T14">
        <v>8.5714285714285715E-2</v>
      </c>
      <c r="U14">
        <v>0.22580645161290322</v>
      </c>
      <c r="V14">
        <v>0.15384615384615385</v>
      </c>
      <c r="W14">
        <v>0.10344827586206896</v>
      </c>
      <c r="X14">
        <v>0.14220379175885295</v>
      </c>
      <c r="Y14">
        <v>6.2764118292829588E-2</v>
      </c>
    </row>
    <row r="15" spans="1:25" x14ac:dyDescent="0.2">
      <c r="A15" t="s">
        <v>11</v>
      </c>
      <c r="B15">
        <v>2</v>
      </c>
      <c r="C15" t="s">
        <v>16</v>
      </c>
      <c r="D15">
        <v>77440128</v>
      </c>
      <c r="E15" t="s">
        <v>15</v>
      </c>
      <c r="F15">
        <f>9/SUM(2,8,8,9,11)</f>
        <v>0.23684210526315788</v>
      </c>
      <c r="G15">
        <f>6/SUM(2,9,10,6,6)</f>
        <v>0.18181818181818182</v>
      </c>
      <c r="H15">
        <f>5/SUM(7,8,9,5,7)</f>
        <v>0.1388888888888889</v>
      </c>
      <c r="I15">
        <f>8/SUM(4,3,4,8,8)</f>
        <v>0.29629629629629628</v>
      </c>
      <c r="J15">
        <f t="shared" si="1"/>
        <v>0.21346136806663124</v>
      </c>
      <c r="K15">
        <f t="shared" si="0"/>
        <v>6.8241312251293582E-2</v>
      </c>
      <c r="L15">
        <v>0.2</v>
      </c>
      <c r="M15">
        <v>0.2</v>
      </c>
      <c r="N15">
        <v>0.17391304347826086</v>
      </c>
      <c r="O15">
        <v>0.23255813953488372</v>
      </c>
      <c r="P15">
        <v>9.6153846153846159E-2</v>
      </c>
      <c r="Q15">
        <v>0.26470588235294118</v>
      </c>
      <c r="R15">
        <v>0.19183272787998296</v>
      </c>
      <c r="S15">
        <v>7.4037421382078097E-2</v>
      </c>
      <c r="T15">
        <v>0.14285714285714285</v>
      </c>
      <c r="U15">
        <v>0.25806451612903225</v>
      </c>
      <c r="V15">
        <v>0.10256410256410256</v>
      </c>
      <c r="W15">
        <v>0.10344827586206896</v>
      </c>
      <c r="X15">
        <v>0.15173350935308666</v>
      </c>
      <c r="Y15">
        <v>7.3335228509039632E-2</v>
      </c>
    </row>
    <row r="16" spans="1:25" x14ac:dyDescent="0.2">
      <c r="A16" t="s">
        <v>11</v>
      </c>
      <c r="B16">
        <v>3</v>
      </c>
      <c r="C16" t="s">
        <v>17</v>
      </c>
      <c r="D16">
        <v>1330530</v>
      </c>
      <c r="E16" t="s">
        <v>15</v>
      </c>
      <c r="F16">
        <f>11/SUM(2,8,8,9,11)</f>
        <v>0.28947368421052633</v>
      </c>
      <c r="G16">
        <f>6/SUM(2,9,10,6,6)</f>
        <v>0.18181818181818182</v>
      </c>
      <c r="H16">
        <f>7/SUM(7,8,9,5,7)</f>
        <v>0.19444444444444445</v>
      </c>
      <c r="I16">
        <f>8/SUM(4,3,4,8,8)</f>
        <v>0.29629629629629628</v>
      </c>
      <c r="J16">
        <f t="shared" si="1"/>
        <v>0.24050815169236223</v>
      </c>
      <c r="K16">
        <f t="shared" si="0"/>
        <v>6.0762702766282754E-2</v>
      </c>
      <c r="L16">
        <v>0.2</v>
      </c>
      <c r="M16">
        <v>0.2</v>
      </c>
      <c r="N16">
        <v>0.19565217391304349</v>
      </c>
      <c r="O16">
        <v>0.23255813953488372</v>
      </c>
      <c r="P16">
        <v>0.15384615384615385</v>
      </c>
      <c r="Q16">
        <v>0.23529411764705882</v>
      </c>
      <c r="R16">
        <v>0.204337646235285</v>
      </c>
      <c r="S16">
        <v>3.8207885737033938E-2</v>
      </c>
      <c r="T16">
        <v>0.25714285714285712</v>
      </c>
      <c r="U16">
        <v>0.25806451612903225</v>
      </c>
      <c r="V16">
        <v>0.17948717948717949</v>
      </c>
      <c r="W16">
        <v>0.37931034482758619</v>
      </c>
      <c r="X16">
        <v>0.2685012243966638</v>
      </c>
      <c r="Y16">
        <v>8.254311751635883E-2</v>
      </c>
    </row>
    <row r="17" spans="1:25" x14ac:dyDescent="0.2">
      <c r="A17" t="s">
        <v>11</v>
      </c>
      <c r="B17">
        <v>0</v>
      </c>
      <c r="F17">
        <v>0</v>
      </c>
      <c r="G17">
        <f>0/SUM(2,9,10,6,6)</f>
        <v>0</v>
      </c>
      <c r="H17">
        <f>0/SUM(7,8,9,5,7)</f>
        <v>0</v>
      </c>
      <c r="I17">
        <f>0/SUM(4,3,4,8,8)</f>
        <v>0</v>
      </c>
      <c r="J17">
        <f t="shared" si="1"/>
        <v>0</v>
      </c>
      <c r="K17">
        <f t="shared" si="0"/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12</v>
      </c>
      <c r="B18">
        <v>1</v>
      </c>
      <c r="C18" t="s">
        <v>14</v>
      </c>
      <c r="D18">
        <v>52699701</v>
      </c>
      <c r="E18" t="s">
        <v>15</v>
      </c>
      <c r="F18">
        <f>4/SUM(4,5,6,4,14)</f>
        <v>0.12121212121212122</v>
      </c>
      <c r="G18">
        <f>5/SUM(5,5,5,4,16,1)</f>
        <v>0.1388888888888889</v>
      </c>
      <c r="H18">
        <f>3/SUM(3,8,9,8,15)</f>
        <v>6.9767441860465115E-2</v>
      </c>
      <c r="I18">
        <f>4/SUM(4,3,5,1,12)</f>
        <v>0.16</v>
      </c>
      <c r="J18">
        <f t="shared" si="1"/>
        <v>0.1224671129903688</v>
      </c>
      <c r="K18">
        <f t="shared" si="0"/>
        <v>3.8545309582803278E-2</v>
      </c>
      <c r="L18">
        <v>0.2</v>
      </c>
      <c r="M18">
        <v>0.2</v>
      </c>
      <c r="N18">
        <v>0.20370370370370369</v>
      </c>
      <c r="O18">
        <v>0.25</v>
      </c>
      <c r="P18">
        <v>9.6774193548387094E-2</v>
      </c>
      <c r="Q18">
        <v>0.1111111111111111</v>
      </c>
      <c r="R18">
        <v>0.16539725209080047</v>
      </c>
      <c r="S18">
        <v>7.3668442938935222E-2</v>
      </c>
      <c r="T18">
        <v>0.19230769230769232</v>
      </c>
      <c r="U18">
        <v>0.27777777777777779</v>
      </c>
      <c r="V18">
        <v>0.10526315789473684</v>
      </c>
      <c r="W18">
        <v>0.11363636363636363</v>
      </c>
      <c r="X18">
        <v>0.17224624790414264</v>
      </c>
      <c r="Y18">
        <v>8.0542366139643704E-2</v>
      </c>
    </row>
    <row r="19" spans="1:25" x14ac:dyDescent="0.2">
      <c r="A19" t="s">
        <v>12</v>
      </c>
      <c r="B19">
        <v>5</v>
      </c>
      <c r="C19" t="s">
        <v>14</v>
      </c>
      <c r="D19" s="1">
        <v>148889089</v>
      </c>
      <c r="E19" t="s">
        <v>15</v>
      </c>
      <c r="F19">
        <f>5/SUM(4,5,6,4,14)</f>
        <v>0.15151515151515152</v>
      </c>
      <c r="G19">
        <f>5/SUM(5,5,5,4,16,1)</f>
        <v>0.1388888888888889</v>
      </c>
      <c r="H19">
        <f>8/SUM(3,8,9,8,15)</f>
        <v>0.18604651162790697</v>
      </c>
      <c r="I19">
        <f>3/SUM(4,3,5,1,12)</f>
        <v>0.12</v>
      </c>
      <c r="J19">
        <f t="shared" si="1"/>
        <v>0.14911263800798685</v>
      </c>
      <c r="K19">
        <f t="shared" si="0"/>
        <v>2.7820578891405028E-2</v>
      </c>
      <c r="L19">
        <v>0.1</v>
      </c>
      <c r="M19">
        <v>0.1</v>
      </c>
      <c r="N19">
        <v>0.18518518518518517</v>
      </c>
      <c r="O19">
        <v>0.11363636363636363</v>
      </c>
      <c r="P19">
        <v>0.14516129032258066</v>
      </c>
      <c r="Q19">
        <v>0.12962962962962962</v>
      </c>
      <c r="R19">
        <v>0.14340311719343979</v>
      </c>
      <c r="S19">
        <v>3.0684420343321778E-2</v>
      </c>
      <c r="T19">
        <v>0.13461538461538461</v>
      </c>
      <c r="U19">
        <v>8.3333333333333329E-2</v>
      </c>
      <c r="V19">
        <v>0.23684210526315788</v>
      </c>
      <c r="W19">
        <v>0.15909090909090909</v>
      </c>
      <c r="X19">
        <v>0.15347043307569622</v>
      </c>
      <c r="Y19">
        <v>6.3919613804324607E-2</v>
      </c>
    </row>
    <row r="20" spans="1:25" x14ac:dyDescent="0.2">
      <c r="A20" t="s">
        <v>12</v>
      </c>
      <c r="B20">
        <v>4</v>
      </c>
      <c r="C20" t="s">
        <v>14</v>
      </c>
      <c r="D20">
        <v>153461600</v>
      </c>
      <c r="E20" t="s">
        <v>18</v>
      </c>
      <c r="F20">
        <f>6/SUM(4,5,6,4,14)</f>
        <v>0.18181818181818182</v>
      </c>
      <c r="G20">
        <f>5/SUM(5,5,5,4,16,1)</f>
        <v>0.1388888888888889</v>
      </c>
      <c r="H20">
        <f>9/SUM(3,8,9,8,15)</f>
        <v>0.20930232558139536</v>
      </c>
      <c r="I20">
        <f>5/SUM(4,3,5,1,12)</f>
        <v>0.2</v>
      </c>
      <c r="J20">
        <f t="shared" si="1"/>
        <v>0.18250234907211654</v>
      </c>
      <c r="K20">
        <f t="shared" si="0"/>
        <v>3.1235708854222586E-2</v>
      </c>
      <c r="L20">
        <v>0.15</v>
      </c>
      <c r="M20">
        <v>0.15</v>
      </c>
      <c r="N20">
        <v>0.16666666666666666</v>
      </c>
      <c r="O20">
        <v>6.8181818181818177E-2</v>
      </c>
      <c r="P20">
        <v>0.19354838709677419</v>
      </c>
      <c r="Q20">
        <v>0.1111111111111111</v>
      </c>
      <c r="R20">
        <v>0.13487699576409251</v>
      </c>
      <c r="S20">
        <v>5.6172292467243409E-2</v>
      </c>
      <c r="T20">
        <v>0.15384615384615385</v>
      </c>
      <c r="U20">
        <v>5.5555555555555552E-2</v>
      </c>
      <c r="V20">
        <v>0.21052631578947367</v>
      </c>
      <c r="W20">
        <v>6.8181818181818177E-2</v>
      </c>
      <c r="X20">
        <v>0.12202746084325032</v>
      </c>
      <c r="Y20">
        <v>7.3399237001948447E-2</v>
      </c>
    </row>
    <row r="21" spans="1:25" x14ac:dyDescent="0.2">
      <c r="A21" t="s">
        <v>12</v>
      </c>
      <c r="B21">
        <v>2</v>
      </c>
      <c r="C21" t="s">
        <v>16</v>
      </c>
      <c r="D21">
        <v>77440128</v>
      </c>
      <c r="E21" t="s">
        <v>15</v>
      </c>
      <c r="F21">
        <f>4/SUM(4,5,6,4,14)</f>
        <v>0.12121212121212122</v>
      </c>
      <c r="G21">
        <f>4/SUM(5,5,5,4,16,1)</f>
        <v>0.1111111111111111</v>
      </c>
      <c r="H21">
        <f>8/SUM(3,8,9,8,15)</f>
        <v>0.18604651162790697</v>
      </c>
      <c r="I21">
        <f>1/SUM(4,3,5,1,12)</f>
        <v>0.04</v>
      </c>
      <c r="J21">
        <f t="shared" si="1"/>
        <v>0.11459243598778482</v>
      </c>
      <c r="K21">
        <f t="shared" si="0"/>
        <v>5.9793133071566924E-2</v>
      </c>
      <c r="L21">
        <v>0.1</v>
      </c>
      <c r="M21">
        <v>0.1</v>
      </c>
      <c r="N21">
        <v>0.1111111111111111</v>
      </c>
      <c r="O21">
        <v>6.8181818181818177E-2</v>
      </c>
      <c r="P21">
        <v>0.14516129032258066</v>
      </c>
      <c r="Q21">
        <v>0.12962962962962962</v>
      </c>
      <c r="R21">
        <v>0.11352096231128489</v>
      </c>
      <c r="S21">
        <v>3.3276843262920963E-2</v>
      </c>
      <c r="T21">
        <v>3.8461538461538464E-2</v>
      </c>
      <c r="U21">
        <v>5.5555555555555552E-2</v>
      </c>
      <c r="V21">
        <v>0.10526315789473684</v>
      </c>
      <c r="W21">
        <v>9.0909090909090912E-2</v>
      </c>
      <c r="X21">
        <v>7.2547335705230448E-2</v>
      </c>
      <c r="Y21">
        <v>3.0865521444349824E-2</v>
      </c>
    </row>
    <row r="22" spans="1:25" x14ac:dyDescent="0.2">
      <c r="A22" t="s">
        <v>12</v>
      </c>
      <c r="B22">
        <v>3</v>
      </c>
      <c r="C22" t="s">
        <v>17</v>
      </c>
      <c r="D22">
        <v>1330530</v>
      </c>
      <c r="E22" t="s">
        <v>15</v>
      </c>
      <c r="F22">
        <f>14/SUM(4,5,6,4,14)</f>
        <v>0.42424242424242425</v>
      </c>
      <c r="G22">
        <f>16/SUM(5,5,5,4,16,1)</f>
        <v>0.44444444444444442</v>
      </c>
      <c r="H22">
        <f>15/SUM(3,8,9,8,15)</f>
        <v>0.34883720930232559</v>
      </c>
      <c r="I22">
        <f>12/SUM(4,3,5,1,12)</f>
        <v>0.48</v>
      </c>
      <c r="J22">
        <f t="shared" si="1"/>
        <v>0.42438101949729856</v>
      </c>
      <c r="K22">
        <f t="shared" si="0"/>
        <v>5.5386215132734111E-2</v>
      </c>
      <c r="L22">
        <v>0.45</v>
      </c>
      <c r="M22">
        <v>0.45</v>
      </c>
      <c r="N22">
        <v>0.33333333333333331</v>
      </c>
      <c r="O22">
        <v>0.47727272727272729</v>
      </c>
      <c r="P22">
        <v>0.41935483870967744</v>
      </c>
      <c r="Q22">
        <v>0.51851851851851849</v>
      </c>
      <c r="R22">
        <v>0.43711985445856416</v>
      </c>
      <c r="S22">
        <v>8.0260478978992286E-2</v>
      </c>
      <c r="T22">
        <v>0.48076923076923078</v>
      </c>
      <c r="U22">
        <v>0.52777777777777779</v>
      </c>
      <c r="V22">
        <v>0.34210526315789475</v>
      </c>
      <c r="W22">
        <v>0.56818181818181823</v>
      </c>
      <c r="X22">
        <v>0.47970852247168039</v>
      </c>
      <c r="Y22">
        <v>9.8444501175985508E-2</v>
      </c>
    </row>
    <row r="23" spans="1:25" x14ac:dyDescent="0.2">
      <c r="A23" t="s">
        <v>12</v>
      </c>
      <c r="B23">
        <v>0</v>
      </c>
      <c r="F23">
        <f>0/SUM(4,5,6,4,14)</f>
        <v>0</v>
      </c>
      <c r="G23">
        <f>1/SUM(5,5,5,4,16,1)</f>
        <v>2.7777777777777776E-2</v>
      </c>
      <c r="H23">
        <f>0/SUM(3,8,9,8,15)</f>
        <v>0</v>
      </c>
      <c r="I23">
        <f>0/SUM(4,3,5,1,12)</f>
        <v>0</v>
      </c>
      <c r="J23">
        <f t="shared" si="1"/>
        <v>6.9444444444444441E-3</v>
      </c>
      <c r="K23">
        <f t="shared" si="0"/>
        <v>1.3888888888888888E-2</v>
      </c>
      <c r="L23">
        <v>0</v>
      </c>
      <c r="M23">
        <v>0</v>
      </c>
      <c r="N23">
        <v>0</v>
      </c>
      <c r="O23">
        <v>2.2727272727272728E-2</v>
      </c>
      <c r="P23">
        <v>0</v>
      </c>
      <c r="Q23">
        <v>0</v>
      </c>
      <c r="R23">
        <v>5.681818181818182E-3</v>
      </c>
      <c r="S23">
        <v>1.1363636363636364E-2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13</v>
      </c>
      <c r="B24">
        <v>1</v>
      </c>
      <c r="C24" t="s">
        <v>14</v>
      </c>
      <c r="D24">
        <v>52699701</v>
      </c>
      <c r="E24" t="s">
        <v>15</v>
      </c>
      <c r="F24">
        <f>1/SUM(1,18,1,4)</f>
        <v>4.1666666666666664E-2</v>
      </c>
      <c r="G24">
        <f>1/SUM(1,31,3,9)</f>
        <v>2.2727272727272728E-2</v>
      </c>
      <c r="H24">
        <f>0/SUM(0,23,2,3)</f>
        <v>0</v>
      </c>
      <c r="I24">
        <f>3/SUM(3,17,4,4)</f>
        <v>0.10714285714285714</v>
      </c>
      <c r="J24">
        <f t="shared" si="1"/>
        <v>4.2884199134199136E-2</v>
      </c>
      <c r="K24">
        <f t="shared" si="0"/>
        <v>4.610138729633146E-2</v>
      </c>
      <c r="L24">
        <v>0.1</v>
      </c>
      <c r="M24">
        <v>0.09</v>
      </c>
      <c r="N24">
        <v>3.5714285714285712E-2</v>
      </c>
      <c r="O24">
        <v>3.7037037037037035E-2</v>
      </c>
      <c r="P24">
        <v>0</v>
      </c>
      <c r="Q24">
        <v>0.11764705882352941</v>
      </c>
      <c r="R24">
        <v>4.7599595393713043E-2</v>
      </c>
      <c r="S24">
        <v>4.9750031289138318E-2</v>
      </c>
      <c r="T24">
        <v>0</v>
      </c>
      <c r="U24">
        <v>4.6511627906976744E-2</v>
      </c>
      <c r="V24">
        <v>0</v>
      </c>
      <c r="W24">
        <v>0.16666666666666666</v>
      </c>
      <c r="X24">
        <v>5.329457364341085E-2</v>
      </c>
      <c r="Y24">
        <v>7.8697443814910659E-2</v>
      </c>
    </row>
    <row r="25" spans="1:25" x14ac:dyDescent="0.2">
      <c r="A25" t="s">
        <v>13</v>
      </c>
      <c r="B25">
        <v>5</v>
      </c>
      <c r="C25" t="s">
        <v>14</v>
      </c>
      <c r="D25">
        <v>148889089</v>
      </c>
      <c r="E25" t="s">
        <v>15</v>
      </c>
      <c r="F25">
        <f>18/SUM(1,18,1,4)</f>
        <v>0.75</v>
      </c>
      <c r="G25">
        <f>31/SUM(1,31,3,9)</f>
        <v>0.70454545454545459</v>
      </c>
      <c r="H25">
        <f>23/SUM(0,23,2,3)</f>
        <v>0.8214285714285714</v>
      </c>
      <c r="I25">
        <f>17/SUM(3,17,4,4)</f>
        <v>0.6071428571428571</v>
      </c>
      <c r="J25">
        <f t="shared" si="1"/>
        <v>0.72077922077922085</v>
      </c>
      <c r="K25">
        <f t="shared" si="0"/>
        <v>8.9742045201852055E-2</v>
      </c>
      <c r="L25">
        <v>0.65</v>
      </c>
      <c r="M25">
        <v>0.65</v>
      </c>
      <c r="N25">
        <v>0.75</v>
      </c>
      <c r="O25">
        <v>0.7592592592592593</v>
      </c>
      <c r="P25">
        <v>0.70731707317073167</v>
      </c>
      <c r="Q25">
        <v>0.61764705882352944</v>
      </c>
      <c r="R25">
        <v>0.7085558478133801</v>
      </c>
      <c r="S25">
        <v>6.4690020252829022E-2</v>
      </c>
      <c r="T25">
        <v>0.84</v>
      </c>
      <c r="U25">
        <v>0.72093023255813948</v>
      </c>
      <c r="V25">
        <v>0.72222222222222221</v>
      </c>
      <c r="W25">
        <v>0.54166666666666663</v>
      </c>
      <c r="X25">
        <v>0.70620478036175705</v>
      </c>
      <c r="Y25">
        <v>0.12308174660569503</v>
      </c>
    </row>
    <row r="26" spans="1:25" x14ac:dyDescent="0.2">
      <c r="A26" t="s">
        <v>13</v>
      </c>
      <c r="B26">
        <v>4</v>
      </c>
      <c r="C26" t="s">
        <v>14</v>
      </c>
      <c r="D26">
        <v>153461600</v>
      </c>
      <c r="E26" t="s">
        <v>18</v>
      </c>
      <c r="F26">
        <f>1/SUM(1,18,1,4)</f>
        <v>4.1666666666666664E-2</v>
      </c>
      <c r="G26">
        <f>3/SUM(1,31,3,9)</f>
        <v>6.8181818181818177E-2</v>
      </c>
      <c r="H26">
        <f>2/SUM(0,23,2,3)</f>
        <v>7.1428571428571425E-2</v>
      </c>
      <c r="I26">
        <f>4/SUM(3,17,4,4)</f>
        <v>0.14285714285714285</v>
      </c>
      <c r="J26">
        <f t="shared" si="1"/>
        <v>8.1033549783549777E-2</v>
      </c>
      <c r="K26">
        <f t="shared" si="0"/>
        <v>4.331793608976197E-2</v>
      </c>
      <c r="L26">
        <v>0.1</v>
      </c>
      <c r="M26">
        <v>0.1</v>
      </c>
      <c r="N26">
        <v>7.1428571428571425E-2</v>
      </c>
      <c r="O26">
        <v>5.5555555555555552E-2</v>
      </c>
      <c r="P26">
        <v>0.14634146341463414</v>
      </c>
      <c r="Q26">
        <v>0.11764705882352941</v>
      </c>
      <c r="R26">
        <v>9.7743162305572645E-2</v>
      </c>
      <c r="S26">
        <v>4.1754088915947597E-2</v>
      </c>
      <c r="T26">
        <v>0.08</v>
      </c>
      <c r="U26">
        <v>4.6511627906976744E-2</v>
      </c>
      <c r="V26">
        <v>0.1388888888888889</v>
      </c>
      <c r="W26">
        <v>0.125</v>
      </c>
      <c r="X26">
        <v>9.7600129198966407E-2</v>
      </c>
      <c r="Y26">
        <v>4.2329320447838686E-2</v>
      </c>
    </row>
    <row r="27" spans="1:25" x14ac:dyDescent="0.2">
      <c r="A27" t="s">
        <v>13</v>
      </c>
      <c r="B27">
        <v>2</v>
      </c>
      <c r="C27" t="s">
        <v>16</v>
      </c>
      <c r="D27">
        <v>77440128</v>
      </c>
      <c r="E27" t="s">
        <v>15</v>
      </c>
      <c r="F27">
        <f>4/SUM(1,18,1,4)</f>
        <v>0.16666666666666666</v>
      </c>
      <c r="G27">
        <f>9/SUM(1,31,3,9)</f>
        <v>0.20454545454545456</v>
      </c>
      <c r="H27">
        <f>3/SUM(0,23,2,3)</f>
        <v>0.10714285714285714</v>
      </c>
      <c r="I27">
        <f>4/SUM(3,17,4,4)</f>
        <v>0.14285714285714285</v>
      </c>
      <c r="J27">
        <f t="shared" si="1"/>
        <v>0.1553030303030303</v>
      </c>
      <c r="K27">
        <f t="shared" si="0"/>
        <v>4.0940000691293749E-2</v>
      </c>
      <c r="L27">
        <v>0.15</v>
      </c>
      <c r="M27">
        <v>0.15</v>
      </c>
      <c r="N27">
        <v>0.14285714285714285</v>
      </c>
      <c r="O27">
        <v>0.14814814814814814</v>
      </c>
      <c r="P27">
        <v>0.14634146341463414</v>
      </c>
      <c r="Q27">
        <v>0.14705882352941177</v>
      </c>
      <c r="R27">
        <v>0.14610139448733422</v>
      </c>
      <c r="S27">
        <v>2.286822588113838E-3</v>
      </c>
      <c r="T27">
        <v>0.08</v>
      </c>
      <c r="U27">
        <v>0.18604651162790697</v>
      </c>
      <c r="V27">
        <v>0.1388888888888889</v>
      </c>
      <c r="W27">
        <v>0.16666666666666666</v>
      </c>
      <c r="X27">
        <v>0.14290051679586563</v>
      </c>
      <c r="Y27">
        <v>4.6184322453183657E-2</v>
      </c>
    </row>
    <row r="28" spans="1:25" x14ac:dyDescent="0.2">
      <c r="A28" t="s">
        <v>13</v>
      </c>
      <c r="B28">
        <v>3</v>
      </c>
      <c r="C28" t="s">
        <v>17</v>
      </c>
      <c r="D28">
        <v>1330530</v>
      </c>
      <c r="E28" t="s">
        <v>15</v>
      </c>
      <c r="F28">
        <f>0/SUM(1,18,1,4)</f>
        <v>0</v>
      </c>
      <c r="G28">
        <f>0</f>
        <v>0</v>
      </c>
      <c r="H28">
        <f>0/SUM(0,23,2,3)</f>
        <v>0</v>
      </c>
      <c r="I28">
        <f>0/SUM(3,17,4,4)</f>
        <v>0</v>
      </c>
      <c r="J28">
        <f t="shared" si="1"/>
        <v>0</v>
      </c>
      <c r="K28">
        <f t="shared" si="0"/>
        <v>0</v>
      </c>
      <c r="L28">
        <v>0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s="1" t="s">
        <v>13</v>
      </c>
      <c r="B29">
        <v>0</v>
      </c>
      <c r="F29">
        <f>0/SUM(1,18,1,4)</f>
        <v>0</v>
      </c>
      <c r="G29">
        <f>0</f>
        <v>0</v>
      </c>
      <c r="H29">
        <f>0/SUM(0,23,2,3)</f>
        <v>0</v>
      </c>
      <c r="I29">
        <f>0/SUM(3,17,4,4)</f>
        <v>0</v>
      </c>
      <c r="J29">
        <f t="shared" si="1"/>
        <v>0</v>
      </c>
      <c r="K29">
        <f t="shared" si="0"/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</sheetData>
  <phoneticPr fontId="1" type="noConversion"/>
  <pageMargins left="0.7" right="0.7" top="0.75" bottom="0.75" header="0.3" footer="0.3"/>
  <ignoredErrors>
    <ignoredError sqref="I13 H20 F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2025-03-14T16:03:09Z</dcterms:created>
  <dcterms:modified xsi:type="dcterms:W3CDTF">2025-04-23T20:20:51Z</dcterms:modified>
</cp:coreProperties>
</file>