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8_{B3EFFC5A-A14D-4EED-89E8-A854F4EAA0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rifas" sheetId="1" r:id="rId1"/>
    <sheet name="Variáveis" sheetId="2" r:id="rId2"/>
    <sheet name="Massa de Dados" sheetId="3" r:id="rId3"/>
    <sheet name="Projeção de Dados" sheetId="4" r:id="rId4"/>
    <sheet name="Custo Mensal" sheetId="5" r:id="rId5"/>
    <sheet name="Custo Anual" sheetId="6" r:id="rId6"/>
  </sheets>
  <definedNames>
    <definedName name="AZUL_DFP">Tarifas!$F$4</definedName>
    <definedName name="AZUL_DP">Tarifas!$F$3</definedName>
    <definedName name="AZUL_E">Tarifas!$F$5</definedName>
    <definedName name="AZUL_TEFP">Tarifas!$F$7</definedName>
    <definedName name="AZUL_TEP">Tarifas!$F$6</definedName>
    <definedName name="DESC">Variáveis!$I$6</definedName>
    <definedName name="ENC">Variáveis!$I$5</definedName>
    <definedName name="ICMS">Variáveis!$I$4</definedName>
    <definedName name="PISCOFINS">Variáveis!$I$3</definedName>
    <definedName name="solver_adj" localSheetId="5">'Custo Anual'!$F$10</definedName>
    <definedName name="solver_lhs1" localSheetId="5">'Custo Anual'!$F$10</definedName>
    <definedName name="solver_lhs2" localSheetId="5">'Custo Anual'!$G$12</definedName>
    <definedName name="solver_opt" localSheetId="5">'Custo Anual'!$D$2</definedName>
    <definedName name="ULTR">Variáveis!$I$7</definedName>
    <definedName name="VER_D">Tarifas!$C$3</definedName>
    <definedName name="VER_EFP">Tarifas!$C$5</definedName>
    <definedName name="VER_EP">Tarifas!$C$4</definedName>
    <definedName name="VER_TEFP">Tarifas!$C$7</definedName>
    <definedName name="VER_TEP">Tarifas!$C$6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" l="1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E4" i="6" s="1"/>
  <c r="D26" i="5"/>
  <c r="D4" i="6" s="1"/>
  <c r="C26" i="5"/>
  <c r="C4" i="6" s="1"/>
  <c r="B26" i="5"/>
  <c r="B4" i="6" s="1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E3" i="6" s="1"/>
  <c r="D14" i="5"/>
  <c r="D3" i="6" s="1"/>
  <c r="C14" i="5"/>
  <c r="C3" i="6" s="1"/>
  <c r="B14" i="5"/>
  <c r="B3" i="6" s="1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2" i="6" s="1"/>
  <c r="D2" i="5"/>
  <c r="D2" i="6" s="1"/>
  <c r="C2" i="5"/>
  <c r="C2" i="6" s="1"/>
  <c r="B2" i="5"/>
  <c r="B2" i="6" s="1"/>
  <c r="C55" i="3"/>
  <c r="B55" i="3"/>
  <c r="C11" i="6" l="1"/>
  <c r="B11" i="6"/>
  <c r="F11" i="6" s="1"/>
  <c r="C10" i="6"/>
  <c r="C13" i="6" s="1"/>
  <c r="B10" i="6"/>
  <c r="C12" i="6"/>
  <c r="B12" i="6"/>
  <c r="F12" i="6" s="1"/>
  <c r="B13" i="6" l="1"/>
  <c r="F13" i="6" s="1"/>
  <c r="F10" i="6"/>
</calcChain>
</file>

<file path=xl/sharedStrings.xml><?xml version="1.0" encoding="utf-8"?>
<sst xmlns="http://schemas.openxmlformats.org/spreadsheetml/2006/main" count="53" uniqueCount="40">
  <si>
    <t>Tarifas</t>
  </si>
  <si>
    <t>Verde</t>
  </si>
  <si>
    <t>Azul</t>
  </si>
  <si>
    <t>Demanda</t>
  </si>
  <si>
    <t>Demanda Ponta</t>
  </si>
  <si>
    <t>Encargos Ponta</t>
  </si>
  <si>
    <t>Demanda Fora Ponta</t>
  </si>
  <si>
    <t>Encargos Fora Ponta</t>
  </si>
  <si>
    <t>Encargos</t>
  </si>
  <si>
    <t>TE Ponta</t>
  </si>
  <si>
    <t>TE Fora Ponta</t>
  </si>
  <si>
    <t>Ano</t>
  </si>
  <si>
    <t>Preço de Energia</t>
  </si>
  <si>
    <t>Demanda Única</t>
  </si>
  <si>
    <t>Demanda Contratada Ponta</t>
  </si>
  <si>
    <t>Demanda Contratada Fora Ponta</t>
  </si>
  <si>
    <t>Impostos/Encargos</t>
  </si>
  <si>
    <t>Valor</t>
  </si>
  <si>
    <t>PIS/COFINS</t>
  </si>
  <si>
    <t>ICMS</t>
  </si>
  <si>
    <t>Encargos CCEE</t>
  </si>
  <si>
    <t>Desconto</t>
  </si>
  <si>
    <t>Ultrapassagem Máxima</t>
  </si>
  <si>
    <t>DATA</t>
  </si>
  <si>
    <t>ENERGIA_PONTA</t>
  </si>
  <si>
    <t>ENERGIA_FPONTA</t>
  </si>
  <si>
    <t>DEMANDA_REGISTRADA_P</t>
  </si>
  <si>
    <t>DEMANDA_REGISTRADA_FP</t>
  </si>
  <si>
    <t>Data</t>
  </si>
  <si>
    <t>Consumo Ponta</t>
  </si>
  <si>
    <t>Consumo Fora Ponta</t>
  </si>
  <si>
    <t>Mês</t>
  </si>
  <si>
    <t>Custo Cativo Verde</t>
  </si>
  <si>
    <t>Custo Cativo Azul</t>
  </si>
  <si>
    <t>Custo Livre Verde</t>
  </si>
  <si>
    <t>Custo Livre Azul</t>
  </si>
  <si>
    <t>Economia anual pela migração de CATIVO VERDE para LIVRE VERDE</t>
  </si>
  <si>
    <t>Economia anual pela migração de CATIVO VERDE para LIVRE AZUL</t>
  </si>
  <si>
    <t>TOTAL</t>
  </si>
  <si>
    <t>Porcentagem de economia anual do melhor caso: CATIVO VERDE para LIVRE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</si>
</sst>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0.00\ &quot;/kW&quot;"/>
    <numFmt numFmtId="165" formatCode="&quot;R$&quot;\ #,#00.00\ &quot;/kW&quot;"/>
    <numFmt numFmtId="166" formatCode="&quot;R$&quot;\ #,#00.00\ &quot;/MWh&quot;"/>
    <numFmt numFmtId="167" formatCode="&quot;R$&quot;\ 0.00\ &quot;/MWh&quot;"/>
    <numFmt numFmtId="168" formatCode="0.00000"/>
    <numFmt numFmtId="169" formatCode="_-&quot;R$&quot;* #,##0.00_-;\-&quot;R$&quot;* #,##0.00_-;_-&quot;R$&quot;* &quot;-&quot;??_-;_-@"/>
  </numFmts>
  <fonts count="10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1"/>
      <color rgb="FFFFFFFF"/>
      <name val="Calibri"/>
      <family val="2"/>
    </font>
    <font>
      <i/>
      <sz val="11"/>
      <color rgb="FFFFFFFF"/>
      <name val="Arial"/>
      <family val="2"/>
    </font>
    <font>
      <i/>
      <sz val="11"/>
      <color theme="1"/>
      <name val="Arial"/>
      <family val="2"/>
    </font>
    <font>
      <b/>
      <i/>
      <sz val="11"/>
      <color rgb="FFFFFFFF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8"/>
        <bgColor theme="8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59999389629810485"/>
        <bgColor rgb="FFDEEAF6"/>
      </patternFill>
    </fill>
    <fill>
      <patternFill patternType="solid">
        <fgColor theme="5"/>
        <bgColor theme="9"/>
      </patternFill>
    </fill>
    <fill>
      <patternFill patternType="solid">
        <fgColor theme="5" tint="0.79998168889431442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7" tint="-0.249977111117893"/>
        <bgColor theme="8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0.59999389629810485"/>
        <bgColor rgb="FFBDD6EE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0" tint="-0.499984740745262"/>
        <bgColor rgb="FF7F7F7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/>
    <xf numFmtId="0" fontId="2" fillId="3" borderId="3" xfId="0" applyFont="1" applyFill="1" applyBorder="1"/>
    <xf numFmtId="164" fontId="2" fillId="3" borderId="4" xfId="0" applyNumberFormat="1" applyFont="1" applyFill="1" applyBorder="1"/>
    <xf numFmtId="165" fontId="2" fillId="3" borderId="4" xfId="0" applyNumberFormat="1" applyFont="1" applyFill="1" applyBorder="1"/>
    <xf numFmtId="0" fontId="2" fillId="4" borderId="3" xfId="0" applyFont="1" applyFill="1" applyBorder="1"/>
    <xf numFmtId="166" fontId="2" fillId="4" borderId="4" xfId="0" applyNumberFormat="1" applyFont="1" applyFill="1" applyBorder="1"/>
    <xf numFmtId="165" fontId="2" fillId="4" borderId="4" xfId="0" applyNumberFormat="1" applyFont="1" applyFill="1" applyBorder="1"/>
    <xf numFmtId="166" fontId="2" fillId="3" borderId="4" xfId="0" applyNumberFormat="1" applyFont="1" applyFill="1" applyBorder="1"/>
    <xf numFmtId="0" fontId="2" fillId="3" borderId="5" xfId="0" applyFont="1" applyFill="1" applyBorder="1"/>
    <xf numFmtId="166" fontId="2" fillId="3" borderId="6" xfId="0" applyNumberFormat="1" applyFont="1" applyFill="1" applyBorder="1"/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/>
    <xf numFmtId="9" fontId="2" fillId="3" borderId="11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/>
    <xf numFmtId="9" fontId="2" fillId="4" borderId="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7" xfId="0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0" fontId="2" fillId="3" borderId="19" xfId="0" applyFont="1" applyFill="1" applyBorder="1"/>
    <xf numFmtId="9" fontId="2" fillId="3" borderId="6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4" fontId="2" fillId="8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/>
    <xf numFmtId="0" fontId="1" fillId="9" borderId="2" xfId="0" applyFont="1" applyFill="1" applyBorder="1" applyAlignment="1">
      <alignment horizontal="center"/>
    </xf>
    <xf numFmtId="17" fontId="2" fillId="10" borderId="2" xfId="0" applyNumberFormat="1" applyFont="1" applyFill="1" applyBorder="1"/>
    <xf numFmtId="168" fontId="2" fillId="10" borderId="2" xfId="0" applyNumberFormat="1" applyFont="1" applyFill="1" applyBorder="1" applyAlignment="1">
      <alignment horizontal="center"/>
    </xf>
    <xf numFmtId="17" fontId="2" fillId="11" borderId="2" xfId="0" applyNumberFormat="1" applyFont="1" applyFill="1" applyBorder="1"/>
    <xf numFmtId="168" fontId="2" fillId="11" borderId="2" xfId="0" applyNumberFormat="1" applyFont="1" applyFill="1" applyBorder="1" applyAlignment="1">
      <alignment horizontal="center"/>
    </xf>
    <xf numFmtId="1" fontId="0" fillId="0" borderId="0" xfId="0" applyNumberFormat="1" applyFont="1"/>
    <xf numFmtId="168" fontId="0" fillId="0" borderId="0" xfId="0" applyNumberFormat="1" applyFont="1"/>
    <xf numFmtId="169" fontId="7" fillId="13" borderId="2" xfId="0" applyNumberFormat="1" applyFont="1" applyFill="1" applyBorder="1"/>
    <xf numFmtId="169" fontId="7" fillId="14" borderId="2" xfId="0" applyNumberFormat="1" applyFont="1" applyFill="1" applyBorder="1"/>
    <xf numFmtId="0" fontId="7" fillId="0" borderId="0" xfId="0" applyFont="1"/>
    <xf numFmtId="0" fontId="6" fillId="12" borderId="2" xfId="0" applyFont="1" applyFill="1" applyBorder="1" applyAlignment="1">
      <alignment horizontal="center" vertical="center" wrapText="1"/>
    </xf>
    <xf numFmtId="169" fontId="8" fillId="15" borderId="2" xfId="0" applyNumberFormat="1" applyFont="1" applyFill="1" applyBorder="1"/>
    <xf numFmtId="1" fontId="2" fillId="3" borderId="12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9" fontId="2" fillId="16" borderId="2" xfId="0" applyNumberFormat="1" applyFont="1" applyFill="1" applyBorder="1"/>
    <xf numFmtId="169" fontId="2" fillId="17" borderId="2" xfId="0" applyNumberFormat="1" applyFont="1" applyFill="1" applyBorder="1"/>
    <xf numFmtId="0" fontId="3" fillId="18" borderId="2" xfId="0" applyFont="1" applyFill="1" applyBorder="1" applyAlignment="1">
      <alignment horizontal="center"/>
    </xf>
    <xf numFmtId="169" fontId="2" fillId="19" borderId="2" xfId="0" applyNumberFormat="1" applyFont="1" applyFill="1" applyBorder="1"/>
    <xf numFmtId="169" fontId="2" fillId="20" borderId="2" xfId="0" applyNumberFormat="1" applyFont="1" applyFill="1" applyBorder="1"/>
    <xf numFmtId="0" fontId="3" fillId="21" borderId="2" xfId="0" applyFont="1" applyFill="1" applyBorder="1" applyAlignment="1">
      <alignment horizontal="center"/>
    </xf>
    <xf numFmtId="17" fontId="4" fillId="21" borderId="2" xfId="0" applyNumberFormat="1" applyFont="1" applyFill="1" applyBorder="1" applyAlignment="1">
      <alignment horizontal="left"/>
    </xf>
    <xf numFmtId="0" fontId="5" fillId="18" borderId="2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169" fontId="7" fillId="16" borderId="2" xfId="0" applyNumberFormat="1" applyFont="1" applyFill="1" applyBorder="1"/>
    <xf numFmtId="169" fontId="7" fillId="24" borderId="2" xfId="0" applyNumberFormat="1" applyFont="1" applyFill="1" applyBorder="1"/>
    <xf numFmtId="169" fontId="7" fillId="19" borderId="2" xfId="0" applyNumberFormat="1" applyFont="1" applyFill="1" applyBorder="1"/>
    <xf numFmtId="169" fontId="7" fillId="25" borderId="2" xfId="0" applyNumberFormat="1" applyFont="1" applyFill="1" applyBorder="1"/>
    <xf numFmtId="0" fontId="5" fillId="21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5" fillId="21" borderId="2" xfId="0" applyFont="1" applyFill="1" applyBorder="1" applyAlignment="1">
      <alignment horizontal="center" vertical="center"/>
    </xf>
    <xf numFmtId="0" fontId="8" fillId="26" borderId="2" xfId="0" applyFont="1" applyFill="1" applyBorder="1" applyAlignment="1">
      <alignment horizontal="center"/>
    </xf>
    <xf numFmtId="9" fontId="7" fillId="13" borderId="2" xfId="1" applyFont="1" applyFill="1" applyBorder="1" applyAlignment="1">
      <alignment horizontal="center"/>
    </xf>
    <xf numFmtId="9" fontId="7" fillId="14" borderId="2" xfId="1" applyFont="1" applyFill="1" applyBorder="1" applyAlignment="1">
      <alignment horizontal="center"/>
    </xf>
    <xf numFmtId="9" fontId="8" fillId="15" borderId="2" xfId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00"/>
  <sheetViews>
    <sheetView tabSelected="1" workbookViewId="0">
      <selection activeCell="F10" sqref="F10"/>
    </sheetView>
  </sheetViews>
  <sheetFormatPr defaultColWidth="12.625" defaultRowHeight="15" customHeight="1" x14ac:dyDescent="0.2"/>
  <cols>
    <col min="1" max="1" width="7.625" customWidth="1"/>
    <col min="2" max="2" width="16.5" customWidth="1"/>
    <col min="3" max="3" width="14.75" customWidth="1"/>
    <col min="4" max="4" width="7.625" customWidth="1"/>
    <col min="5" max="5" width="17.125" customWidth="1"/>
    <col min="6" max="6" width="13.375" customWidth="1"/>
    <col min="7" max="14" width="7.625" customWidth="1"/>
  </cols>
  <sheetData>
    <row r="2" spans="2:14" x14ac:dyDescent="0.25">
      <c r="B2" s="1" t="s">
        <v>0</v>
      </c>
      <c r="C2" s="2" t="s">
        <v>1</v>
      </c>
      <c r="E2" s="1" t="s">
        <v>0</v>
      </c>
      <c r="F2" s="2" t="s">
        <v>2</v>
      </c>
      <c r="H2" s="3"/>
      <c r="I2" s="3"/>
      <c r="J2" s="3"/>
      <c r="K2" s="3"/>
      <c r="L2" s="3"/>
      <c r="M2" s="3"/>
      <c r="N2" s="3"/>
    </row>
    <row r="3" spans="2:14" x14ac:dyDescent="0.25">
      <c r="B3" s="4" t="s">
        <v>3</v>
      </c>
      <c r="C3" s="5">
        <v>21.93</v>
      </c>
      <c r="E3" s="4" t="s">
        <v>4</v>
      </c>
      <c r="F3" s="6">
        <v>45.72</v>
      </c>
      <c r="H3" s="3"/>
      <c r="I3" s="3"/>
      <c r="J3" s="3"/>
      <c r="K3" s="3"/>
      <c r="L3" s="3"/>
      <c r="M3" s="3"/>
      <c r="N3" s="3"/>
    </row>
    <row r="4" spans="2:14" x14ac:dyDescent="0.25">
      <c r="B4" s="7" t="s">
        <v>5</v>
      </c>
      <c r="C4" s="8">
        <v>1201.67</v>
      </c>
      <c r="E4" s="7" t="s">
        <v>6</v>
      </c>
      <c r="F4" s="9">
        <v>21.93</v>
      </c>
      <c r="H4" s="3"/>
      <c r="I4" s="3"/>
      <c r="J4" s="3"/>
      <c r="K4" s="3"/>
      <c r="L4" s="3"/>
      <c r="M4" s="3"/>
      <c r="N4" s="3"/>
    </row>
    <row r="5" spans="2:14" x14ac:dyDescent="0.25">
      <c r="B5" s="4" t="s">
        <v>7</v>
      </c>
      <c r="C5" s="10">
        <v>89.73</v>
      </c>
      <c r="E5" s="4" t="s">
        <v>8</v>
      </c>
      <c r="F5" s="10">
        <v>89.73</v>
      </c>
      <c r="H5" s="3"/>
      <c r="I5" s="3"/>
      <c r="J5" s="3"/>
      <c r="K5" s="3"/>
      <c r="L5" s="3"/>
      <c r="M5" s="3"/>
      <c r="N5" s="3"/>
    </row>
    <row r="6" spans="2:14" x14ac:dyDescent="0.25">
      <c r="B6" s="7" t="s">
        <v>9</v>
      </c>
      <c r="C6" s="8">
        <v>408.47</v>
      </c>
      <c r="E6" s="7" t="s">
        <v>9</v>
      </c>
      <c r="F6" s="8">
        <v>408.47</v>
      </c>
      <c r="H6" s="3"/>
      <c r="I6" s="3"/>
      <c r="J6" s="3"/>
      <c r="K6" s="3"/>
      <c r="L6" s="3"/>
      <c r="M6" s="3"/>
      <c r="N6" s="3"/>
    </row>
    <row r="7" spans="2:14" x14ac:dyDescent="0.25">
      <c r="B7" s="11" t="s">
        <v>10</v>
      </c>
      <c r="C7" s="12">
        <v>252.49</v>
      </c>
      <c r="E7" s="11" t="s">
        <v>10</v>
      </c>
      <c r="F7" s="12">
        <v>252.49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0"/>
  <sheetViews>
    <sheetView workbookViewId="0">
      <selection activeCell="C6" sqref="C6"/>
    </sheetView>
  </sheetViews>
  <sheetFormatPr defaultColWidth="12.625" defaultRowHeight="15" customHeight="1" x14ac:dyDescent="0.2"/>
  <cols>
    <col min="1" max="1" width="7.625" customWidth="1"/>
    <col min="2" max="2" width="4.375" customWidth="1"/>
    <col min="3" max="4" width="13.875" customWidth="1"/>
    <col min="5" max="5" width="22.5" customWidth="1"/>
    <col min="6" max="6" width="26.375" customWidth="1"/>
    <col min="7" max="7" width="7.625" customWidth="1"/>
    <col min="8" max="8" width="19.125" customWidth="1"/>
    <col min="9" max="9" width="11.625" customWidth="1"/>
    <col min="10" max="10" width="7.625" customWidth="1"/>
  </cols>
  <sheetData>
    <row r="2" spans="2:10" x14ac:dyDescent="0.25">
      <c r="B2" s="13" t="s">
        <v>11</v>
      </c>
      <c r="C2" s="14" t="s">
        <v>12</v>
      </c>
      <c r="D2" s="14" t="s">
        <v>13</v>
      </c>
      <c r="E2" s="14" t="s">
        <v>14</v>
      </c>
      <c r="F2" s="15" t="s">
        <v>15</v>
      </c>
      <c r="H2" s="16" t="s">
        <v>16</v>
      </c>
      <c r="I2" s="16" t="s">
        <v>17</v>
      </c>
    </row>
    <row r="3" spans="2:10" x14ac:dyDescent="0.25">
      <c r="B3" s="17">
        <v>2022</v>
      </c>
      <c r="C3" s="18">
        <v>245</v>
      </c>
      <c r="D3" s="52">
        <v>824.31954824130707</v>
      </c>
      <c r="E3" s="52">
        <v>617.11830396084713</v>
      </c>
      <c r="F3" s="57">
        <v>824.31960669599334</v>
      </c>
      <c r="G3" s="3"/>
      <c r="H3" s="19" t="s">
        <v>18</v>
      </c>
      <c r="I3" s="20">
        <v>0.05</v>
      </c>
    </row>
    <row r="4" spans="2:10" x14ac:dyDescent="0.25">
      <c r="B4" s="21">
        <v>2023</v>
      </c>
      <c r="C4" s="22">
        <v>210</v>
      </c>
      <c r="D4" s="22">
        <v>840</v>
      </c>
      <c r="E4" s="54">
        <v>641.40437001433816</v>
      </c>
      <c r="F4" s="56">
        <v>848.63875506706052</v>
      </c>
      <c r="H4" s="23" t="s">
        <v>19</v>
      </c>
      <c r="I4" s="24">
        <v>0.3</v>
      </c>
    </row>
    <row r="5" spans="2:10" x14ac:dyDescent="0.25">
      <c r="B5" s="25">
        <v>2024</v>
      </c>
      <c r="C5" s="26">
        <v>190</v>
      </c>
      <c r="D5" s="53">
        <v>872.95752875812684</v>
      </c>
      <c r="E5" s="53">
        <v>665.69049955336061</v>
      </c>
      <c r="F5" s="55">
        <v>872.95736494384516</v>
      </c>
      <c r="H5" s="19" t="s">
        <v>20</v>
      </c>
      <c r="I5" s="27">
        <v>5</v>
      </c>
    </row>
    <row r="6" spans="2:10" x14ac:dyDescent="0.25">
      <c r="H6" s="23" t="s">
        <v>21</v>
      </c>
      <c r="I6" s="24">
        <v>0.5</v>
      </c>
    </row>
    <row r="7" spans="2:10" x14ac:dyDescent="0.25">
      <c r="H7" s="28" t="s">
        <v>22</v>
      </c>
      <c r="I7" s="29">
        <v>0.05</v>
      </c>
    </row>
    <row r="9" spans="2:10" ht="15" customHeight="1" x14ac:dyDescent="0.2">
      <c r="C9" s="3"/>
      <c r="D9" s="3"/>
      <c r="E9" s="3"/>
      <c r="F9" s="3"/>
      <c r="G9" s="3"/>
      <c r="H9" s="3"/>
      <c r="I9" s="3"/>
      <c r="J9" s="3"/>
    </row>
    <row r="10" spans="2:10" ht="15" customHeight="1" x14ac:dyDescent="0.2">
      <c r="C10" s="3"/>
      <c r="D10" s="3"/>
      <c r="E10" s="3"/>
      <c r="F10" s="3"/>
      <c r="G10" s="3"/>
      <c r="H10" s="3"/>
      <c r="I10" s="3"/>
      <c r="J10" s="3"/>
    </row>
    <row r="11" spans="2:10" ht="15" customHeight="1" x14ac:dyDescent="0.2">
      <c r="C11" s="3"/>
      <c r="D11" s="3"/>
      <c r="E11" s="3"/>
      <c r="F11" s="3"/>
      <c r="G11" s="3"/>
      <c r="H11" s="3"/>
      <c r="I11" s="3"/>
      <c r="J11" s="3"/>
    </row>
    <row r="12" spans="2:10" ht="15" customHeight="1" x14ac:dyDescent="0.2">
      <c r="C12" s="3"/>
      <c r="D12" s="3"/>
      <c r="E12" s="3"/>
      <c r="F12" s="3"/>
      <c r="G12" s="3"/>
      <c r="H12" s="3"/>
      <c r="I12" s="3"/>
      <c r="J12" s="3"/>
    </row>
    <row r="13" spans="2:10" ht="15" customHeight="1" x14ac:dyDescent="0.2">
      <c r="C13" s="3"/>
      <c r="D13" s="3"/>
      <c r="E13" s="3"/>
      <c r="F13" s="3"/>
      <c r="G13" s="3"/>
      <c r="H13" s="3"/>
      <c r="I13" s="3"/>
      <c r="J13" s="3"/>
    </row>
    <row r="14" spans="2:10" ht="15" customHeight="1" x14ac:dyDescent="0.2">
      <c r="C14" s="3"/>
      <c r="D14" s="3"/>
      <c r="E14" s="3"/>
      <c r="F14" s="3"/>
      <c r="G14" s="3"/>
      <c r="H14" s="3"/>
      <c r="I14" s="3"/>
      <c r="J14" s="3"/>
    </row>
    <row r="15" spans="2:10" ht="15" customHeight="1" x14ac:dyDescent="0.2">
      <c r="C15" s="3"/>
      <c r="D15" s="3"/>
      <c r="E15" s="3"/>
      <c r="F15" s="3"/>
      <c r="G15" s="3"/>
      <c r="H15" s="3"/>
      <c r="I15" s="3"/>
      <c r="J15" s="3"/>
    </row>
    <row r="16" spans="2:10" ht="15" customHeight="1" x14ac:dyDescent="0.2">
      <c r="C16" s="3"/>
      <c r="D16" s="3"/>
      <c r="E16" s="3"/>
      <c r="F16" s="3"/>
      <c r="G16" s="3"/>
      <c r="H16" s="3"/>
      <c r="I16" s="3"/>
      <c r="J16" s="3"/>
    </row>
    <row r="17" spans="3:10" ht="15" customHeight="1" x14ac:dyDescent="0.2">
      <c r="C17" s="3"/>
      <c r="D17" s="3"/>
      <c r="E17" s="3"/>
      <c r="F17" s="3"/>
      <c r="G17" s="3"/>
      <c r="H17" s="3"/>
      <c r="I17" s="3"/>
      <c r="J17" s="3"/>
    </row>
    <row r="18" spans="3:10" ht="15" customHeight="1" x14ac:dyDescent="0.2">
      <c r="C18" s="3"/>
      <c r="D18" s="3"/>
      <c r="E18" s="3"/>
      <c r="F18" s="3"/>
      <c r="G18" s="3"/>
      <c r="H18" s="3"/>
      <c r="I18" s="3"/>
      <c r="J18" s="3"/>
    </row>
    <row r="19" spans="3:10" ht="15" customHeight="1" x14ac:dyDescent="0.2">
      <c r="C19" s="3"/>
      <c r="D19" s="3"/>
      <c r="E19" s="3"/>
      <c r="F19" s="3"/>
      <c r="G19" s="3"/>
      <c r="H19" s="3"/>
      <c r="I19" s="3"/>
      <c r="J19" s="3"/>
    </row>
    <row r="21" spans="3:10" ht="15.75" customHeight="1" x14ac:dyDescent="0.2"/>
    <row r="22" spans="3:10" ht="15.75" customHeight="1" x14ac:dyDescent="0.2"/>
    <row r="23" spans="3:10" ht="15.75" customHeight="1" x14ac:dyDescent="0.2"/>
    <row r="24" spans="3:10" ht="15.75" customHeight="1" x14ac:dyDescent="0.2"/>
    <row r="25" spans="3:10" ht="15.75" customHeight="1" x14ac:dyDescent="0.2"/>
    <row r="26" spans="3:10" ht="15.75" customHeight="1" x14ac:dyDescent="0.2"/>
    <row r="27" spans="3:10" ht="15.75" customHeight="1" x14ac:dyDescent="0.2"/>
    <row r="28" spans="3:10" ht="15.75" customHeight="1" x14ac:dyDescent="0.2"/>
    <row r="29" spans="3:10" ht="15.75" customHeight="1" x14ac:dyDescent="0.2"/>
    <row r="30" spans="3:10" ht="15.75" customHeight="1" x14ac:dyDescent="0.2"/>
    <row r="31" spans="3:10" ht="15.75" customHeight="1" x14ac:dyDescent="0.2"/>
    <row r="32" spans="3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625" defaultRowHeight="15" customHeight="1" x14ac:dyDescent="0.2"/>
  <cols>
    <col min="1" max="1" width="9.375" customWidth="1"/>
    <col min="2" max="2" width="14.125" customWidth="1"/>
    <col min="3" max="3" width="15.125" customWidth="1"/>
    <col min="4" max="4" width="23" customWidth="1"/>
    <col min="5" max="5" width="22.75" customWidth="1"/>
    <col min="6" max="6" width="7.625" customWidth="1"/>
  </cols>
  <sheetData>
    <row r="1" spans="1:5" x14ac:dyDescent="0.25">
      <c r="A1" s="30" t="s">
        <v>23</v>
      </c>
      <c r="B1" s="31" t="s">
        <v>24</v>
      </c>
      <c r="C1" s="31" t="s">
        <v>25</v>
      </c>
      <c r="D1" s="30" t="s">
        <v>26</v>
      </c>
      <c r="E1" s="30" t="s">
        <v>27</v>
      </c>
    </row>
    <row r="2" spans="1:5" ht="15" customHeight="1" x14ac:dyDescent="0.25">
      <c r="A2" s="32">
        <v>44006</v>
      </c>
      <c r="B2" s="33">
        <v>8466</v>
      </c>
      <c r="C2" s="34">
        <v>88547</v>
      </c>
      <c r="D2" s="33">
        <v>165.12</v>
      </c>
      <c r="E2" s="33">
        <v>207.36</v>
      </c>
    </row>
    <row r="3" spans="1:5" ht="15" customHeight="1" x14ac:dyDescent="0.25">
      <c r="A3" s="35">
        <v>43977</v>
      </c>
      <c r="B3" s="36">
        <v>9300</v>
      </c>
      <c r="C3" s="36">
        <v>101484</v>
      </c>
      <c r="D3" s="36">
        <v>172.8</v>
      </c>
      <c r="E3" s="36">
        <v>226.56</v>
      </c>
    </row>
    <row r="4" spans="1:5" ht="15" customHeight="1" x14ac:dyDescent="0.25">
      <c r="A4" s="32">
        <v>43945</v>
      </c>
      <c r="B4" s="33">
        <v>10294</v>
      </c>
      <c r="C4" s="34">
        <v>109574</v>
      </c>
      <c r="D4" s="33">
        <v>238.08</v>
      </c>
      <c r="E4" s="33">
        <v>288</v>
      </c>
    </row>
    <row r="5" spans="1:5" ht="15" customHeight="1" x14ac:dyDescent="0.25">
      <c r="A5" s="35">
        <v>43914</v>
      </c>
      <c r="B5" s="36">
        <v>20450</v>
      </c>
      <c r="C5" s="36">
        <v>192997</v>
      </c>
      <c r="D5" s="36">
        <v>610.55999999999995</v>
      </c>
      <c r="E5" s="36">
        <v>902.4</v>
      </c>
    </row>
    <row r="6" spans="1:5" ht="15" customHeight="1" x14ac:dyDescent="0.25">
      <c r="A6" s="32">
        <v>43882</v>
      </c>
      <c r="B6" s="33">
        <v>17815</v>
      </c>
      <c r="C6" s="34">
        <v>190728</v>
      </c>
      <c r="D6" s="33">
        <v>518.4</v>
      </c>
      <c r="E6" s="33">
        <v>875.52</v>
      </c>
    </row>
    <row r="7" spans="1:5" ht="15" customHeight="1" x14ac:dyDescent="0.25">
      <c r="A7" s="35">
        <v>43852</v>
      </c>
      <c r="B7" s="36">
        <v>16476</v>
      </c>
      <c r="C7" s="36">
        <v>191312</v>
      </c>
      <c r="D7" s="36">
        <v>445.44</v>
      </c>
      <c r="E7" s="36">
        <v>710.4</v>
      </c>
    </row>
    <row r="8" spans="1:5" ht="15" customHeight="1" x14ac:dyDescent="0.25">
      <c r="A8" s="32">
        <v>43819</v>
      </c>
      <c r="B8" s="33">
        <v>23125</v>
      </c>
      <c r="C8" s="34">
        <v>189269</v>
      </c>
      <c r="D8" s="33">
        <v>591.36</v>
      </c>
      <c r="E8" s="33">
        <v>860.16</v>
      </c>
    </row>
    <row r="9" spans="1:5" ht="15" customHeight="1" x14ac:dyDescent="0.25">
      <c r="A9" s="35">
        <v>43791</v>
      </c>
      <c r="B9" s="36">
        <v>21428</v>
      </c>
      <c r="C9" s="36">
        <v>165276</v>
      </c>
      <c r="D9" s="36">
        <v>587.52</v>
      </c>
      <c r="E9" s="36">
        <v>794.88</v>
      </c>
    </row>
    <row r="10" spans="1:5" ht="15" customHeight="1" x14ac:dyDescent="0.25">
      <c r="A10" s="32">
        <v>43761</v>
      </c>
      <c r="B10" s="33">
        <v>18615</v>
      </c>
      <c r="C10" s="34">
        <v>145328</v>
      </c>
      <c r="D10" s="33">
        <v>491.52</v>
      </c>
      <c r="E10" s="33">
        <v>741.12</v>
      </c>
    </row>
    <row r="11" spans="1:5" ht="15" customHeight="1" x14ac:dyDescent="0.25">
      <c r="A11" s="35">
        <v>43733</v>
      </c>
      <c r="B11" s="36">
        <v>18042</v>
      </c>
      <c r="C11" s="36">
        <v>141858</v>
      </c>
      <c r="D11" s="36">
        <v>364.8</v>
      </c>
      <c r="E11" s="36">
        <v>480</v>
      </c>
    </row>
    <row r="12" spans="1:5" ht="15" customHeight="1" x14ac:dyDescent="0.25">
      <c r="A12" s="32">
        <v>43700</v>
      </c>
      <c r="B12" s="33">
        <v>15592</v>
      </c>
      <c r="C12" s="34">
        <v>126867</v>
      </c>
      <c r="D12" s="33">
        <v>307.2</v>
      </c>
      <c r="E12" s="33">
        <v>387.84</v>
      </c>
    </row>
    <row r="13" spans="1:5" ht="15" customHeight="1" x14ac:dyDescent="0.25">
      <c r="A13" s="35">
        <v>43669</v>
      </c>
      <c r="B13" s="36">
        <v>14996</v>
      </c>
      <c r="C13" s="36">
        <v>123759</v>
      </c>
      <c r="D13" s="36">
        <v>337.92</v>
      </c>
      <c r="E13" s="36">
        <v>491.52</v>
      </c>
    </row>
    <row r="14" spans="1:5" ht="15" customHeight="1" x14ac:dyDescent="0.25">
      <c r="A14" s="32">
        <v>43641</v>
      </c>
      <c r="B14" s="33">
        <v>18388</v>
      </c>
      <c r="C14" s="34">
        <v>156465</v>
      </c>
      <c r="D14" s="33">
        <v>410.88</v>
      </c>
      <c r="E14" s="33">
        <v>503.04</v>
      </c>
    </row>
    <row r="15" spans="1:5" ht="15" customHeight="1" x14ac:dyDescent="0.25">
      <c r="A15" s="35">
        <v>43609</v>
      </c>
      <c r="B15" s="36">
        <v>21735</v>
      </c>
      <c r="C15" s="36">
        <v>172014</v>
      </c>
      <c r="D15" s="36">
        <v>437.76</v>
      </c>
      <c r="E15" s="36">
        <v>579.84</v>
      </c>
    </row>
    <row r="16" spans="1:5" ht="15" customHeight="1" x14ac:dyDescent="0.25">
      <c r="A16" s="32">
        <v>43579</v>
      </c>
      <c r="B16" s="33">
        <v>22596</v>
      </c>
      <c r="C16" s="34">
        <v>174247</v>
      </c>
      <c r="D16" s="33">
        <v>606.72</v>
      </c>
      <c r="E16" s="33">
        <v>856.32</v>
      </c>
    </row>
    <row r="17" spans="1:5" ht="15" customHeight="1" x14ac:dyDescent="0.25">
      <c r="A17" s="35">
        <v>43551</v>
      </c>
      <c r="B17" s="36">
        <v>23580</v>
      </c>
      <c r="C17" s="36">
        <v>203857</v>
      </c>
      <c r="D17" s="36">
        <v>522.24</v>
      </c>
      <c r="E17" s="36">
        <v>810.24</v>
      </c>
    </row>
    <row r="18" spans="1:5" ht="15" customHeight="1" x14ac:dyDescent="0.25">
      <c r="A18" s="32">
        <v>43521</v>
      </c>
      <c r="B18" s="33">
        <v>18683</v>
      </c>
      <c r="C18" s="34">
        <v>226788</v>
      </c>
      <c r="D18" s="33">
        <v>441.6</v>
      </c>
      <c r="E18" s="33">
        <v>929.28</v>
      </c>
    </row>
    <row r="19" spans="1:5" ht="15" customHeight="1" x14ac:dyDescent="0.25">
      <c r="A19" s="35">
        <v>43488</v>
      </c>
      <c r="B19" s="36">
        <v>14246</v>
      </c>
      <c r="C19" s="36">
        <v>186248</v>
      </c>
      <c r="D19" s="36">
        <v>349.44</v>
      </c>
      <c r="E19" s="36">
        <v>741.12</v>
      </c>
    </row>
    <row r="20" spans="1:5" ht="15" customHeight="1" x14ac:dyDescent="0.25">
      <c r="A20" s="32">
        <v>43460</v>
      </c>
      <c r="B20" s="33">
        <v>17353</v>
      </c>
      <c r="C20" s="34">
        <v>151104</v>
      </c>
      <c r="D20" s="33">
        <v>341.76</v>
      </c>
      <c r="E20" s="33">
        <v>510.72</v>
      </c>
    </row>
    <row r="21" spans="1:5" ht="15.75" customHeight="1" x14ac:dyDescent="0.25">
      <c r="A21" s="35">
        <v>43427</v>
      </c>
      <c r="B21" s="36">
        <v>17931</v>
      </c>
      <c r="C21" s="36">
        <v>156192</v>
      </c>
      <c r="D21" s="36">
        <v>0</v>
      </c>
      <c r="E21" s="36">
        <v>0</v>
      </c>
    </row>
    <row r="22" spans="1:5" ht="15.75" customHeight="1" x14ac:dyDescent="0.25">
      <c r="A22" s="32">
        <v>43396</v>
      </c>
      <c r="B22" s="33">
        <v>17450</v>
      </c>
      <c r="C22" s="34">
        <v>128601</v>
      </c>
      <c r="D22" s="33">
        <v>450.05</v>
      </c>
      <c r="E22" s="33">
        <v>615.94000000000005</v>
      </c>
    </row>
    <row r="23" spans="1:5" ht="15.75" customHeight="1" x14ac:dyDescent="0.25">
      <c r="A23" s="35">
        <v>43367</v>
      </c>
      <c r="B23" s="36">
        <v>18239</v>
      </c>
      <c r="C23" s="36">
        <v>158554</v>
      </c>
      <c r="D23" s="36">
        <v>0</v>
      </c>
      <c r="E23" s="36">
        <v>0</v>
      </c>
    </row>
    <row r="24" spans="1:5" ht="15.75" customHeight="1" x14ac:dyDescent="0.25">
      <c r="A24" s="32">
        <v>43336</v>
      </c>
      <c r="B24" s="33">
        <v>16234</v>
      </c>
      <c r="C24" s="34">
        <v>128355</v>
      </c>
      <c r="D24" s="33">
        <v>314.88</v>
      </c>
      <c r="E24" s="33">
        <v>374.78</v>
      </c>
    </row>
    <row r="25" spans="1:5" ht="15.75" customHeight="1" x14ac:dyDescent="0.25">
      <c r="A25" s="35">
        <v>43305</v>
      </c>
      <c r="B25" s="36">
        <v>14928</v>
      </c>
      <c r="C25" s="36">
        <v>125315</v>
      </c>
      <c r="D25" s="36">
        <v>322.56</v>
      </c>
      <c r="E25" s="36">
        <v>526.85</v>
      </c>
    </row>
    <row r="26" spans="1:5" ht="15.75" customHeight="1" x14ac:dyDescent="0.25">
      <c r="A26" s="32">
        <v>43276</v>
      </c>
      <c r="B26" s="33">
        <v>15487</v>
      </c>
      <c r="C26" s="34">
        <v>128471</v>
      </c>
      <c r="D26" s="33">
        <v>337.92</v>
      </c>
      <c r="E26" s="33">
        <v>420.86</v>
      </c>
    </row>
    <row r="27" spans="1:5" ht="15.75" customHeight="1" x14ac:dyDescent="0.25">
      <c r="A27" s="35">
        <v>43244</v>
      </c>
      <c r="B27" s="36">
        <v>23454</v>
      </c>
      <c r="C27" s="36">
        <v>176887</v>
      </c>
      <c r="D27" s="36">
        <v>543.74</v>
      </c>
      <c r="E27" s="36">
        <v>709.63</v>
      </c>
    </row>
    <row r="28" spans="1:5" ht="15.75" customHeight="1" x14ac:dyDescent="0.25">
      <c r="A28" s="32">
        <v>43214</v>
      </c>
      <c r="B28" s="33">
        <v>25552</v>
      </c>
      <c r="C28" s="34">
        <v>193056</v>
      </c>
      <c r="D28" s="33">
        <v>606.72</v>
      </c>
      <c r="E28" s="33">
        <v>787.97</v>
      </c>
    </row>
    <row r="29" spans="1:5" ht="15.75" customHeight="1" x14ac:dyDescent="0.25">
      <c r="A29" s="35">
        <v>43182</v>
      </c>
      <c r="B29" s="36">
        <v>23491</v>
      </c>
      <c r="C29" s="36">
        <v>190331</v>
      </c>
      <c r="D29" s="36">
        <v>519.16999999999996</v>
      </c>
      <c r="E29" s="36">
        <v>797.18</v>
      </c>
    </row>
    <row r="30" spans="1:5" ht="15.75" customHeight="1" x14ac:dyDescent="0.25">
      <c r="A30" s="32">
        <v>43153</v>
      </c>
      <c r="B30" s="33">
        <v>11437</v>
      </c>
      <c r="C30" s="34">
        <v>156466</v>
      </c>
      <c r="D30" s="33">
        <v>321.02</v>
      </c>
      <c r="E30" s="33">
        <v>665.09</v>
      </c>
    </row>
    <row r="31" spans="1:5" ht="15.75" customHeight="1" x14ac:dyDescent="0.25">
      <c r="A31" s="35">
        <v>43124</v>
      </c>
      <c r="B31" s="36">
        <v>13107</v>
      </c>
      <c r="C31" s="36">
        <v>169024</v>
      </c>
      <c r="D31" s="36">
        <v>322.56</v>
      </c>
      <c r="E31" s="36">
        <v>700.42</v>
      </c>
    </row>
    <row r="32" spans="1:5" ht="15.75" customHeight="1" x14ac:dyDescent="0.25">
      <c r="A32" s="32">
        <v>43091</v>
      </c>
      <c r="B32" s="33">
        <v>18108</v>
      </c>
      <c r="C32" s="34">
        <v>165075</v>
      </c>
      <c r="D32" s="33">
        <v>511.49</v>
      </c>
      <c r="E32" s="33">
        <v>717.31</v>
      </c>
    </row>
    <row r="33" spans="1:5" ht="15.75" customHeight="1" x14ac:dyDescent="0.25">
      <c r="A33" s="35">
        <v>43063</v>
      </c>
      <c r="B33" s="36">
        <v>17683</v>
      </c>
      <c r="C33" s="36">
        <v>154547</v>
      </c>
      <c r="D33" s="36">
        <v>448.51</v>
      </c>
      <c r="E33" s="36">
        <v>645.12</v>
      </c>
    </row>
    <row r="34" spans="1:5" ht="15.75" customHeight="1" x14ac:dyDescent="0.25">
      <c r="A34" s="32">
        <v>43033</v>
      </c>
      <c r="B34" s="33">
        <v>19042</v>
      </c>
      <c r="C34" s="34">
        <v>157229</v>
      </c>
      <c r="D34" s="33">
        <v>450.05</v>
      </c>
      <c r="E34" s="33">
        <v>582.14</v>
      </c>
    </row>
    <row r="35" spans="1:5" ht="15.75" customHeight="1" x14ac:dyDescent="0.25">
      <c r="A35" s="35">
        <v>43003</v>
      </c>
      <c r="B35" s="36">
        <v>20349</v>
      </c>
      <c r="C35" s="36">
        <v>157896</v>
      </c>
      <c r="D35" s="36">
        <v>494.59</v>
      </c>
      <c r="E35" s="36">
        <v>688.13</v>
      </c>
    </row>
    <row r="36" spans="1:5" ht="15.75" customHeight="1" x14ac:dyDescent="0.25">
      <c r="A36" s="32">
        <v>42970</v>
      </c>
      <c r="B36" s="33">
        <v>15837</v>
      </c>
      <c r="C36" s="34">
        <v>124299</v>
      </c>
      <c r="D36" s="33">
        <v>334.85</v>
      </c>
      <c r="E36" s="33">
        <v>448.51</v>
      </c>
    </row>
    <row r="37" spans="1:5" ht="15.75" customHeight="1" x14ac:dyDescent="0.25">
      <c r="A37" s="35">
        <v>42941</v>
      </c>
      <c r="B37" s="36">
        <v>13838</v>
      </c>
      <c r="C37" s="36">
        <v>123372</v>
      </c>
      <c r="D37" s="36">
        <v>319.49</v>
      </c>
      <c r="E37" s="36">
        <v>436.22</v>
      </c>
    </row>
    <row r="38" spans="1:5" ht="15.75" customHeight="1" x14ac:dyDescent="0.25">
      <c r="A38" s="32">
        <v>42912</v>
      </c>
      <c r="B38" s="33">
        <v>19359</v>
      </c>
      <c r="C38" s="34">
        <v>145201</v>
      </c>
      <c r="D38" s="33">
        <v>414.72</v>
      </c>
      <c r="E38" s="33">
        <v>557.57000000000005</v>
      </c>
    </row>
    <row r="39" spans="1:5" ht="15.75" customHeight="1" x14ac:dyDescent="0.25">
      <c r="A39" s="35">
        <v>42879</v>
      </c>
      <c r="B39" s="36">
        <v>18365</v>
      </c>
      <c r="C39" s="36">
        <v>139062</v>
      </c>
      <c r="D39" s="36">
        <v>411.65</v>
      </c>
      <c r="E39" s="36">
        <v>614.4</v>
      </c>
    </row>
    <row r="40" spans="1:5" ht="15.75" customHeight="1" x14ac:dyDescent="0.25">
      <c r="A40" s="32">
        <v>42850</v>
      </c>
      <c r="B40" s="33">
        <v>23293</v>
      </c>
      <c r="C40" s="34">
        <v>185682</v>
      </c>
      <c r="D40" s="33">
        <v>473.09</v>
      </c>
      <c r="E40" s="33">
        <v>741.89</v>
      </c>
    </row>
    <row r="41" spans="1:5" ht="15.75" customHeight="1" x14ac:dyDescent="0.25">
      <c r="A41" s="35">
        <v>42817</v>
      </c>
      <c r="B41" s="36">
        <v>25363</v>
      </c>
      <c r="C41" s="36">
        <v>202192</v>
      </c>
      <c r="D41" s="36">
        <v>549.89</v>
      </c>
      <c r="E41" s="36">
        <v>929.28</v>
      </c>
    </row>
    <row r="42" spans="1:5" ht="15.75" customHeight="1" x14ac:dyDescent="0.25">
      <c r="A42" s="32">
        <v>42787</v>
      </c>
      <c r="B42" s="33">
        <v>13026</v>
      </c>
      <c r="C42" s="34">
        <v>163465</v>
      </c>
      <c r="D42" s="33">
        <v>274.94</v>
      </c>
      <c r="E42" s="33">
        <v>628.22</v>
      </c>
    </row>
    <row r="43" spans="1:5" ht="15.75" customHeight="1" x14ac:dyDescent="0.25">
      <c r="A43" s="35">
        <v>42759</v>
      </c>
      <c r="B43" s="36">
        <v>14051</v>
      </c>
      <c r="C43" s="36">
        <v>174224</v>
      </c>
      <c r="D43" s="36">
        <v>276.48</v>
      </c>
      <c r="E43" s="36">
        <v>646.66</v>
      </c>
    </row>
    <row r="44" spans="1:5" ht="15.75" customHeight="1" x14ac:dyDescent="0.25">
      <c r="A44" s="32">
        <v>42727</v>
      </c>
      <c r="B44" s="33">
        <v>20476</v>
      </c>
      <c r="C44" s="34">
        <v>190481</v>
      </c>
      <c r="D44" s="33">
        <v>445.44</v>
      </c>
      <c r="E44" s="33">
        <v>640.51</v>
      </c>
    </row>
    <row r="45" spans="1:5" ht="15.75" customHeight="1" x14ac:dyDescent="0.25">
      <c r="A45" s="35">
        <v>42695</v>
      </c>
      <c r="B45" s="36">
        <v>14982</v>
      </c>
      <c r="C45" s="36">
        <v>123187</v>
      </c>
      <c r="D45" s="36">
        <v>452</v>
      </c>
      <c r="E45" s="36">
        <v>662</v>
      </c>
    </row>
    <row r="46" spans="1:5" ht="15.75" customHeight="1" x14ac:dyDescent="0.25">
      <c r="A46" s="32">
        <v>42667</v>
      </c>
      <c r="B46" s="33">
        <v>16238</v>
      </c>
      <c r="C46" s="34">
        <v>131059</v>
      </c>
      <c r="D46" s="33">
        <v>376</v>
      </c>
      <c r="E46" s="33">
        <v>485</v>
      </c>
    </row>
    <row r="47" spans="1:5" ht="15.75" customHeight="1" x14ac:dyDescent="0.25">
      <c r="A47" s="35">
        <v>42636</v>
      </c>
      <c r="B47" s="36">
        <v>15958</v>
      </c>
      <c r="C47" s="36">
        <v>117581</v>
      </c>
      <c r="D47" s="36">
        <v>343</v>
      </c>
      <c r="E47" s="36">
        <v>459</v>
      </c>
    </row>
    <row r="48" spans="1:5" ht="15.75" customHeight="1" x14ac:dyDescent="0.25">
      <c r="A48" s="32">
        <v>42605</v>
      </c>
      <c r="B48" s="33">
        <v>13122</v>
      </c>
      <c r="C48" s="34">
        <v>109133</v>
      </c>
      <c r="D48" s="33">
        <v>281</v>
      </c>
      <c r="E48" s="33">
        <v>366</v>
      </c>
    </row>
    <row r="49" spans="1:5" ht="15.75" customHeight="1" x14ac:dyDescent="0.25">
      <c r="A49" s="35">
        <v>42576</v>
      </c>
      <c r="B49" s="36">
        <v>14051</v>
      </c>
      <c r="C49" s="36">
        <v>108634</v>
      </c>
      <c r="D49" s="36">
        <v>310</v>
      </c>
      <c r="E49" s="36">
        <v>358</v>
      </c>
    </row>
    <row r="50" spans="1:5" ht="15.75" customHeight="1" x14ac:dyDescent="0.25">
      <c r="A50" s="32">
        <v>42544</v>
      </c>
      <c r="B50" s="33">
        <v>15626</v>
      </c>
      <c r="C50" s="34">
        <v>115622</v>
      </c>
      <c r="D50" s="33">
        <v>318</v>
      </c>
      <c r="E50" s="33">
        <v>364</v>
      </c>
    </row>
    <row r="51" spans="1:5" ht="15.75" customHeight="1" x14ac:dyDescent="0.25">
      <c r="A51" s="35">
        <v>42514</v>
      </c>
      <c r="B51" s="36">
        <v>16725</v>
      </c>
      <c r="C51" s="36">
        <v>129869</v>
      </c>
      <c r="D51" s="36">
        <v>389</v>
      </c>
      <c r="E51" s="36">
        <v>531</v>
      </c>
    </row>
    <row r="52" spans="1:5" ht="15.75" customHeight="1" x14ac:dyDescent="0.25">
      <c r="A52" s="32">
        <v>42485</v>
      </c>
      <c r="B52" s="33">
        <v>23293</v>
      </c>
      <c r="C52" s="34">
        <v>175296</v>
      </c>
      <c r="D52" s="33">
        <v>504</v>
      </c>
      <c r="E52" s="33">
        <v>745</v>
      </c>
    </row>
    <row r="53" spans="1:5" ht="15.75" customHeight="1" x14ac:dyDescent="0.25">
      <c r="A53" s="35">
        <v>42452</v>
      </c>
      <c r="B53" s="36">
        <v>19387</v>
      </c>
      <c r="C53" s="36">
        <v>163354</v>
      </c>
      <c r="D53" s="36">
        <v>444</v>
      </c>
      <c r="E53" s="36">
        <v>671</v>
      </c>
    </row>
    <row r="54" spans="1:5" ht="15.75" customHeight="1" x14ac:dyDescent="0.25">
      <c r="A54" s="32">
        <v>42424</v>
      </c>
      <c r="B54" s="33">
        <v>10379</v>
      </c>
      <c r="C54" s="34">
        <v>145459</v>
      </c>
      <c r="D54" s="33">
        <v>316</v>
      </c>
      <c r="E54" s="33">
        <v>631</v>
      </c>
    </row>
    <row r="55" spans="1:5" ht="15.75" customHeight="1" x14ac:dyDescent="0.25">
      <c r="A55" s="35">
        <v>42394</v>
      </c>
      <c r="B55" s="36">
        <f>3110.81+7604.19</f>
        <v>10715</v>
      </c>
      <c r="C55" s="36">
        <f>41940.29+102520.71</f>
        <v>144461</v>
      </c>
      <c r="D55" s="36">
        <v>244</v>
      </c>
      <c r="E55" s="36">
        <v>585</v>
      </c>
    </row>
    <row r="56" spans="1:5" ht="15.75" customHeight="1" x14ac:dyDescent="0.25">
      <c r="A56" s="32">
        <v>42361</v>
      </c>
      <c r="B56" s="33">
        <v>15589</v>
      </c>
      <c r="C56" s="34">
        <v>156058</v>
      </c>
      <c r="D56" s="33">
        <v>389</v>
      </c>
      <c r="E56" s="33">
        <v>621</v>
      </c>
    </row>
    <row r="57" spans="1:5" ht="15.75" customHeight="1" x14ac:dyDescent="0.25">
      <c r="A57" s="35">
        <v>42332</v>
      </c>
      <c r="B57" s="36">
        <v>16481</v>
      </c>
      <c r="C57" s="36">
        <v>147725</v>
      </c>
      <c r="D57" s="36">
        <v>435</v>
      </c>
      <c r="E57" s="36">
        <v>628</v>
      </c>
    </row>
    <row r="58" spans="1:5" ht="15.75" customHeight="1" x14ac:dyDescent="0.25">
      <c r="A58" s="32">
        <v>42303</v>
      </c>
      <c r="B58" s="33">
        <v>16583</v>
      </c>
      <c r="C58" s="34">
        <v>127987</v>
      </c>
      <c r="D58" s="33">
        <v>352</v>
      </c>
      <c r="E58" s="33">
        <v>436</v>
      </c>
    </row>
    <row r="59" spans="1:5" ht="15.75" customHeight="1" x14ac:dyDescent="0.25">
      <c r="A59" s="35">
        <v>42271</v>
      </c>
      <c r="B59" s="36">
        <v>16044</v>
      </c>
      <c r="C59" s="36">
        <v>122266</v>
      </c>
      <c r="D59" s="36">
        <v>378</v>
      </c>
      <c r="E59" s="36">
        <v>498</v>
      </c>
    </row>
    <row r="60" spans="1:5" ht="15.75" customHeight="1" x14ac:dyDescent="0.25">
      <c r="A60" s="32">
        <v>42241</v>
      </c>
      <c r="B60" s="33">
        <v>18779</v>
      </c>
      <c r="C60" s="34">
        <v>148378</v>
      </c>
      <c r="D60" s="33">
        <v>470</v>
      </c>
      <c r="E60" s="33">
        <v>616</v>
      </c>
    </row>
    <row r="61" spans="1:5" ht="15.75" customHeight="1" x14ac:dyDescent="0.25">
      <c r="A61" s="35">
        <v>42208</v>
      </c>
      <c r="B61" s="36">
        <v>14211</v>
      </c>
      <c r="C61" s="36">
        <v>118502</v>
      </c>
      <c r="D61" s="36">
        <v>326</v>
      </c>
      <c r="E61" s="36">
        <v>373</v>
      </c>
    </row>
    <row r="62" spans="1:5" ht="15.75" customHeight="1" x14ac:dyDescent="0.25">
      <c r="A62" s="32">
        <v>42179</v>
      </c>
      <c r="B62" s="33">
        <v>16748</v>
      </c>
      <c r="C62" s="34">
        <v>139853</v>
      </c>
      <c r="D62" s="33">
        <v>416</v>
      </c>
      <c r="E62" s="33">
        <v>548</v>
      </c>
    </row>
    <row r="63" spans="1:5" ht="15.75" customHeight="1" x14ac:dyDescent="0.25">
      <c r="A63" s="35">
        <v>42149</v>
      </c>
      <c r="B63" s="36">
        <v>16953</v>
      </c>
      <c r="C63" s="36">
        <v>131750</v>
      </c>
      <c r="D63" s="36">
        <v>416</v>
      </c>
      <c r="E63" s="36">
        <v>554</v>
      </c>
    </row>
    <row r="64" spans="1:5" ht="15.75" customHeight="1" x14ac:dyDescent="0.25">
      <c r="A64" s="32">
        <v>42118</v>
      </c>
      <c r="B64" s="33">
        <v>21337</v>
      </c>
      <c r="C64" s="34">
        <v>174106</v>
      </c>
      <c r="D64" s="33">
        <v>475</v>
      </c>
      <c r="E64" s="33">
        <v>793</v>
      </c>
    </row>
    <row r="65" spans="2:5" ht="15.75" customHeight="1" x14ac:dyDescent="0.25">
      <c r="B65" s="37"/>
      <c r="C65" s="37"/>
      <c r="D65" s="37"/>
      <c r="E65" s="37"/>
    </row>
    <row r="66" spans="2:5" ht="15.75" customHeight="1" x14ac:dyDescent="0.25">
      <c r="B66" s="37"/>
      <c r="C66" s="38"/>
      <c r="D66" s="37"/>
      <c r="E66" s="37"/>
    </row>
    <row r="67" spans="2:5" ht="15.75" customHeight="1" x14ac:dyDescent="0.25">
      <c r="B67" s="37"/>
      <c r="C67" s="37"/>
      <c r="D67" s="37"/>
      <c r="E67" s="37"/>
    </row>
    <row r="68" spans="2:5" ht="15.75" customHeight="1" x14ac:dyDescent="0.25">
      <c r="B68" s="37"/>
      <c r="C68" s="38"/>
      <c r="D68" s="37"/>
      <c r="E68" s="37"/>
    </row>
    <row r="69" spans="2:5" ht="15.75" customHeight="1" x14ac:dyDescent="0.25">
      <c r="B69" s="37"/>
      <c r="C69" s="37"/>
      <c r="D69" s="37"/>
      <c r="E69" s="37"/>
    </row>
    <row r="70" spans="2:5" ht="15.75" customHeight="1" x14ac:dyDescent="0.25">
      <c r="B70" s="37"/>
      <c r="C70" s="38"/>
      <c r="D70" s="37"/>
      <c r="E70" s="37"/>
    </row>
    <row r="71" spans="2:5" ht="15.75" customHeight="1" x14ac:dyDescent="0.25">
      <c r="B71" s="37"/>
      <c r="C71" s="37"/>
      <c r="D71" s="37"/>
      <c r="E71" s="37"/>
    </row>
    <row r="72" spans="2:5" ht="15.75" customHeight="1" x14ac:dyDescent="0.25">
      <c r="B72" s="37"/>
      <c r="C72" s="38"/>
      <c r="D72" s="37"/>
      <c r="E72" s="37"/>
    </row>
    <row r="73" spans="2:5" ht="15.75" customHeight="1" x14ac:dyDescent="0.25">
      <c r="B73" s="37"/>
      <c r="C73" s="37"/>
      <c r="D73" s="37"/>
      <c r="E73" s="37"/>
    </row>
    <row r="74" spans="2:5" ht="15.75" customHeight="1" x14ac:dyDescent="0.25">
      <c r="B74" s="37"/>
      <c r="C74" s="37"/>
      <c r="D74" s="37"/>
      <c r="E74" s="37"/>
    </row>
    <row r="75" spans="2:5" ht="15.75" customHeight="1" x14ac:dyDescent="0.25">
      <c r="B75" s="37"/>
      <c r="C75" s="37"/>
      <c r="D75" s="37"/>
      <c r="E75" s="37"/>
    </row>
    <row r="76" spans="2:5" ht="15.75" customHeight="1" x14ac:dyDescent="0.25">
      <c r="B76" s="37"/>
      <c r="C76" s="37"/>
      <c r="D76" s="37"/>
      <c r="E76" s="37"/>
    </row>
    <row r="77" spans="2:5" ht="15.75" customHeight="1" x14ac:dyDescent="0.25">
      <c r="B77" s="37"/>
      <c r="C77" s="37"/>
      <c r="D77" s="37"/>
      <c r="E77" s="37"/>
    </row>
    <row r="78" spans="2:5" ht="15.75" customHeight="1" x14ac:dyDescent="0.25">
      <c r="B78" s="37"/>
      <c r="C78" s="37"/>
      <c r="D78" s="37"/>
      <c r="E78" s="37"/>
    </row>
    <row r="79" spans="2:5" ht="15.75" customHeight="1" x14ac:dyDescent="0.25">
      <c r="B79" s="37"/>
      <c r="C79" s="37"/>
      <c r="D79" s="37"/>
      <c r="E79" s="37"/>
    </row>
    <row r="80" spans="2:5" ht="15.75" customHeight="1" x14ac:dyDescent="0.25">
      <c r="B80" s="37"/>
      <c r="C80" s="37"/>
      <c r="D80" s="37"/>
      <c r="E80" s="37"/>
    </row>
    <row r="81" spans="2:5" ht="15.75" customHeight="1" x14ac:dyDescent="0.25">
      <c r="B81" s="37"/>
      <c r="C81" s="37"/>
      <c r="D81" s="37"/>
      <c r="E81" s="37"/>
    </row>
    <row r="82" spans="2:5" ht="15.75" customHeight="1" x14ac:dyDescent="0.25">
      <c r="B82" s="37"/>
      <c r="C82" s="39"/>
      <c r="D82" s="37"/>
      <c r="E82" s="37"/>
    </row>
    <row r="83" spans="2:5" ht="15.75" customHeight="1" x14ac:dyDescent="0.25">
      <c r="B83" s="37"/>
      <c r="C83" s="39"/>
      <c r="D83" s="37"/>
      <c r="E83" s="37"/>
    </row>
    <row r="84" spans="2:5" ht="15.75" customHeight="1" x14ac:dyDescent="0.25">
      <c r="B84" s="37"/>
      <c r="C84" s="39"/>
      <c r="D84" s="37"/>
      <c r="E84" s="37"/>
    </row>
    <row r="85" spans="2:5" ht="15.75" customHeight="1" x14ac:dyDescent="0.25">
      <c r="B85" s="37"/>
      <c r="C85" s="39"/>
      <c r="D85" s="37"/>
      <c r="E85" s="37"/>
    </row>
    <row r="86" spans="2:5" ht="15.75" customHeight="1" x14ac:dyDescent="0.25">
      <c r="B86" s="37"/>
      <c r="C86" s="39"/>
      <c r="D86" s="37"/>
      <c r="E86" s="37"/>
    </row>
    <row r="87" spans="2:5" ht="15.75" customHeight="1" x14ac:dyDescent="0.25">
      <c r="B87" s="39"/>
      <c r="C87" s="39"/>
      <c r="D87" s="39"/>
      <c r="E87" s="39"/>
    </row>
    <row r="88" spans="2:5" ht="15.75" customHeight="1" x14ac:dyDescent="0.25">
      <c r="B88" s="39"/>
      <c r="C88" s="39"/>
      <c r="D88" s="39"/>
      <c r="E88" s="39"/>
    </row>
    <row r="89" spans="2:5" ht="15.75" customHeight="1" x14ac:dyDescent="0.25">
      <c r="B89" s="39"/>
      <c r="C89" s="39"/>
      <c r="D89" s="39"/>
      <c r="E89" s="39"/>
    </row>
    <row r="90" spans="2:5" ht="15.75" customHeight="1" x14ac:dyDescent="0.25">
      <c r="B90" s="39"/>
      <c r="C90" s="39"/>
      <c r="D90" s="39"/>
      <c r="E90" s="39"/>
    </row>
    <row r="91" spans="2:5" ht="15.75" customHeight="1" x14ac:dyDescent="0.25">
      <c r="B91" s="39"/>
      <c r="C91" s="39"/>
      <c r="D91" s="39"/>
      <c r="E91" s="39"/>
    </row>
    <row r="92" spans="2:5" ht="15.75" customHeight="1" x14ac:dyDescent="0.25">
      <c r="B92" s="39"/>
      <c r="C92" s="39"/>
      <c r="D92" s="39"/>
      <c r="E92" s="39"/>
    </row>
    <row r="93" spans="2:5" ht="15.75" customHeight="1" x14ac:dyDescent="0.25">
      <c r="B93" s="39"/>
      <c r="C93" s="39"/>
      <c r="D93" s="39"/>
      <c r="E93" s="39"/>
    </row>
    <row r="94" spans="2:5" ht="15.75" customHeight="1" x14ac:dyDescent="0.25">
      <c r="B94" s="39"/>
      <c r="C94" s="39"/>
      <c r="D94" s="39"/>
      <c r="E94" s="39"/>
    </row>
    <row r="95" spans="2:5" ht="15.75" customHeight="1" x14ac:dyDescent="0.25">
      <c r="B95" s="39"/>
      <c r="C95" s="39"/>
      <c r="D95" s="39"/>
      <c r="E95" s="39"/>
    </row>
    <row r="96" spans="2:5" ht="15.75" customHeight="1" x14ac:dyDescent="0.25">
      <c r="B96" s="39"/>
      <c r="C96" s="39"/>
      <c r="D96" s="39"/>
      <c r="E96" s="39"/>
    </row>
    <row r="97" spans="2:5" ht="15.75" customHeight="1" x14ac:dyDescent="0.25">
      <c r="B97" s="39"/>
      <c r="C97" s="39"/>
      <c r="D97" s="39"/>
      <c r="E97" s="39"/>
    </row>
    <row r="98" spans="2:5" ht="15.75" customHeight="1" x14ac:dyDescent="0.25">
      <c r="B98" s="39"/>
      <c r="C98" s="39"/>
      <c r="D98" s="39"/>
      <c r="E98" s="39"/>
    </row>
    <row r="99" spans="2:5" ht="15.75" customHeight="1" x14ac:dyDescent="0.25">
      <c r="B99" s="39"/>
      <c r="C99" s="39"/>
      <c r="D99" s="39"/>
      <c r="E99" s="39"/>
    </row>
    <row r="100" spans="2:5" ht="15.75" customHeight="1" x14ac:dyDescent="0.25">
      <c r="B100" s="39"/>
      <c r="C100" s="39"/>
      <c r="D100" s="39"/>
      <c r="E100" s="39"/>
    </row>
    <row r="101" spans="2:5" ht="15.75" customHeight="1" x14ac:dyDescent="0.25">
      <c r="B101" s="39"/>
      <c r="C101" s="39"/>
      <c r="D101" s="39"/>
      <c r="E101" s="39"/>
    </row>
    <row r="102" spans="2:5" ht="15.75" customHeight="1" x14ac:dyDescent="0.25">
      <c r="B102" s="39"/>
      <c r="C102" s="39"/>
      <c r="D102" s="39"/>
      <c r="E102" s="39"/>
    </row>
    <row r="103" spans="2:5" ht="15.75" customHeight="1" x14ac:dyDescent="0.25">
      <c r="B103" s="39"/>
      <c r="C103" s="39"/>
      <c r="D103" s="39"/>
      <c r="E103" s="39"/>
    </row>
    <row r="104" spans="2:5" ht="15.75" customHeight="1" x14ac:dyDescent="0.25">
      <c r="B104" s="39"/>
      <c r="C104" s="39"/>
      <c r="D104" s="39"/>
      <c r="E104" s="39"/>
    </row>
    <row r="105" spans="2:5" ht="15.75" customHeight="1" x14ac:dyDescent="0.25">
      <c r="B105" s="39"/>
      <c r="C105" s="39"/>
      <c r="D105" s="39"/>
      <c r="E105" s="39"/>
    </row>
    <row r="106" spans="2:5" ht="15.75" customHeight="1" x14ac:dyDescent="0.25">
      <c r="B106" s="39"/>
      <c r="C106" s="39"/>
      <c r="D106" s="39"/>
      <c r="E106" s="39"/>
    </row>
    <row r="107" spans="2:5" ht="15.75" customHeight="1" x14ac:dyDescent="0.25">
      <c r="B107" s="39"/>
      <c r="C107" s="39"/>
      <c r="D107" s="39"/>
      <c r="E107" s="39"/>
    </row>
    <row r="108" spans="2:5" ht="15.75" customHeight="1" x14ac:dyDescent="0.25">
      <c r="B108" s="39"/>
      <c r="C108" s="39"/>
      <c r="D108" s="39"/>
      <c r="E108" s="39"/>
    </row>
    <row r="109" spans="2:5" ht="15.75" customHeight="1" x14ac:dyDescent="0.25">
      <c r="B109" s="39"/>
      <c r="C109" s="39"/>
      <c r="D109" s="39"/>
      <c r="E109" s="39"/>
    </row>
    <row r="110" spans="2:5" ht="15.75" customHeight="1" x14ac:dyDescent="0.25">
      <c r="B110" s="39"/>
      <c r="C110" s="39"/>
      <c r="D110" s="39"/>
      <c r="E110" s="39"/>
    </row>
    <row r="111" spans="2:5" ht="15.75" customHeight="1" x14ac:dyDescent="0.25">
      <c r="B111" s="39"/>
      <c r="C111" s="39"/>
      <c r="D111" s="39"/>
      <c r="E111" s="39"/>
    </row>
    <row r="112" spans="2:5" ht="15.75" customHeight="1" x14ac:dyDescent="0.25">
      <c r="B112" s="39"/>
      <c r="C112" s="39"/>
      <c r="D112" s="39"/>
      <c r="E112" s="39"/>
    </row>
    <row r="113" spans="2:5" ht="15.75" customHeight="1" x14ac:dyDescent="0.25">
      <c r="B113" s="39"/>
      <c r="C113" s="39"/>
      <c r="D113" s="39"/>
      <c r="E113" s="39"/>
    </row>
    <row r="114" spans="2:5" ht="15.75" customHeight="1" x14ac:dyDescent="0.25">
      <c r="B114" s="39"/>
      <c r="C114" s="39"/>
      <c r="D114" s="39"/>
      <c r="E114" s="39"/>
    </row>
    <row r="115" spans="2:5" ht="15.75" customHeight="1" x14ac:dyDescent="0.25">
      <c r="B115" s="39"/>
      <c r="C115" s="39"/>
      <c r="D115" s="39"/>
      <c r="E115" s="39"/>
    </row>
    <row r="116" spans="2:5" ht="15.75" customHeight="1" x14ac:dyDescent="0.25">
      <c r="B116" s="39"/>
      <c r="C116" s="39"/>
      <c r="D116" s="39"/>
      <c r="E116" s="39"/>
    </row>
    <row r="117" spans="2:5" ht="15.75" customHeight="1" x14ac:dyDescent="0.25">
      <c r="B117" s="39"/>
      <c r="C117" s="39"/>
      <c r="D117" s="39"/>
      <c r="E117" s="39"/>
    </row>
    <row r="118" spans="2:5" ht="15.75" customHeight="1" x14ac:dyDescent="0.25">
      <c r="B118" s="39"/>
      <c r="C118" s="39"/>
      <c r="D118" s="39"/>
      <c r="E118" s="39"/>
    </row>
    <row r="119" spans="2:5" ht="15.75" customHeight="1" x14ac:dyDescent="0.25">
      <c r="B119" s="39"/>
      <c r="C119" s="39"/>
      <c r="D119" s="39"/>
      <c r="E119" s="39"/>
    </row>
    <row r="120" spans="2:5" ht="15.75" customHeight="1" x14ac:dyDescent="0.25">
      <c r="B120" s="39"/>
      <c r="C120" s="39"/>
      <c r="D120" s="39"/>
      <c r="E120" s="39"/>
    </row>
    <row r="121" spans="2:5" ht="15.75" customHeight="1" x14ac:dyDescent="0.25">
      <c r="B121" s="39"/>
      <c r="C121" s="39"/>
      <c r="D121" s="39"/>
      <c r="E121" s="39"/>
    </row>
    <row r="122" spans="2:5" ht="15.75" customHeight="1" x14ac:dyDescent="0.25">
      <c r="B122" s="39"/>
      <c r="C122" s="39"/>
      <c r="D122" s="39"/>
      <c r="E122" s="39"/>
    </row>
    <row r="123" spans="2:5" ht="15.75" customHeight="1" x14ac:dyDescent="0.25">
      <c r="B123" s="39"/>
      <c r="C123" s="39"/>
      <c r="D123" s="39"/>
      <c r="E123" s="39"/>
    </row>
    <row r="124" spans="2:5" ht="15.75" customHeight="1" x14ac:dyDescent="0.25">
      <c r="B124" s="39"/>
      <c r="C124" s="39"/>
      <c r="D124" s="39"/>
      <c r="E124" s="39"/>
    </row>
    <row r="125" spans="2:5" ht="15.75" customHeight="1" x14ac:dyDescent="0.25">
      <c r="B125" s="39"/>
      <c r="C125" s="39"/>
      <c r="D125" s="39"/>
      <c r="E125" s="39"/>
    </row>
    <row r="126" spans="2:5" ht="15.75" customHeight="1" x14ac:dyDescent="0.25">
      <c r="B126" s="39"/>
      <c r="C126" s="39"/>
      <c r="D126" s="39"/>
      <c r="E126" s="39"/>
    </row>
    <row r="127" spans="2:5" ht="15.75" customHeight="1" x14ac:dyDescent="0.25">
      <c r="B127" s="39"/>
      <c r="C127" s="39"/>
      <c r="D127" s="39"/>
      <c r="E127" s="39"/>
    </row>
    <row r="128" spans="2:5" ht="15.75" customHeight="1" x14ac:dyDescent="0.25">
      <c r="B128" s="39"/>
      <c r="C128" s="39"/>
      <c r="D128" s="39"/>
      <c r="E128" s="39"/>
    </row>
    <row r="129" spans="2:5" ht="15.75" customHeight="1" x14ac:dyDescent="0.25">
      <c r="B129" s="39"/>
      <c r="C129" s="39"/>
      <c r="D129" s="39"/>
      <c r="E129" s="39"/>
    </row>
    <row r="130" spans="2:5" ht="15.75" customHeight="1" x14ac:dyDescent="0.25">
      <c r="B130" s="39"/>
      <c r="C130" s="39"/>
      <c r="D130" s="39"/>
      <c r="E130" s="39"/>
    </row>
    <row r="131" spans="2:5" ht="15.75" customHeight="1" x14ac:dyDescent="0.25">
      <c r="B131" s="39"/>
      <c r="C131" s="39"/>
      <c r="D131" s="39"/>
      <c r="E131" s="39"/>
    </row>
    <row r="132" spans="2:5" ht="15.75" customHeight="1" x14ac:dyDescent="0.25">
      <c r="B132" s="39"/>
      <c r="C132" s="39"/>
      <c r="D132" s="39"/>
      <c r="E132" s="39"/>
    </row>
    <row r="133" spans="2:5" ht="15.75" customHeight="1" x14ac:dyDescent="0.25">
      <c r="B133" s="39"/>
      <c r="C133" s="39"/>
      <c r="D133" s="39"/>
      <c r="E133" s="39"/>
    </row>
    <row r="134" spans="2:5" ht="15.75" customHeight="1" x14ac:dyDescent="0.25">
      <c r="B134" s="39"/>
      <c r="C134" s="39"/>
      <c r="D134" s="39"/>
      <c r="E134" s="39"/>
    </row>
    <row r="135" spans="2:5" ht="15.75" customHeight="1" x14ac:dyDescent="0.25">
      <c r="B135" s="39"/>
      <c r="C135" s="39"/>
      <c r="D135" s="39"/>
      <c r="E135" s="39"/>
    </row>
    <row r="136" spans="2:5" ht="15.75" customHeight="1" x14ac:dyDescent="0.25">
      <c r="B136" s="39"/>
      <c r="C136" s="39"/>
      <c r="D136" s="39"/>
      <c r="E136" s="39"/>
    </row>
    <row r="137" spans="2:5" ht="15.75" customHeight="1" x14ac:dyDescent="0.25">
      <c r="B137" s="39"/>
      <c r="C137" s="39"/>
      <c r="D137" s="39"/>
      <c r="E137" s="39"/>
    </row>
    <row r="138" spans="2:5" ht="15.75" customHeight="1" x14ac:dyDescent="0.25">
      <c r="B138" s="39"/>
      <c r="C138" s="39"/>
      <c r="D138" s="39"/>
      <c r="E138" s="39"/>
    </row>
    <row r="139" spans="2:5" ht="15.75" customHeight="1" x14ac:dyDescent="0.25">
      <c r="B139" s="39"/>
      <c r="C139" s="39"/>
      <c r="D139" s="39"/>
      <c r="E139" s="39"/>
    </row>
    <row r="140" spans="2:5" ht="15.75" customHeight="1" x14ac:dyDescent="0.25">
      <c r="B140" s="39"/>
      <c r="C140" s="39"/>
      <c r="D140" s="39"/>
      <c r="E140" s="39"/>
    </row>
    <row r="141" spans="2:5" ht="15.75" customHeight="1" x14ac:dyDescent="0.25">
      <c r="B141" s="39"/>
      <c r="C141" s="39"/>
      <c r="D141" s="39"/>
      <c r="E141" s="39"/>
    </row>
    <row r="142" spans="2:5" ht="15.75" customHeight="1" x14ac:dyDescent="0.25">
      <c r="B142" s="39"/>
      <c r="C142" s="39"/>
      <c r="D142" s="39"/>
      <c r="E142" s="39"/>
    </row>
    <row r="143" spans="2:5" ht="15.75" customHeight="1" x14ac:dyDescent="0.25">
      <c r="B143" s="39"/>
      <c r="C143" s="39"/>
      <c r="D143" s="39"/>
      <c r="E143" s="39"/>
    </row>
    <row r="144" spans="2:5" ht="15.75" customHeight="1" x14ac:dyDescent="0.25">
      <c r="B144" s="39"/>
      <c r="C144" s="39"/>
      <c r="D144" s="39"/>
      <c r="E144" s="39"/>
    </row>
    <row r="145" spans="2:5" ht="15.75" customHeight="1" x14ac:dyDescent="0.25">
      <c r="B145" s="39"/>
      <c r="C145" s="39"/>
      <c r="D145" s="39"/>
      <c r="E145" s="39"/>
    </row>
    <row r="146" spans="2:5" ht="15.75" customHeight="1" x14ac:dyDescent="0.25">
      <c r="B146" s="39"/>
      <c r="C146" s="39"/>
      <c r="D146" s="39"/>
      <c r="E146" s="39"/>
    </row>
    <row r="147" spans="2:5" ht="15.75" customHeight="1" x14ac:dyDescent="0.25">
      <c r="B147" s="39"/>
      <c r="C147" s="39"/>
      <c r="D147" s="39"/>
      <c r="E147" s="39"/>
    </row>
    <row r="148" spans="2:5" ht="15.75" customHeight="1" x14ac:dyDescent="0.25">
      <c r="B148" s="39"/>
      <c r="C148" s="39"/>
      <c r="D148" s="39"/>
      <c r="E148" s="39"/>
    </row>
    <row r="149" spans="2:5" ht="15.75" customHeight="1" x14ac:dyDescent="0.25">
      <c r="B149" s="39"/>
      <c r="C149" s="39"/>
      <c r="D149" s="39"/>
      <c r="E149" s="39"/>
    </row>
    <row r="150" spans="2:5" ht="15.75" customHeight="1" x14ac:dyDescent="0.25">
      <c r="B150" s="39"/>
      <c r="C150" s="39"/>
      <c r="D150" s="39"/>
      <c r="E150" s="39"/>
    </row>
    <row r="151" spans="2:5" ht="15.75" customHeight="1" x14ac:dyDescent="0.25">
      <c r="B151" s="39"/>
      <c r="C151" s="39"/>
      <c r="D151" s="39"/>
      <c r="E151" s="39"/>
    </row>
    <row r="152" spans="2:5" ht="15.75" customHeight="1" x14ac:dyDescent="0.25">
      <c r="B152" s="39"/>
      <c r="C152" s="39"/>
      <c r="D152" s="39"/>
      <c r="E152" s="39"/>
    </row>
    <row r="153" spans="2:5" ht="15.75" customHeight="1" x14ac:dyDescent="0.25">
      <c r="B153" s="39"/>
      <c r="C153" s="39"/>
      <c r="D153" s="39"/>
      <c r="E153" s="39"/>
    </row>
    <row r="154" spans="2:5" ht="15.75" customHeight="1" x14ac:dyDescent="0.25">
      <c r="B154" s="39"/>
      <c r="C154" s="39"/>
      <c r="D154" s="39"/>
      <c r="E154" s="39"/>
    </row>
    <row r="155" spans="2:5" ht="15.75" customHeight="1" x14ac:dyDescent="0.25">
      <c r="B155" s="39"/>
      <c r="C155" s="39"/>
      <c r="D155" s="39"/>
      <c r="E155" s="39"/>
    </row>
    <row r="156" spans="2:5" ht="15.75" customHeight="1" x14ac:dyDescent="0.25">
      <c r="B156" s="39"/>
      <c r="C156" s="39"/>
      <c r="D156" s="39"/>
      <c r="E156" s="39"/>
    </row>
    <row r="157" spans="2:5" ht="15.75" customHeight="1" x14ac:dyDescent="0.25">
      <c r="B157" s="39"/>
      <c r="C157" s="39"/>
      <c r="D157" s="39"/>
      <c r="E157" s="39"/>
    </row>
    <row r="158" spans="2:5" ht="15.75" customHeight="1" x14ac:dyDescent="0.25">
      <c r="B158" s="39"/>
      <c r="C158" s="39"/>
      <c r="D158" s="39"/>
      <c r="E158" s="39"/>
    </row>
    <row r="159" spans="2:5" ht="15.75" customHeight="1" x14ac:dyDescent="0.25">
      <c r="B159" s="39"/>
      <c r="C159" s="39"/>
      <c r="D159" s="39"/>
      <c r="E159" s="39"/>
    </row>
    <row r="160" spans="2:5" ht="15.75" customHeight="1" x14ac:dyDescent="0.25">
      <c r="B160" s="39"/>
      <c r="C160" s="39"/>
      <c r="D160" s="39"/>
      <c r="E160" s="39"/>
    </row>
    <row r="161" spans="2:5" ht="15.75" customHeight="1" x14ac:dyDescent="0.25">
      <c r="B161" s="39"/>
      <c r="C161" s="39"/>
      <c r="D161" s="39"/>
      <c r="E161" s="39"/>
    </row>
    <row r="162" spans="2:5" ht="15.75" customHeight="1" x14ac:dyDescent="0.25">
      <c r="B162" s="39"/>
      <c r="C162" s="39"/>
      <c r="D162" s="39"/>
      <c r="E162" s="39"/>
    </row>
    <row r="163" spans="2:5" ht="15.75" customHeight="1" x14ac:dyDescent="0.25">
      <c r="B163" s="39"/>
      <c r="C163" s="39"/>
      <c r="D163" s="39"/>
      <c r="E163" s="39"/>
    </row>
    <row r="164" spans="2:5" ht="15.75" customHeight="1" x14ac:dyDescent="0.25">
      <c r="B164" s="39"/>
      <c r="C164" s="39"/>
      <c r="D164" s="39"/>
      <c r="E164" s="39"/>
    </row>
    <row r="165" spans="2:5" ht="15.75" customHeight="1" x14ac:dyDescent="0.25">
      <c r="B165" s="39"/>
      <c r="C165" s="39"/>
      <c r="D165" s="39"/>
      <c r="E165" s="39"/>
    </row>
    <row r="166" spans="2:5" ht="15.75" customHeight="1" x14ac:dyDescent="0.25">
      <c r="B166" s="39"/>
      <c r="C166" s="39"/>
      <c r="D166" s="39"/>
      <c r="E166" s="39"/>
    </row>
    <row r="167" spans="2:5" ht="15.75" customHeight="1" x14ac:dyDescent="0.25">
      <c r="B167" s="39"/>
      <c r="C167" s="39"/>
      <c r="D167" s="39"/>
      <c r="E167" s="39"/>
    </row>
    <row r="168" spans="2:5" ht="15.75" customHeight="1" x14ac:dyDescent="0.25">
      <c r="B168" s="39"/>
      <c r="C168" s="39"/>
      <c r="D168" s="39"/>
      <c r="E168" s="39"/>
    </row>
    <row r="169" spans="2:5" ht="15.75" customHeight="1" x14ac:dyDescent="0.25">
      <c r="B169" s="39"/>
      <c r="C169" s="39"/>
      <c r="D169" s="39"/>
      <c r="E169" s="39"/>
    </row>
    <row r="170" spans="2:5" ht="15.75" customHeight="1" x14ac:dyDescent="0.25">
      <c r="B170" s="39"/>
      <c r="C170" s="39"/>
      <c r="D170" s="39"/>
      <c r="E170" s="39"/>
    </row>
    <row r="171" spans="2:5" ht="15.75" customHeight="1" x14ac:dyDescent="0.25">
      <c r="B171" s="39"/>
      <c r="C171" s="39"/>
      <c r="D171" s="39"/>
      <c r="E171" s="39"/>
    </row>
    <row r="172" spans="2:5" ht="15.75" customHeight="1" x14ac:dyDescent="0.25">
      <c r="B172" s="39"/>
      <c r="C172" s="39"/>
      <c r="D172" s="39"/>
      <c r="E172" s="39"/>
    </row>
    <row r="173" spans="2:5" ht="15.75" customHeight="1" x14ac:dyDescent="0.25">
      <c r="B173" s="39"/>
      <c r="C173" s="39"/>
      <c r="D173" s="39"/>
      <c r="E173" s="39"/>
    </row>
    <row r="174" spans="2:5" ht="15.75" customHeight="1" x14ac:dyDescent="0.25">
      <c r="B174" s="39"/>
      <c r="C174" s="39"/>
      <c r="D174" s="39"/>
      <c r="E174" s="39"/>
    </row>
    <row r="175" spans="2:5" ht="15.75" customHeight="1" x14ac:dyDescent="0.25">
      <c r="B175" s="39"/>
      <c r="C175" s="39"/>
      <c r="D175" s="39"/>
      <c r="E175" s="39"/>
    </row>
    <row r="176" spans="2:5" ht="15.75" customHeight="1" x14ac:dyDescent="0.25">
      <c r="B176" s="39"/>
      <c r="C176" s="39"/>
      <c r="D176" s="39"/>
      <c r="E176" s="39"/>
    </row>
    <row r="177" spans="2:5" ht="15.75" customHeight="1" x14ac:dyDescent="0.25">
      <c r="B177" s="39"/>
      <c r="C177" s="39"/>
      <c r="D177" s="39"/>
      <c r="E177" s="39"/>
    </row>
    <row r="178" spans="2:5" ht="15.75" customHeight="1" x14ac:dyDescent="0.25">
      <c r="B178" s="39"/>
      <c r="C178" s="39"/>
      <c r="D178" s="39"/>
      <c r="E178" s="39"/>
    </row>
    <row r="179" spans="2:5" ht="15.75" customHeight="1" x14ac:dyDescent="0.25">
      <c r="B179" s="39"/>
      <c r="C179" s="39"/>
      <c r="D179" s="39"/>
      <c r="E179" s="39"/>
    </row>
    <row r="180" spans="2:5" ht="15.75" customHeight="1" x14ac:dyDescent="0.25">
      <c r="B180" s="39"/>
      <c r="C180" s="39"/>
      <c r="D180" s="39"/>
      <c r="E180" s="39"/>
    </row>
    <row r="181" spans="2:5" ht="15.75" customHeight="1" x14ac:dyDescent="0.25">
      <c r="B181" s="39"/>
      <c r="C181" s="39"/>
      <c r="D181" s="39"/>
      <c r="E181" s="39"/>
    </row>
    <row r="182" spans="2:5" ht="15.75" customHeight="1" x14ac:dyDescent="0.25">
      <c r="B182" s="39"/>
      <c r="C182" s="39"/>
      <c r="D182" s="39"/>
      <c r="E182" s="39"/>
    </row>
    <row r="183" spans="2:5" ht="15.75" customHeight="1" x14ac:dyDescent="0.25">
      <c r="B183" s="39"/>
      <c r="C183" s="39"/>
      <c r="D183" s="39"/>
      <c r="E183" s="39"/>
    </row>
    <row r="184" spans="2:5" ht="15.75" customHeight="1" x14ac:dyDescent="0.25">
      <c r="B184" s="39"/>
      <c r="C184" s="39"/>
      <c r="D184" s="39"/>
      <c r="E184" s="39"/>
    </row>
    <row r="185" spans="2:5" ht="15.75" customHeight="1" x14ac:dyDescent="0.25">
      <c r="B185" s="39"/>
      <c r="C185" s="39"/>
      <c r="D185" s="39"/>
      <c r="E185" s="39"/>
    </row>
    <row r="186" spans="2:5" ht="15.75" customHeight="1" x14ac:dyDescent="0.25">
      <c r="B186" s="39"/>
      <c r="C186" s="39"/>
      <c r="D186" s="39"/>
      <c r="E186" s="39"/>
    </row>
    <row r="187" spans="2:5" ht="15.75" customHeight="1" x14ac:dyDescent="0.25">
      <c r="B187" s="39"/>
      <c r="C187" s="39"/>
      <c r="D187" s="39"/>
      <c r="E187" s="39"/>
    </row>
    <row r="188" spans="2:5" ht="15.75" customHeight="1" x14ac:dyDescent="0.25">
      <c r="B188" s="39"/>
      <c r="C188" s="39"/>
      <c r="D188" s="39"/>
      <c r="E188" s="39"/>
    </row>
    <row r="189" spans="2:5" ht="15.75" customHeight="1" x14ac:dyDescent="0.25">
      <c r="B189" s="39"/>
      <c r="C189" s="39"/>
      <c r="D189" s="39"/>
      <c r="E189" s="39"/>
    </row>
    <row r="190" spans="2:5" ht="15.75" customHeight="1" x14ac:dyDescent="0.25">
      <c r="B190" s="39"/>
      <c r="C190" s="39"/>
      <c r="D190" s="39"/>
      <c r="E190" s="39"/>
    </row>
    <row r="191" spans="2:5" ht="15.75" customHeight="1" x14ac:dyDescent="0.25">
      <c r="B191" s="39"/>
      <c r="C191" s="39"/>
      <c r="D191" s="39"/>
      <c r="E191" s="39"/>
    </row>
    <row r="192" spans="2:5" ht="15.75" customHeight="1" x14ac:dyDescent="0.25">
      <c r="B192" s="39"/>
      <c r="C192" s="39"/>
      <c r="D192" s="39"/>
      <c r="E192" s="39"/>
    </row>
    <row r="193" spans="2:5" ht="15.75" customHeight="1" x14ac:dyDescent="0.25">
      <c r="B193" s="39"/>
      <c r="C193" s="39"/>
      <c r="D193" s="39"/>
      <c r="E193" s="39"/>
    </row>
    <row r="194" spans="2:5" ht="15.75" customHeight="1" x14ac:dyDescent="0.25">
      <c r="B194" s="39"/>
      <c r="C194" s="39"/>
      <c r="D194" s="39"/>
      <c r="E194" s="39"/>
    </row>
    <row r="195" spans="2:5" ht="15.75" customHeight="1" x14ac:dyDescent="0.25">
      <c r="B195" s="39"/>
      <c r="C195" s="39"/>
      <c r="D195" s="39"/>
      <c r="E195" s="39"/>
    </row>
    <row r="196" spans="2:5" ht="15.75" customHeight="1" x14ac:dyDescent="0.25">
      <c r="B196" s="39"/>
      <c r="C196" s="39"/>
      <c r="D196" s="39"/>
      <c r="E196" s="39"/>
    </row>
    <row r="197" spans="2:5" ht="15.75" customHeight="1" x14ac:dyDescent="0.25">
      <c r="B197" s="39"/>
      <c r="C197" s="39"/>
      <c r="D197" s="39"/>
      <c r="E197" s="39"/>
    </row>
    <row r="198" spans="2:5" ht="15.75" customHeight="1" x14ac:dyDescent="0.25">
      <c r="B198" s="39"/>
      <c r="C198" s="39"/>
      <c r="D198" s="39"/>
      <c r="E198" s="39"/>
    </row>
    <row r="199" spans="2:5" ht="15.75" customHeight="1" x14ac:dyDescent="0.25">
      <c r="B199" s="39"/>
      <c r="C199" s="39"/>
      <c r="D199" s="39"/>
      <c r="E199" s="39"/>
    </row>
    <row r="200" spans="2:5" ht="15.75" customHeight="1" x14ac:dyDescent="0.25">
      <c r="B200" s="39"/>
      <c r="C200" s="39"/>
      <c r="D200" s="39"/>
      <c r="E200" s="39"/>
    </row>
    <row r="201" spans="2:5" ht="15.75" customHeight="1" x14ac:dyDescent="0.25">
      <c r="B201" s="39"/>
      <c r="C201" s="39"/>
      <c r="D201" s="39"/>
      <c r="E201" s="39"/>
    </row>
    <row r="202" spans="2:5" ht="15.75" customHeight="1" x14ac:dyDescent="0.25">
      <c r="B202" s="39"/>
      <c r="C202" s="39"/>
      <c r="D202" s="39"/>
      <c r="E202" s="39"/>
    </row>
    <row r="203" spans="2:5" ht="15.75" customHeight="1" x14ac:dyDescent="0.25">
      <c r="B203" s="39"/>
      <c r="C203" s="39"/>
      <c r="D203" s="39"/>
      <c r="E203" s="39"/>
    </row>
    <row r="204" spans="2:5" ht="15.75" customHeight="1" x14ac:dyDescent="0.25">
      <c r="B204" s="39"/>
      <c r="C204" s="39"/>
      <c r="D204" s="39"/>
      <c r="E204" s="39"/>
    </row>
    <row r="205" spans="2:5" ht="15.75" customHeight="1" x14ac:dyDescent="0.25">
      <c r="B205" s="39"/>
      <c r="C205" s="39"/>
      <c r="D205" s="39"/>
      <c r="E205" s="39"/>
    </row>
    <row r="206" spans="2:5" ht="15.75" customHeight="1" x14ac:dyDescent="0.25">
      <c r="B206" s="39"/>
      <c r="C206" s="39"/>
      <c r="D206" s="39"/>
      <c r="E206" s="39"/>
    </row>
    <row r="207" spans="2:5" ht="15.75" customHeight="1" x14ac:dyDescent="0.25">
      <c r="B207" s="39"/>
      <c r="C207" s="39"/>
      <c r="D207" s="39"/>
      <c r="E207" s="39"/>
    </row>
    <row r="208" spans="2:5" ht="15.75" customHeight="1" x14ac:dyDescent="0.25">
      <c r="B208" s="39"/>
      <c r="C208" s="39"/>
      <c r="D208" s="39"/>
      <c r="E208" s="39"/>
    </row>
    <row r="209" spans="2:5" ht="15.75" customHeight="1" x14ac:dyDescent="0.25">
      <c r="B209" s="39"/>
      <c r="C209" s="39"/>
      <c r="D209" s="39"/>
      <c r="E209" s="39"/>
    </row>
    <row r="210" spans="2:5" ht="15.75" customHeight="1" x14ac:dyDescent="0.25">
      <c r="B210" s="39"/>
      <c r="C210" s="39"/>
      <c r="D210" s="39"/>
      <c r="E210" s="39"/>
    </row>
    <row r="211" spans="2:5" ht="15.75" customHeight="1" x14ac:dyDescent="0.25">
      <c r="B211" s="39"/>
      <c r="C211" s="39"/>
      <c r="D211" s="39"/>
      <c r="E211" s="39"/>
    </row>
    <row r="212" spans="2:5" ht="15.75" customHeight="1" x14ac:dyDescent="0.25">
      <c r="B212" s="39"/>
      <c r="C212" s="39"/>
      <c r="D212" s="39"/>
      <c r="E212" s="39"/>
    </row>
    <row r="213" spans="2:5" ht="15.75" customHeight="1" x14ac:dyDescent="0.25">
      <c r="B213" s="39"/>
      <c r="C213" s="39"/>
      <c r="D213" s="39"/>
      <c r="E213" s="39"/>
    </row>
    <row r="214" spans="2:5" ht="15.75" customHeight="1" x14ac:dyDescent="0.25">
      <c r="B214" s="39"/>
      <c r="C214" s="39"/>
      <c r="D214" s="39"/>
      <c r="E214" s="39"/>
    </row>
    <row r="215" spans="2:5" ht="15.75" customHeight="1" x14ac:dyDescent="0.25">
      <c r="B215" s="39"/>
      <c r="C215" s="39"/>
      <c r="D215" s="39"/>
      <c r="E215" s="39"/>
    </row>
    <row r="216" spans="2:5" ht="15.75" customHeight="1" x14ac:dyDescent="0.25">
      <c r="B216" s="39"/>
      <c r="C216" s="39"/>
      <c r="D216" s="39"/>
      <c r="E216" s="39"/>
    </row>
    <row r="217" spans="2:5" ht="15.75" customHeight="1" x14ac:dyDescent="0.25">
      <c r="B217" s="39"/>
      <c r="C217" s="39"/>
      <c r="D217" s="39"/>
      <c r="E217" s="39"/>
    </row>
    <row r="218" spans="2:5" ht="15.75" customHeight="1" x14ac:dyDescent="0.25">
      <c r="B218" s="39"/>
      <c r="C218" s="39"/>
      <c r="D218" s="39"/>
      <c r="E218" s="39"/>
    </row>
    <row r="219" spans="2:5" ht="15.75" customHeight="1" x14ac:dyDescent="0.25">
      <c r="B219" s="39"/>
      <c r="C219" s="39"/>
      <c r="D219" s="39"/>
      <c r="E219" s="39"/>
    </row>
    <row r="220" spans="2:5" ht="15.75" customHeight="1" x14ac:dyDescent="0.25">
      <c r="B220" s="39"/>
      <c r="C220" s="39"/>
      <c r="D220" s="39"/>
      <c r="E220" s="39"/>
    </row>
    <row r="221" spans="2:5" ht="15.75" customHeight="1" x14ac:dyDescent="0.25">
      <c r="B221" s="39"/>
      <c r="C221" s="39"/>
      <c r="D221" s="39"/>
      <c r="E221" s="39"/>
    </row>
    <row r="222" spans="2:5" ht="15.75" customHeight="1" x14ac:dyDescent="0.25">
      <c r="B222" s="39"/>
      <c r="C222" s="39"/>
      <c r="D222" s="39"/>
      <c r="E222" s="39"/>
    </row>
    <row r="223" spans="2:5" ht="15.75" customHeight="1" x14ac:dyDescent="0.25">
      <c r="B223" s="39"/>
      <c r="C223" s="39"/>
      <c r="D223" s="39"/>
      <c r="E223" s="39"/>
    </row>
    <row r="224" spans="2:5" ht="15.75" customHeight="1" x14ac:dyDescent="0.25">
      <c r="B224" s="39"/>
      <c r="C224" s="39"/>
      <c r="D224" s="39"/>
      <c r="E224" s="39"/>
    </row>
    <row r="225" spans="2:5" ht="15.75" customHeight="1" x14ac:dyDescent="0.25">
      <c r="B225" s="39"/>
      <c r="C225" s="39"/>
      <c r="D225" s="39"/>
      <c r="E225" s="39"/>
    </row>
    <row r="226" spans="2:5" ht="15.75" customHeight="1" x14ac:dyDescent="0.25">
      <c r="B226" s="39"/>
      <c r="C226" s="39"/>
      <c r="D226" s="39"/>
      <c r="E226" s="39"/>
    </row>
    <row r="227" spans="2:5" ht="15.75" customHeight="1" x14ac:dyDescent="0.25">
      <c r="B227" s="39"/>
      <c r="C227" s="39"/>
      <c r="D227" s="39"/>
      <c r="E227" s="39"/>
    </row>
    <row r="228" spans="2:5" ht="15.75" customHeight="1" x14ac:dyDescent="0.25">
      <c r="B228" s="39"/>
      <c r="C228" s="39"/>
      <c r="D228" s="39"/>
      <c r="E228" s="39"/>
    </row>
    <row r="229" spans="2:5" ht="15.75" customHeight="1" x14ac:dyDescent="0.25">
      <c r="B229" s="39"/>
      <c r="C229" s="39"/>
      <c r="D229" s="39"/>
      <c r="E229" s="39"/>
    </row>
    <row r="230" spans="2:5" ht="15.75" customHeight="1" x14ac:dyDescent="0.25">
      <c r="B230" s="39"/>
      <c r="C230" s="39"/>
      <c r="D230" s="39"/>
      <c r="E230" s="39"/>
    </row>
    <row r="231" spans="2:5" ht="15.75" customHeight="1" x14ac:dyDescent="0.25">
      <c r="B231" s="39"/>
      <c r="C231" s="39"/>
      <c r="D231" s="39"/>
      <c r="E231" s="39"/>
    </row>
    <row r="232" spans="2:5" ht="15.75" customHeight="1" x14ac:dyDescent="0.25">
      <c r="B232" s="39"/>
      <c r="C232" s="39"/>
      <c r="D232" s="39"/>
      <c r="E232" s="39"/>
    </row>
    <row r="233" spans="2:5" ht="15.75" customHeight="1" x14ac:dyDescent="0.25">
      <c r="B233" s="39"/>
      <c r="C233" s="39"/>
      <c r="D233" s="39"/>
      <c r="E233" s="39"/>
    </row>
    <row r="234" spans="2:5" ht="15.75" customHeight="1" x14ac:dyDescent="0.25">
      <c r="B234" s="39"/>
      <c r="C234" s="39"/>
      <c r="D234" s="39"/>
      <c r="E234" s="39"/>
    </row>
    <row r="235" spans="2:5" ht="15.75" customHeight="1" x14ac:dyDescent="0.25">
      <c r="B235" s="39"/>
      <c r="C235" s="39"/>
      <c r="D235" s="39"/>
      <c r="E235" s="39"/>
    </row>
    <row r="236" spans="2:5" ht="15.75" customHeight="1" x14ac:dyDescent="0.25">
      <c r="B236" s="39"/>
      <c r="C236" s="39"/>
      <c r="D236" s="39"/>
      <c r="E236" s="39"/>
    </row>
    <row r="237" spans="2:5" ht="15.75" customHeight="1" x14ac:dyDescent="0.25">
      <c r="B237" s="39"/>
      <c r="C237" s="39"/>
      <c r="D237" s="39"/>
      <c r="E237" s="39"/>
    </row>
    <row r="238" spans="2:5" ht="15.75" customHeight="1" x14ac:dyDescent="0.25">
      <c r="B238" s="39"/>
      <c r="C238" s="39"/>
      <c r="D238" s="39"/>
      <c r="E238" s="39"/>
    </row>
    <row r="239" spans="2:5" ht="15.75" customHeight="1" x14ac:dyDescent="0.25">
      <c r="B239" s="39"/>
      <c r="C239" s="39"/>
      <c r="D239" s="39"/>
      <c r="E239" s="39"/>
    </row>
    <row r="240" spans="2:5" ht="15.75" customHeight="1" x14ac:dyDescent="0.25">
      <c r="B240" s="39"/>
      <c r="C240" s="39"/>
      <c r="D240" s="39"/>
      <c r="E240" s="39"/>
    </row>
    <row r="241" spans="2:5" ht="15.75" customHeight="1" x14ac:dyDescent="0.25">
      <c r="B241" s="39"/>
      <c r="C241" s="39"/>
      <c r="D241" s="39"/>
      <c r="E241" s="39"/>
    </row>
    <row r="242" spans="2:5" ht="15.75" customHeight="1" x14ac:dyDescent="0.25">
      <c r="B242" s="39"/>
      <c r="C242" s="39"/>
      <c r="D242" s="39"/>
      <c r="E242" s="39"/>
    </row>
    <row r="243" spans="2:5" ht="15.75" customHeight="1" x14ac:dyDescent="0.25">
      <c r="B243" s="39"/>
      <c r="C243" s="39"/>
      <c r="D243" s="39"/>
      <c r="E243" s="39"/>
    </row>
    <row r="244" spans="2:5" ht="15.75" customHeight="1" x14ac:dyDescent="0.25">
      <c r="B244" s="39"/>
      <c r="C244" s="39"/>
      <c r="D244" s="39"/>
      <c r="E244" s="39"/>
    </row>
    <row r="245" spans="2:5" ht="15.75" customHeight="1" x14ac:dyDescent="0.25">
      <c r="B245" s="39"/>
      <c r="C245" s="39"/>
      <c r="D245" s="39"/>
      <c r="E245" s="39"/>
    </row>
    <row r="246" spans="2:5" ht="15.75" customHeight="1" x14ac:dyDescent="0.25">
      <c r="B246" s="39"/>
      <c r="C246" s="39"/>
      <c r="D246" s="39"/>
      <c r="E246" s="39"/>
    </row>
    <row r="247" spans="2:5" ht="15.75" customHeight="1" x14ac:dyDescent="0.25">
      <c r="B247" s="39"/>
      <c r="C247" s="39"/>
      <c r="D247" s="39"/>
      <c r="E247" s="39"/>
    </row>
    <row r="248" spans="2:5" ht="15.75" customHeight="1" x14ac:dyDescent="0.25">
      <c r="B248" s="39"/>
      <c r="C248" s="39"/>
      <c r="D248" s="39"/>
      <c r="E248" s="39"/>
    </row>
    <row r="249" spans="2:5" ht="15.75" customHeight="1" x14ac:dyDescent="0.25">
      <c r="B249" s="39"/>
      <c r="C249" s="39"/>
      <c r="D249" s="39"/>
      <c r="E249" s="39"/>
    </row>
    <row r="250" spans="2:5" ht="15.75" customHeight="1" x14ac:dyDescent="0.25">
      <c r="B250" s="39"/>
      <c r="C250" s="39"/>
      <c r="D250" s="39"/>
      <c r="E250" s="39"/>
    </row>
    <row r="251" spans="2:5" ht="15.75" customHeight="1" x14ac:dyDescent="0.25">
      <c r="B251" s="39"/>
      <c r="C251" s="39"/>
      <c r="D251" s="39"/>
      <c r="E251" s="39"/>
    </row>
    <row r="252" spans="2:5" ht="15.75" customHeight="1" x14ac:dyDescent="0.25">
      <c r="B252" s="39"/>
      <c r="C252" s="39"/>
      <c r="D252" s="39"/>
      <c r="E252" s="39"/>
    </row>
    <row r="253" spans="2:5" ht="15.75" customHeight="1" x14ac:dyDescent="0.25">
      <c r="B253" s="39"/>
      <c r="C253" s="39"/>
      <c r="D253" s="39"/>
      <c r="E253" s="39"/>
    </row>
    <row r="254" spans="2:5" ht="15.75" customHeight="1" x14ac:dyDescent="0.25">
      <c r="B254" s="39"/>
      <c r="C254" s="39"/>
      <c r="D254" s="39"/>
      <c r="E254" s="39"/>
    </row>
    <row r="255" spans="2:5" ht="15.75" customHeight="1" x14ac:dyDescent="0.25">
      <c r="B255" s="39"/>
      <c r="C255" s="39"/>
      <c r="D255" s="39"/>
      <c r="E255" s="39"/>
    </row>
    <row r="256" spans="2:5" ht="15.75" customHeight="1" x14ac:dyDescent="0.25">
      <c r="B256" s="39"/>
      <c r="C256" s="39"/>
      <c r="D256" s="39"/>
      <c r="E256" s="39"/>
    </row>
    <row r="257" spans="2:5" ht="15.75" customHeight="1" x14ac:dyDescent="0.25">
      <c r="B257" s="39"/>
      <c r="C257" s="39"/>
      <c r="D257" s="39"/>
      <c r="E257" s="39"/>
    </row>
    <row r="258" spans="2:5" ht="15.75" customHeight="1" x14ac:dyDescent="0.25">
      <c r="B258" s="39"/>
      <c r="C258" s="39"/>
      <c r="D258" s="39"/>
      <c r="E258" s="39"/>
    </row>
    <row r="259" spans="2:5" ht="15.75" customHeight="1" x14ac:dyDescent="0.25">
      <c r="B259" s="39"/>
      <c r="C259" s="39"/>
      <c r="D259" s="39"/>
      <c r="E259" s="39"/>
    </row>
    <row r="260" spans="2:5" ht="15.75" customHeight="1" x14ac:dyDescent="0.25">
      <c r="B260" s="39"/>
      <c r="C260" s="39"/>
      <c r="D260" s="39"/>
      <c r="E260" s="39"/>
    </row>
    <row r="261" spans="2:5" ht="15.75" customHeight="1" x14ac:dyDescent="0.25">
      <c r="B261" s="39"/>
      <c r="C261" s="39"/>
      <c r="D261" s="39"/>
      <c r="E261" s="39"/>
    </row>
    <row r="262" spans="2:5" ht="15.75" customHeight="1" x14ac:dyDescent="0.25">
      <c r="B262" s="39"/>
      <c r="C262" s="39"/>
      <c r="D262" s="39"/>
      <c r="E262" s="39"/>
    </row>
    <row r="263" spans="2:5" ht="15.75" customHeight="1" x14ac:dyDescent="0.25">
      <c r="B263" s="39"/>
      <c r="C263" s="39"/>
      <c r="D263" s="39"/>
      <c r="E263" s="39"/>
    </row>
    <row r="264" spans="2:5" ht="15.75" customHeight="1" x14ac:dyDescent="0.25">
      <c r="B264" s="39"/>
      <c r="C264" s="39"/>
      <c r="D264" s="39"/>
      <c r="E264" s="39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625" defaultRowHeight="15" customHeight="1" x14ac:dyDescent="0.2"/>
  <cols>
    <col min="1" max="1" width="6.375" customWidth="1"/>
    <col min="2" max="2" width="13.125" customWidth="1"/>
    <col min="3" max="3" width="17" customWidth="1"/>
    <col min="4" max="4" width="13.25" customWidth="1"/>
    <col min="5" max="5" width="17.125" customWidth="1"/>
    <col min="6" max="6" width="7.625" customWidth="1"/>
    <col min="7" max="10" width="9.875" customWidth="1"/>
  </cols>
  <sheetData>
    <row r="1" spans="1:10" x14ac:dyDescent="0.25">
      <c r="A1" s="40" t="s">
        <v>28</v>
      </c>
      <c r="B1" s="40" t="s">
        <v>29</v>
      </c>
      <c r="C1" s="40" t="s">
        <v>30</v>
      </c>
      <c r="D1" s="40" t="s">
        <v>4</v>
      </c>
      <c r="E1" s="40" t="s">
        <v>6</v>
      </c>
    </row>
    <row r="2" spans="1:10" ht="15" customHeight="1" x14ac:dyDescent="0.25">
      <c r="A2" s="41">
        <v>44562</v>
      </c>
      <c r="B2" s="42">
        <v>16.716565246577233</v>
      </c>
      <c r="C2" s="42">
        <v>194.64684681323442</v>
      </c>
      <c r="D2" s="42">
        <v>456.83560544271063</v>
      </c>
      <c r="E2" s="42">
        <v>822.70683914142001</v>
      </c>
    </row>
    <row r="3" spans="1:10" ht="15" customHeight="1" x14ac:dyDescent="0.25">
      <c r="A3" s="43">
        <v>44593</v>
      </c>
      <c r="B3" s="44">
        <v>15.784559775413815</v>
      </c>
      <c r="C3" s="44">
        <v>187.79899809726606</v>
      </c>
      <c r="D3" s="44">
        <v>483.79139512706575</v>
      </c>
      <c r="E3" s="44">
        <v>825.61504190628762</v>
      </c>
    </row>
    <row r="4" spans="1:10" ht="15" customHeight="1" x14ac:dyDescent="0.25">
      <c r="A4" s="41">
        <v>44621</v>
      </c>
      <c r="B4" s="42">
        <v>26.911396872787012</v>
      </c>
      <c r="C4" s="42">
        <v>217.53744848417853</v>
      </c>
      <c r="D4" s="42">
        <v>685.63219414539878</v>
      </c>
      <c r="E4" s="42">
        <v>984.69755801193855</v>
      </c>
      <c r="H4" s="45"/>
      <c r="I4" s="46"/>
      <c r="J4" s="46"/>
    </row>
    <row r="5" spans="1:10" ht="15" customHeight="1" x14ac:dyDescent="0.25">
      <c r="A5" s="43">
        <v>44652</v>
      </c>
      <c r="B5" s="44">
        <v>28.240023119751562</v>
      </c>
      <c r="C5" s="44">
        <v>217.21945506281833</v>
      </c>
      <c r="D5" s="44">
        <v>708.48497132594048</v>
      </c>
      <c r="E5" s="44">
        <v>940.07307275651499</v>
      </c>
      <c r="H5" s="45"/>
      <c r="I5" s="46"/>
      <c r="J5" s="46"/>
    </row>
    <row r="6" spans="1:10" ht="15" customHeight="1" x14ac:dyDescent="0.25">
      <c r="A6" s="41">
        <v>44682</v>
      </c>
      <c r="B6" s="42">
        <v>23.6741870636959</v>
      </c>
      <c r="C6" s="42">
        <v>180.99792168689862</v>
      </c>
      <c r="D6" s="42">
        <v>629.3865438873878</v>
      </c>
      <c r="E6" s="42">
        <v>801.06325720102438</v>
      </c>
      <c r="H6" s="45"/>
      <c r="I6" s="46"/>
      <c r="J6" s="46"/>
    </row>
    <row r="7" spans="1:10" ht="15" customHeight="1" x14ac:dyDescent="0.25">
      <c r="A7" s="43">
        <v>44713</v>
      </c>
      <c r="B7" s="44">
        <v>20.993874103254804</v>
      </c>
      <c r="C7" s="44">
        <v>162.78392165371713</v>
      </c>
      <c r="D7" s="44">
        <v>539.05664878004825</v>
      </c>
      <c r="E7" s="44">
        <v>631.1165912938925</v>
      </c>
      <c r="H7" s="45"/>
    </row>
    <row r="8" spans="1:10" ht="15" customHeight="1" x14ac:dyDescent="0.25">
      <c r="A8" s="41">
        <v>44743</v>
      </c>
      <c r="B8" s="42">
        <v>18.428219003297496</v>
      </c>
      <c r="C8" s="42">
        <v>151.78523476281271</v>
      </c>
      <c r="D8" s="42">
        <v>497.73798980829872</v>
      </c>
      <c r="E8" s="42">
        <v>622.8820556635161</v>
      </c>
    </row>
    <row r="9" spans="1:10" ht="15" customHeight="1" x14ac:dyDescent="0.25">
      <c r="A9" s="43">
        <v>44774</v>
      </c>
      <c r="B9" s="44">
        <v>19.112337472529241</v>
      </c>
      <c r="C9" s="44">
        <v>152.31798027659792</v>
      </c>
      <c r="D9" s="44">
        <v>487.7707823056997</v>
      </c>
      <c r="E9" s="44">
        <v>573.784175159744</v>
      </c>
    </row>
    <row r="10" spans="1:10" ht="15" customHeight="1" x14ac:dyDescent="0.25">
      <c r="A10" s="41">
        <v>44805</v>
      </c>
      <c r="B10" s="42">
        <v>22.351702773777834</v>
      </c>
      <c r="C10" s="42">
        <v>170.91279632153382</v>
      </c>
      <c r="D10" s="42">
        <v>603.92587796872044</v>
      </c>
      <c r="E10" s="42">
        <v>752.18315860677558</v>
      </c>
    </row>
    <row r="11" spans="1:10" ht="15" customHeight="1" x14ac:dyDescent="0.25">
      <c r="A11" s="43">
        <v>44835</v>
      </c>
      <c r="B11" s="44">
        <v>22.211152945699755</v>
      </c>
      <c r="C11" s="44">
        <v>177.31909372395415</v>
      </c>
      <c r="D11" s="44">
        <v>590.56067974328903</v>
      </c>
      <c r="E11" s="44">
        <v>706.06131257375318</v>
      </c>
    </row>
    <row r="12" spans="1:10" ht="15" customHeight="1" x14ac:dyDescent="0.25">
      <c r="A12" s="41">
        <v>44866</v>
      </c>
      <c r="B12" s="42">
        <v>21.221925382575741</v>
      </c>
      <c r="C12" s="42">
        <v>179.74015312842133</v>
      </c>
      <c r="D12" s="42">
        <v>642.64376179960107</v>
      </c>
      <c r="E12" s="42">
        <v>849.00325438381606</v>
      </c>
    </row>
    <row r="13" spans="1:10" ht="15" customHeight="1" x14ac:dyDescent="0.25">
      <c r="A13" s="43">
        <v>44896</v>
      </c>
      <c r="B13" s="44">
        <v>22.943476220913901</v>
      </c>
      <c r="C13" s="44">
        <v>208.52308521332046</v>
      </c>
      <c r="D13" s="44">
        <v>647.97354906242458</v>
      </c>
      <c r="E13" s="44">
        <v>865.53552560362925</v>
      </c>
    </row>
    <row r="14" spans="1:10" ht="15" customHeight="1" x14ac:dyDescent="0.25">
      <c r="A14" s="41">
        <v>44927</v>
      </c>
      <c r="B14" s="42">
        <v>17.55798802729273</v>
      </c>
      <c r="C14" s="42">
        <v>200.825243822506</v>
      </c>
      <c r="D14" s="42">
        <v>482.33597076604087</v>
      </c>
      <c r="E14" s="42">
        <v>848.24147179123997</v>
      </c>
    </row>
    <row r="15" spans="1:10" ht="15" customHeight="1" x14ac:dyDescent="0.25">
      <c r="A15" s="43">
        <v>44958</v>
      </c>
      <c r="B15" s="44">
        <v>16.625982556129312</v>
      </c>
      <c r="C15" s="44">
        <v>193.97739510653767</v>
      </c>
      <c r="D15" s="44">
        <v>509.291760450396</v>
      </c>
      <c r="E15" s="44">
        <v>851.14967455610747</v>
      </c>
    </row>
    <row r="16" spans="1:10" ht="15" customHeight="1" x14ac:dyDescent="0.25">
      <c r="A16" s="41">
        <v>44986</v>
      </c>
      <c r="B16" s="42">
        <v>27.752819653502513</v>
      </c>
      <c r="C16" s="42">
        <v>223.71584549345013</v>
      </c>
      <c r="D16" s="42">
        <v>711.13255946872903</v>
      </c>
      <c r="E16" s="42">
        <v>1010.2321906617585</v>
      </c>
    </row>
    <row r="17" spans="1:5" ht="15" customHeight="1" x14ac:dyDescent="0.25">
      <c r="A17" s="43">
        <v>45017</v>
      </c>
      <c r="B17" s="44">
        <v>29.08144590046706</v>
      </c>
      <c r="C17" s="44">
        <v>223.39785207208993</v>
      </c>
      <c r="D17" s="44">
        <v>733.98533664927072</v>
      </c>
      <c r="E17" s="44">
        <v>965.60770540633496</v>
      </c>
    </row>
    <row r="18" spans="1:5" ht="15" customHeight="1" x14ac:dyDescent="0.25">
      <c r="A18" s="41">
        <v>45047</v>
      </c>
      <c r="B18" s="42">
        <v>24.515609844411397</v>
      </c>
      <c r="C18" s="42">
        <v>187.17631869617023</v>
      </c>
      <c r="D18" s="42">
        <v>654.88690921071804</v>
      </c>
      <c r="E18" s="42">
        <v>826.59788985084435</v>
      </c>
    </row>
    <row r="19" spans="1:5" ht="15" customHeight="1" x14ac:dyDescent="0.25">
      <c r="A19" s="43">
        <v>45078</v>
      </c>
      <c r="B19" s="44">
        <v>21.835296883970301</v>
      </c>
      <c r="C19" s="44">
        <v>168.96231866298868</v>
      </c>
      <c r="D19" s="44">
        <v>564.55701410337849</v>
      </c>
      <c r="E19" s="44">
        <v>656.65122394371247</v>
      </c>
    </row>
    <row r="20" spans="1:5" ht="15" customHeight="1" x14ac:dyDescent="0.25">
      <c r="A20" s="41">
        <v>45108</v>
      </c>
      <c r="B20" s="42">
        <v>19.269641784012993</v>
      </c>
      <c r="C20" s="42">
        <v>157.96363177208428</v>
      </c>
      <c r="D20" s="42">
        <v>523.23835513162896</v>
      </c>
      <c r="E20" s="42">
        <v>648.41668831333607</v>
      </c>
    </row>
    <row r="21" spans="1:5" ht="15.75" customHeight="1" x14ac:dyDescent="0.25">
      <c r="A21" s="43">
        <v>45139</v>
      </c>
      <c r="B21" s="44">
        <v>19.953760253244738</v>
      </c>
      <c r="C21" s="44">
        <v>158.49637728586953</v>
      </c>
      <c r="D21" s="44">
        <v>513.27114762902988</v>
      </c>
      <c r="E21" s="44">
        <v>599.31880780956385</v>
      </c>
    </row>
    <row r="22" spans="1:5" ht="15.75" customHeight="1" x14ac:dyDescent="0.25">
      <c r="A22" s="41">
        <v>45170</v>
      </c>
      <c r="B22" s="42">
        <v>23.193125554493331</v>
      </c>
      <c r="C22" s="42">
        <v>177.09119333080542</v>
      </c>
      <c r="D22" s="42">
        <v>629.42624329205069</v>
      </c>
      <c r="E22" s="42">
        <v>777.71779125659543</v>
      </c>
    </row>
    <row r="23" spans="1:5" ht="15.75" customHeight="1" x14ac:dyDescent="0.25">
      <c r="A23" s="43">
        <v>45200</v>
      </c>
      <c r="B23" s="44">
        <v>23.052575726415252</v>
      </c>
      <c r="C23" s="44">
        <v>183.49749073322576</v>
      </c>
      <c r="D23" s="44">
        <v>616.06104506661927</v>
      </c>
      <c r="E23" s="44">
        <v>731.59594522357315</v>
      </c>
    </row>
    <row r="24" spans="1:5" ht="15.75" customHeight="1" x14ac:dyDescent="0.25">
      <c r="A24" s="41">
        <v>45231</v>
      </c>
      <c r="B24" s="42">
        <v>22.063348163291238</v>
      </c>
      <c r="C24" s="42">
        <v>185.91855013769288</v>
      </c>
      <c r="D24" s="42">
        <v>668.14412712293131</v>
      </c>
      <c r="E24" s="42">
        <v>874.53788703363603</v>
      </c>
    </row>
    <row r="25" spans="1:5" ht="15.75" customHeight="1" x14ac:dyDescent="0.25">
      <c r="A25" s="43">
        <v>45261</v>
      </c>
      <c r="B25" s="44">
        <v>23.784899001629398</v>
      </c>
      <c r="C25" s="44">
        <v>214.70148222259206</v>
      </c>
      <c r="D25" s="44">
        <v>673.47391438575482</v>
      </c>
      <c r="E25" s="44">
        <v>891.07015825344922</v>
      </c>
    </row>
    <row r="26" spans="1:5" ht="15.75" customHeight="1" x14ac:dyDescent="0.25">
      <c r="A26" s="41">
        <v>45292</v>
      </c>
      <c r="B26" s="42">
        <v>18.399410808008227</v>
      </c>
      <c r="C26" s="42">
        <v>207.0036408317776</v>
      </c>
      <c r="D26" s="42">
        <v>507.83633608937112</v>
      </c>
      <c r="E26" s="42">
        <v>873.77610444105994</v>
      </c>
    </row>
    <row r="27" spans="1:5" ht="15.75" customHeight="1" x14ac:dyDescent="0.25">
      <c r="A27" s="43">
        <v>45323</v>
      </c>
      <c r="B27" s="44">
        <v>17.467405336844813</v>
      </c>
      <c r="C27" s="44">
        <v>200.15579211580928</v>
      </c>
      <c r="D27" s="44">
        <v>534.79212577372618</v>
      </c>
      <c r="E27" s="44">
        <v>876.68430720592744</v>
      </c>
    </row>
    <row r="28" spans="1:5" ht="15.75" customHeight="1" x14ac:dyDescent="0.25">
      <c r="A28" s="41">
        <v>45352</v>
      </c>
      <c r="B28" s="42">
        <v>28.59424243421801</v>
      </c>
      <c r="C28" s="42">
        <v>229.89424250272174</v>
      </c>
      <c r="D28" s="42">
        <v>736.63292479205927</v>
      </c>
      <c r="E28" s="42">
        <v>1035.7668233115785</v>
      </c>
    </row>
    <row r="29" spans="1:5" ht="15.75" customHeight="1" x14ac:dyDescent="0.25">
      <c r="A29" s="43">
        <v>45383</v>
      </c>
      <c r="B29" s="44">
        <v>29.922868681182557</v>
      </c>
      <c r="C29" s="44">
        <v>229.57624908136151</v>
      </c>
      <c r="D29" s="44">
        <v>759.48570197260096</v>
      </c>
      <c r="E29" s="44">
        <v>991.14233805615493</v>
      </c>
    </row>
    <row r="30" spans="1:5" ht="15.75" customHeight="1" x14ac:dyDescent="0.25">
      <c r="A30" s="41">
        <v>45413</v>
      </c>
      <c r="B30" s="42">
        <v>25.357032625126894</v>
      </c>
      <c r="C30" s="42">
        <v>193.35471570544181</v>
      </c>
      <c r="D30" s="42">
        <v>680.38727453404829</v>
      </c>
      <c r="E30" s="42">
        <v>852.13252250066432</v>
      </c>
    </row>
    <row r="31" spans="1:5" ht="15.75" customHeight="1" x14ac:dyDescent="0.25">
      <c r="A31" s="43">
        <v>45444</v>
      </c>
      <c r="B31" s="44">
        <v>22.676719664685798</v>
      </c>
      <c r="C31" s="44">
        <v>175.14071567226028</v>
      </c>
      <c r="D31" s="44">
        <v>590.05737942670874</v>
      </c>
      <c r="E31" s="44">
        <v>682.18585659353243</v>
      </c>
    </row>
    <row r="32" spans="1:5" ht="15.75" customHeight="1" x14ac:dyDescent="0.25">
      <c r="A32" s="41">
        <v>45474</v>
      </c>
      <c r="B32" s="42">
        <v>20.11106456472849</v>
      </c>
      <c r="C32" s="42">
        <v>164.14202878135589</v>
      </c>
      <c r="D32" s="42">
        <v>548.73872045495921</v>
      </c>
      <c r="E32" s="42">
        <v>673.95132096315604</v>
      </c>
    </row>
    <row r="33" spans="1:5" ht="15.75" customHeight="1" x14ac:dyDescent="0.25">
      <c r="A33" s="43">
        <v>45505</v>
      </c>
      <c r="B33" s="44">
        <v>20.795183033960239</v>
      </c>
      <c r="C33" s="44">
        <v>164.67477429514113</v>
      </c>
      <c r="D33" s="44">
        <v>538.77151295236035</v>
      </c>
      <c r="E33" s="44">
        <v>624.85344045938382</v>
      </c>
    </row>
    <row r="34" spans="1:5" ht="15.75" customHeight="1" x14ac:dyDescent="0.25">
      <c r="A34" s="41">
        <v>45536</v>
      </c>
      <c r="B34" s="42">
        <v>24.034548335208825</v>
      </c>
      <c r="C34" s="42">
        <v>183.269590340077</v>
      </c>
      <c r="D34" s="42">
        <v>654.92660861538093</v>
      </c>
      <c r="E34" s="42">
        <v>803.2524239064154</v>
      </c>
    </row>
    <row r="35" spans="1:5" ht="15.75" customHeight="1" x14ac:dyDescent="0.25">
      <c r="A35" s="43">
        <v>45566</v>
      </c>
      <c r="B35" s="44">
        <v>23.89399850713075</v>
      </c>
      <c r="C35" s="44">
        <v>189.67588774249734</v>
      </c>
      <c r="D35" s="44">
        <v>641.56141038994963</v>
      </c>
      <c r="E35" s="44">
        <v>757.13057787339312</v>
      </c>
    </row>
    <row r="36" spans="1:5" ht="15.75" customHeight="1" x14ac:dyDescent="0.25">
      <c r="A36" s="41">
        <v>45597</v>
      </c>
      <c r="B36" s="42">
        <v>22.904770944006739</v>
      </c>
      <c r="C36" s="42">
        <v>192.09694714696448</v>
      </c>
      <c r="D36" s="42">
        <v>693.64449244626155</v>
      </c>
      <c r="E36" s="42">
        <v>900.07251968345599</v>
      </c>
    </row>
    <row r="37" spans="1:5" ht="15.75" customHeight="1" x14ac:dyDescent="0.25">
      <c r="A37" s="43">
        <v>45627</v>
      </c>
      <c r="B37" s="44">
        <v>24.626321782344895</v>
      </c>
      <c r="C37" s="44">
        <v>220.87987923186367</v>
      </c>
      <c r="D37" s="44">
        <v>698.97427970908518</v>
      </c>
      <c r="E37" s="44">
        <v>916.60479090326919</v>
      </c>
    </row>
    <row r="38" spans="1:5" ht="15.75" customHeight="1" x14ac:dyDescent="0.25">
      <c r="A38" s="41">
        <v>45658</v>
      </c>
      <c r="B38" s="42">
        <v>19.240833588723724</v>
      </c>
      <c r="C38" s="42">
        <v>213.18203784104921</v>
      </c>
      <c r="D38" s="42">
        <v>533.33670141270147</v>
      </c>
      <c r="E38" s="42">
        <v>899.31073709087991</v>
      </c>
    </row>
    <row r="39" spans="1:5" ht="15.75" customHeight="1" x14ac:dyDescent="0.25">
      <c r="A39" s="43">
        <v>45689</v>
      </c>
      <c r="B39" s="44">
        <v>18.308828117560306</v>
      </c>
      <c r="C39" s="44">
        <v>206.33418912508088</v>
      </c>
      <c r="D39" s="44">
        <v>560.29249109705654</v>
      </c>
      <c r="E39" s="44">
        <v>902.21893985574741</v>
      </c>
    </row>
    <row r="40" spans="1:5" ht="15.75" customHeight="1" x14ac:dyDescent="0.25">
      <c r="A40" s="41">
        <v>45717</v>
      </c>
      <c r="B40" s="42">
        <v>29.435665214933508</v>
      </c>
      <c r="C40" s="42">
        <v>236.07263951199329</v>
      </c>
      <c r="D40" s="42">
        <v>762.13329011538963</v>
      </c>
      <c r="E40" s="42">
        <v>1061.3014559613985</v>
      </c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F6" sqref="F6"/>
    </sheetView>
  </sheetViews>
  <sheetFormatPr defaultColWidth="12.625" defaultRowHeight="15" customHeight="1" x14ac:dyDescent="0.2"/>
  <cols>
    <col min="1" max="1" width="6.375" customWidth="1"/>
    <col min="2" max="2" width="15.875" customWidth="1"/>
    <col min="3" max="5" width="15.25" customWidth="1"/>
    <col min="6" max="6" width="7.625" customWidth="1"/>
  </cols>
  <sheetData>
    <row r="1" spans="1:5" x14ac:dyDescent="0.25">
      <c r="A1" s="63" t="s">
        <v>31</v>
      </c>
      <c r="B1" s="60" t="s">
        <v>32</v>
      </c>
      <c r="C1" s="60" t="s">
        <v>33</v>
      </c>
      <c r="D1" s="67" t="s">
        <v>34</v>
      </c>
      <c r="E1" s="67" t="s">
        <v>35</v>
      </c>
    </row>
    <row r="2" spans="1:5" x14ac:dyDescent="0.25">
      <c r="A2" s="64">
        <v>44562</v>
      </c>
      <c r="B2" s="61">
        <f>('Projeção de Dados'!B2*(VER_EP+VER_TEP)
+'Projeção de Dados'!C2*(VER_EFP+VER_TEFP)
+IF((MAX('Projeção de Dados'!D2:E2))&lt;(VLOOKUP(YEAR('Custo Mensal'!A2),Variáveis!$B$2:$F$7,3,0)),(VLOOKUP(YEAR('Custo Mensal'!A2),Variáveis!$B$2:$F$7,3,0)),MAX('Projeção de Dados'!D2:E2))*(VER_D)
+IF(MAX('Projeção de Dados'!D2:E2)&gt;VLOOKUP(YEAR('Custo Mensal'!A2),Variáveis!$B$2:$F$7,3,0)*(1+ULTR),(MAX('Projeção de Dados'!D2:E2)-VLOOKUP(YEAR('Custo Mensal'!A2),Variáveis!$B$2:$F$7,3,0)),0)*2*(VER_D))/(1-PISCOFINS-ICMS)</f>
        <v>171700.58765458589</v>
      </c>
      <c r="C2" s="61">
        <f>(('Projeção de Dados'!B2)*(AZUL_E+AZUL_TEP)
+('Projeção de Dados'!C2)*(AZUL_E+AZUL_TEFP)
+IF(('Projeção de Dados'!D2)&lt;(VLOOKUP(YEAR('Custo Mensal'!A2),Variáveis!$B$2:$F$7,4,0)),(VLOOKUP(YEAR('Custo Mensal'!A2),Variáveis!$B$2:$F$7,4,0)),'Projeção de Dados'!D2)*(AZUL_DP)
+IF(('Projeção de Dados'!E2)&lt;(VLOOKUP(YEAR('Custo Mensal'!A2),Variáveis!$B$2:$F$7,5,0)),(VLOOKUP(YEAR('Custo Mensal'!A2),Variáveis!$B$2:$F$7,5,0)),'Projeção de Dados'!E2)*(AZUL_DFP)
+(IF(('Projeção de Dados'!D2)&gt;((VLOOKUP(YEAR('Custo Mensal'!A2),Variáveis!$B$2:$F$7,4,0))*(1+ULTR)),(('Projeção de Dados'!D2)-(VLOOKUP(YEAR('Custo Mensal'!A2),Variáveis!$B$2:$F$7,4,0))),0))*2*(AZUL_DP)
+(IF(('Projeção de Dados'!E2)&gt;((VLOOKUP(YEAR('Custo Mensal'!A2),Variáveis!$B$2:$F$7,5,0))*(1+ULTR)),(('Projeção de Dados'!E2)-(VLOOKUP(YEAR('Custo Mensal'!A2),Variáveis!$B$2:$F$7,5,0))),0))*2*(AZUL_DFP))/(1-PISCOFINS-ICMS)</f>
        <v>186511.0993141584</v>
      </c>
      <c r="D2" s="58">
        <f>(('Projeção de Dados'!B2*((VER_EP-VER_EFP)*(1-DESC)+VER_EFP)
+'Projeção de Dados'!C2*(VER_EFP)
+IF((MAX('Projeção de Dados'!D2:E2))&lt;(VLOOKUP(YEAR('Custo Mensal'!A2),Variáveis!$B$2:$F$7,3,0)),(VLOOKUP(YEAR('Custo Mensal'!A2),Variáveis!$B$2:$F$7,3,0)),MAX('Projeção de Dados'!D2:E2))*(VER_D)*(1-DESC)
+IF(MAX('Projeção de Dados'!D2:E2)&gt;VLOOKUP(YEAR('Custo Mensal'!A2),Variáveis!$B$2:$F$7,3,0)*(1+ULTR),(MAX('Projeção de Dados'!D2:E2)-VLOOKUP(YEAR('Custo Mensal'!A2),Variáveis!$B$2:$F$7,3,0)),0)*2*(VER_D))/(1-PISCOFINS-ICMS))
+(SUM('Projeção de Dados'!B2:C2)*(VLOOKUP(YEAR('Custo Mensal'!A2),Variáveis!$B$2:$F$7,2,0)))/(1-ICMS)
+SUM('Projeção de Dados'!B2:C2)*ENC</f>
        <v>132415.87526697529</v>
      </c>
      <c r="E2" s="58">
        <f>(((SUM('Projeção de Dados'!B2:C2))*(AZUL_E)
+IF(('Projeção de Dados'!D2)&lt;(VLOOKUP(YEAR('Custo Mensal'!A2),Variáveis!$B$2:$F$7,4,0)),(VLOOKUP(YEAR('Custo Mensal'!A2),Variáveis!$B$2:$F$7,4,0)),'Projeção de Dados'!D2)*(AZUL_DP)*(1-DESC)
+IF(('Projeção de Dados'!E2)&lt;(VLOOKUP(YEAR('Custo Mensal'!A2),Variáveis!$B$2:$F$7,5,0)),(VLOOKUP(YEAR('Custo Mensal'!A2),Variáveis!$B$2:$F$7,5,0)),'Projeção de Dados'!E2)*(AZUL_DFP)*(1-DESC)
+(IF(('Projeção de Dados'!D2)&gt;((VLOOKUP(YEAR('Custo Mensal'!A2),Variáveis!$B$2:$F$7,4,0))*(1+ULTR)),(('Projeção de Dados'!D2)-(VLOOKUP(YEAR('Custo Mensal'!A2),Variáveis!$B$2:$F$7,4,0))),0))*2*(AZUL_DP)
+(IF(('Projeção de Dados'!E2)&gt;((VLOOKUP(YEAR('Custo Mensal'!A2),Variáveis!$B$2:$F$7,5,0))*(1+ULTR)),(('Projeção de Dados'!E2)-(VLOOKUP(YEAR('Custo Mensal'!A2),Variáveis!$B$2:$F$7,5,0))),0))*2*(AZUL_DFP))/(1-PISCOFINS-ICMS))
+(SUM('Projeção de Dados'!B2:C2)*(VLOOKUP(YEAR('Custo Mensal'!A2),Variáveis!$B$2:$F$7,2,0)))/(1-ICMS)
+SUM('Projeção de Dados'!B2:C2)*ENC</f>
        <v>139821.13109676153</v>
      </c>
    </row>
    <row r="3" spans="1:5" x14ac:dyDescent="0.25">
      <c r="A3" s="64">
        <v>44593</v>
      </c>
      <c r="B3" s="62">
        <f>('Projeção de Dados'!B3*(VER_EP+VER_TEP)
+'Projeção de Dados'!C3*(VER_EFP+VER_TEFP)
+IF((MAX('Projeção de Dados'!D3:E3))&lt;(VLOOKUP(YEAR('Custo Mensal'!A3),Variáveis!$B$2:$F$7,3,0)),(VLOOKUP(YEAR('Custo Mensal'!A3),Variáveis!$B$2:$F$7,3,0)),MAX('Projeção de Dados'!D3:E3))*(VER_D)
+IF(MAX('Projeção de Dados'!D3:E3)&gt;VLOOKUP(YEAR('Custo Mensal'!A3),Variáveis!$B$2:$F$7,3,0)*(1+ULTR),(MAX('Projeção de Dados'!D3:E3)-VLOOKUP(YEAR('Custo Mensal'!A3),Variáveis!$B$2:$F$7,3,0)),0)*2*(VER_D))/(1-PISCOFINS-ICMS)</f>
        <v>165830.249345594</v>
      </c>
      <c r="C3" s="62">
        <f>(('Projeção de Dados'!B3)*(AZUL_E+AZUL_TEP)
+('Projeção de Dados'!C3)*(AZUL_E+AZUL_TEFP)
+IF(('Projeção de Dados'!D3)&lt;(VLOOKUP(YEAR('Custo Mensal'!A3),Variáveis!$B$2:$F$7,4,0)),(VLOOKUP(YEAR('Custo Mensal'!A3),Variáveis!$B$2:$F$7,4,0)),'Projeção de Dados'!D3)*(AZUL_DP)
+IF(('Projeção de Dados'!E3)&lt;(VLOOKUP(YEAR('Custo Mensal'!A3),Variáveis!$B$2:$F$7,5,0)),(VLOOKUP(YEAR('Custo Mensal'!A3),Variáveis!$B$2:$F$7,5,0)),'Projeção de Dados'!E3)*(AZUL_DFP)
+(IF(('Projeção de Dados'!D3)&gt;((VLOOKUP(YEAR('Custo Mensal'!A3),Variáveis!$B$2:$F$7,4,0))*(1+ULTR)),(('Projeção de Dados'!D3)-(VLOOKUP(YEAR('Custo Mensal'!A3),Variáveis!$B$2:$F$7,4,0))),0))*2*(AZUL_DP)
+(IF(('Projeção de Dados'!E3)&gt;((VLOOKUP(YEAR('Custo Mensal'!A3),Variáveis!$B$2:$F$7,5,0))*(1+ULTR)),(('Projeção de Dados'!E3)-(VLOOKUP(YEAR('Custo Mensal'!A3),Variáveis!$B$2:$F$7,5,0))),0))*2*(AZUL_DFP))/(1-PISCOFINS-ICMS)</f>
        <v>182235.11928469597</v>
      </c>
      <c r="D3" s="59">
        <f>(('Projeção de Dados'!B3*((VER_EP-VER_EFP)*(1-DESC)+VER_EFP)
+'Projeção de Dados'!C3*(VER_EFP)
+IF((MAX('Projeção de Dados'!D3:E3))&lt;(VLOOKUP(YEAR('Custo Mensal'!A3),Variáveis!$B$2:$F$7,3,0)),(VLOOKUP(YEAR('Custo Mensal'!A3),Variáveis!$B$2:$F$7,3,0)),MAX('Projeção de Dados'!D3:E3))*(VER_D)*(1-DESC)
+IF(MAX('Projeção de Dados'!D3:E3)&gt;VLOOKUP(YEAR('Custo Mensal'!A3),Variáveis!$B$2:$F$7,3,0)*(1+ULTR),(MAX('Projeção de Dados'!D3:E3)-VLOOKUP(YEAR('Custo Mensal'!A3),Variáveis!$B$2:$F$7,3,0)),0)*2*(VER_D))/(1-PISCOFINS-ICMS))
+(SUM('Projeção de Dados'!B3:C3)*(VLOOKUP(YEAR('Custo Mensal'!A3),Variáveis!$B$2:$F$7,2,0)))/(1-ICMS)
+SUM('Projeção de Dados'!B3:C3)*ENC</f>
        <v>127804.72193827033</v>
      </c>
      <c r="E3" s="59">
        <f>(((SUM('Projeção de Dados'!B3:C3))*(AZUL_E)
+IF(('Projeção de Dados'!D3)&lt;(VLOOKUP(YEAR('Custo Mensal'!A3),Variáveis!$B$2:$F$7,4,0)),(VLOOKUP(YEAR('Custo Mensal'!A3),Variáveis!$B$2:$F$7,4,0)),'Projeção de Dados'!D3)*(AZUL_DP)*(1-DESC)
+IF(('Projeção de Dados'!E3)&lt;(VLOOKUP(YEAR('Custo Mensal'!A3),Variáveis!$B$2:$F$7,5,0)),(VLOOKUP(YEAR('Custo Mensal'!A3),Variáveis!$B$2:$F$7,5,0)),'Projeção de Dados'!E3)*(AZUL_DFP)*(1-DESC)
+(IF(('Projeção de Dados'!D3)&gt;((VLOOKUP(YEAR('Custo Mensal'!A3),Variáveis!$B$2:$F$7,4,0))*(1+ULTR)),(('Projeção de Dados'!D3)-(VLOOKUP(YEAR('Custo Mensal'!A3),Variáveis!$B$2:$F$7,4,0))),0))*2*(AZUL_DP)
+(IF(('Projeção de Dados'!E3)&gt;((VLOOKUP(YEAR('Custo Mensal'!A3),Variáveis!$B$2:$F$7,5,0))*(1+ULTR)),(('Projeção de Dados'!E3)-(VLOOKUP(YEAR('Custo Mensal'!A3),Variáveis!$B$2:$F$7,5,0))),0))*2*(AZUL_DFP))/(1-PISCOFINS-ICMS))
+(SUM('Projeção de Dados'!B3:C3)*(VLOOKUP(YEAR('Custo Mensal'!A3),Variáveis!$B$2:$F$7,2,0)))/(1-ICMS)
+SUM('Projeção de Dados'!B3:C3)*ENC</f>
        <v>136007.15690782131</v>
      </c>
    </row>
    <row r="4" spans="1:5" x14ac:dyDescent="0.25">
      <c r="A4" s="64">
        <v>44621</v>
      </c>
      <c r="B4" s="61">
        <f>('Projeção de Dados'!B4*(VER_EP+VER_TEP)
+'Projeção de Dados'!C4*(VER_EFP+VER_TEFP)
+IF((MAX('Projeção de Dados'!D4:E4))&lt;(VLOOKUP(YEAR('Custo Mensal'!A4),Variáveis!$B$2:$F$7,3,0)),(VLOOKUP(YEAR('Custo Mensal'!A4),Variáveis!$B$2:$F$7,3,0)),MAX('Projeção de Dados'!D4:E4))*(VER_D)
+IF(MAX('Projeção de Dados'!D4:E4)&gt;VLOOKUP(YEAR('Custo Mensal'!A4),Variáveis!$B$2:$F$7,3,0)*(1+ULTR),(MAX('Projeção de Dados'!D4:E4)-VLOOKUP(YEAR('Custo Mensal'!A4),Variáveis!$B$2:$F$7,3,0)),0)*2*(VER_D))/(1-PISCOFINS-ICMS)</f>
        <v>225239.04482576399</v>
      </c>
      <c r="C4" s="61">
        <f>(('Projeção de Dados'!B4)*(AZUL_E+AZUL_TEP)
+('Projeção de Dados'!C4)*(AZUL_E+AZUL_TEFP)
+IF(('Projeção de Dados'!D4)&lt;(VLOOKUP(YEAR('Custo Mensal'!A4),Variáveis!$B$2:$F$7,4,0)),(VLOOKUP(YEAR('Custo Mensal'!A4),Variáveis!$B$2:$F$7,4,0)),'Projeção de Dados'!D4)*(AZUL_DP)
+IF(('Projeção de Dados'!E4)&lt;(VLOOKUP(YEAR('Custo Mensal'!A4),Variáveis!$B$2:$F$7,5,0)),(VLOOKUP(YEAR('Custo Mensal'!A4),Variáveis!$B$2:$F$7,5,0)),'Projeção de Dados'!E4)*(AZUL_DFP)
+(IF(('Projeção de Dados'!D4)&gt;((VLOOKUP(YEAR('Custo Mensal'!A4),Variáveis!$B$2:$F$7,4,0))*(1+ULTR)),(('Projeção de Dados'!D4)-(VLOOKUP(YEAR('Custo Mensal'!A4),Variáveis!$B$2:$F$7,4,0))),0))*2*(AZUL_DP)
+(IF(('Projeção de Dados'!E4)&gt;((VLOOKUP(YEAR('Custo Mensal'!A4),Variáveis!$B$2:$F$7,5,0))*(1+ULTR)),(('Projeção de Dados'!E4)-(VLOOKUP(YEAR('Custo Mensal'!A4),Variáveis!$B$2:$F$7,5,0))),0))*2*(AZUL_DFP))/(1-PISCOFINS-ICMS)</f>
        <v>237066.97226000045</v>
      </c>
      <c r="D4" s="58">
        <f>(('Projeção de Dados'!B4*((VER_EP-VER_EFP)*(1-DESC)+VER_EFP)
+'Projeção de Dados'!C4*(VER_EFP)
+IF((MAX('Projeção de Dados'!D4:E4))&lt;(VLOOKUP(YEAR('Custo Mensal'!A4),Variáveis!$B$2:$F$7,3,0)),(VLOOKUP(YEAR('Custo Mensal'!A4),Variáveis!$B$2:$F$7,3,0)),MAX('Projeção de Dados'!D4:E4))*(VER_D)*(1-DESC)
+IF(MAX('Projeção de Dados'!D4:E4)&gt;VLOOKUP(YEAR('Custo Mensal'!A4),Variáveis!$B$2:$F$7,3,0)*(1+ULTR),(MAX('Projeção de Dados'!D4:E4)-VLOOKUP(YEAR('Custo Mensal'!A4),Variáveis!$B$2:$F$7,3,0)),0)*2*(VER_D))/(1-PISCOFINS-ICMS))
+(SUM('Projeção de Dados'!B4:C4)*(VLOOKUP(YEAR('Custo Mensal'!A4),Variáveis!$B$2:$F$7,2,0)))/(1-ICMS)
+SUM('Projeção de Dados'!B4:C4)*ENC</f>
        <v>170975.82078693007</v>
      </c>
      <c r="E4" s="58">
        <f>(((SUM('Projeção de Dados'!B4:C4))*(AZUL_E)
+IF(('Projeção de Dados'!D4)&lt;(VLOOKUP(YEAR('Custo Mensal'!A4),Variáveis!$B$2:$F$7,4,0)),(VLOOKUP(YEAR('Custo Mensal'!A4),Variáveis!$B$2:$F$7,4,0)),'Projeção de Dados'!D4)*(AZUL_DP)*(1-DESC)
+IF(('Projeção de Dados'!E4)&lt;(VLOOKUP(YEAR('Custo Mensal'!A4),Variáveis!$B$2:$F$7,5,0)),(VLOOKUP(YEAR('Custo Mensal'!A4),Variáveis!$B$2:$F$7,5,0)),'Projeção de Dados'!E4)*(AZUL_DFP)*(1-DESC)
+(IF(('Projeção de Dados'!D4)&gt;((VLOOKUP(YEAR('Custo Mensal'!A4),Variáveis!$B$2:$F$7,4,0))*(1+ULTR)),(('Projeção de Dados'!D4)-(VLOOKUP(YEAR('Custo Mensal'!A4),Variáveis!$B$2:$F$7,4,0))),0))*2*(AZUL_DP)
+(IF(('Projeção de Dados'!E4)&gt;((VLOOKUP(YEAR('Custo Mensal'!A4),Variáveis!$B$2:$F$7,5,0))*(1+ULTR)),(('Projeção de Dados'!E4)-(VLOOKUP(YEAR('Custo Mensal'!A4),Variáveis!$B$2:$F$7,5,0))),0))*2*(AZUL_DFP))/(1-PISCOFINS-ICMS))
+(SUM('Projeção de Dados'!B4:C4)*(VLOOKUP(YEAR('Custo Mensal'!A4),Variáveis!$B$2:$F$7,2,0)))/(1-ICMS)
+SUM('Projeção de Dados'!B4:C4)*ENC</f>
        <v>181708.94416147357</v>
      </c>
    </row>
    <row r="5" spans="1:5" x14ac:dyDescent="0.25">
      <c r="A5" s="64">
        <v>44652</v>
      </c>
      <c r="B5" s="62">
        <f>('Projeção de Dados'!B5*(VER_EP+VER_TEP)
+'Projeção de Dados'!C5*(VER_EFP+VER_TEFP)
+IF((MAX('Projeção de Dados'!D5:E5))&lt;(VLOOKUP(YEAR('Custo Mensal'!A5),Variáveis!$B$2:$F$7,3,0)),(VLOOKUP(YEAR('Custo Mensal'!A5),Variáveis!$B$2:$F$7,3,0)),MAX('Projeção de Dados'!D5:E5))*(VER_D)
+IF(MAX('Projeção de Dados'!D5:E5)&gt;VLOOKUP(YEAR('Custo Mensal'!A5),Variáveis!$B$2:$F$7,3,0)*(1+ULTR),(MAX('Projeção de Dados'!D5:E5)-VLOOKUP(YEAR('Custo Mensal'!A5),Variáveis!$B$2:$F$7,3,0)),0)*2*(VER_D))/(1-PISCOFINS-ICMS)</f>
        <v>223846.13047449521</v>
      </c>
      <c r="C5" s="62">
        <f>(('Projeção de Dados'!B5)*(AZUL_E+AZUL_TEP)
+('Projeção de Dados'!C5)*(AZUL_E+AZUL_TEFP)
+IF(('Projeção de Dados'!D5)&lt;(VLOOKUP(YEAR('Custo Mensal'!A5),Variáveis!$B$2:$F$7,4,0)),(VLOOKUP(YEAR('Custo Mensal'!A5),Variáveis!$B$2:$F$7,4,0)),'Projeção de Dados'!D5)*(AZUL_DP)
+IF(('Projeção de Dados'!E5)&lt;(VLOOKUP(YEAR('Custo Mensal'!A5),Variáveis!$B$2:$F$7,5,0)),(VLOOKUP(YEAR('Custo Mensal'!A5),Variáveis!$B$2:$F$7,5,0)),'Projeção de Dados'!E5)*(AZUL_DFP)
+(IF(('Projeção de Dados'!D5)&gt;((VLOOKUP(YEAR('Custo Mensal'!A5),Variáveis!$B$2:$F$7,4,0))*(1+ULTR)),(('Projeção de Dados'!D5)-(VLOOKUP(YEAR('Custo Mensal'!A5),Variáveis!$B$2:$F$7,4,0))),0))*2*(AZUL_DP)
+(IF(('Projeção de Dados'!E5)&gt;((VLOOKUP(YEAR('Custo Mensal'!A5),Variáveis!$B$2:$F$7,5,0))*(1+ULTR)),(('Projeção de Dados'!E5)-(VLOOKUP(YEAR('Custo Mensal'!A5),Variáveis!$B$2:$F$7,5,0))),0))*2*(AZUL_DFP))/(1-PISCOFINS-ICMS)</f>
        <v>238223.49521493676</v>
      </c>
      <c r="D5" s="59">
        <f>(('Projeção de Dados'!B5*((VER_EP-VER_EFP)*(1-DESC)+VER_EFP)
+'Projeção de Dados'!C5*(VER_EFP)
+IF((MAX('Projeção de Dados'!D5:E5))&lt;(VLOOKUP(YEAR('Custo Mensal'!A5),Variáveis!$B$2:$F$7,3,0)),(VLOOKUP(YEAR('Custo Mensal'!A5),Variáveis!$B$2:$F$7,3,0)),MAX('Projeção de Dados'!D5:E5))*(VER_D)*(1-DESC)
+IF(MAX('Projeção de Dados'!D5:E5)&gt;VLOOKUP(YEAR('Custo Mensal'!A5),Variáveis!$B$2:$F$7,3,0)*(1+ULTR),(MAX('Projeção de Dados'!D5:E5)-VLOOKUP(YEAR('Custo Mensal'!A5),Variáveis!$B$2:$F$7,3,0)),0)*2*(VER_D))/(1-PISCOFINS-ICMS))
+(SUM('Projeção de Dados'!B5:C5)*(VLOOKUP(YEAR('Custo Mensal'!A5),Variáveis!$B$2:$F$7,2,0)))/(1-ICMS)
+SUM('Projeção de Dados'!B5:C5)*ENC</f>
        <v>168846.63084592382</v>
      </c>
      <c r="E5" s="59">
        <f>(((SUM('Projeção de Dados'!B5:C5))*(AZUL_E)
+IF(('Projeção de Dados'!D5)&lt;(VLOOKUP(YEAR('Custo Mensal'!A5),Variáveis!$B$2:$F$7,4,0)),(VLOOKUP(YEAR('Custo Mensal'!A5),Variáveis!$B$2:$F$7,4,0)),'Projeção de Dados'!D5)*(AZUL_DP)*(1-DESC)
+IF(('Projeção de Dados'!E5)&lt;(VLOOKUP(YEAR('Custo Mensal'!A5),Variáveis!$B$2:$F$7,5,0)),(VLOOKUP(YEAR('Custo Mensal'!A5),Variáveis!$B$2:$F$7,5,0)),'Projeção de Dados'!E5)*(AZUL_DFP)*(1-DESC)
+(IF(('Projeção de Dados'!D5)&gt;((VLOOKUP(YEAR('Custo Mensal'!A5),Variáveis!$B$2:$F$7,4,0))*(1+ULTR)),(('Projeção de Dados'!D5)-(VLOOKUP(YEAR('Custo Mensal'!A5),Variáveis!$B$2:$F$7,4,0))),0))*2*(AZUL_DP)
+(IF(('Projeção de Dados'!E5)&gt;((VLOOKUP(YEAR('Custo Mensal'!A5),Variáveis!$B$2:$F$7,5,0))*(1+ULTR)),(('Projeção de Dados'!E5)-(VLOOKUP(YEAR('Custo Mensal'!A5),Variáveis!$B$2:$F$7,5,0))),0))*2*(AZUL_DFP))/(1-PISCOFINS-ICMS))
+(SUM('Projeção de Dados'!B5:C5)*(VLOOKUP(YEAR('Custo Mensal'!A5),Variáveis!$B$2:$F$7,2,0)))/(1-ICMS)
+SUM('Projeção de Dados'!B5:C5)*ENC</f>
        <v>182461.90206233048</v>
      </c>
    </row>
    <row r="6" spans="1:5" x14ac:dyDescent="0.25">
      <c r="A6" s="64">
        <v>44682</v>
      </c>
      <c r="B6" s="61">
        <f>('Projeção de Dados'!B6*(VER_EP+VER_TEP)
+'Projeção de Dados'!C6*(VER_EFP+VER_TEFP)
+IF((MAX('Projeção de Dados'!D6:E6))&lt;(VLOOKUP(YEAR('Custo Mensal'!A6),Variáveis!$B$2:$F$7,3,0)),(VLOOKUP(YEAR('Custo Mensal'!A6),Variáveis!$B$2:$F$7,3,0)),MAX('Projeção de Dados'!D6:E6))*(VER_D)
+IF(MAX('Projeção de Dados'!D6:E6)&gt;VLOOKUP(YEAR('Custo Mensal'!A6),Variáveis!$B$2:$F$7,3,0)*(1+ULTR),(MAX('Projeção de Dados'!D6:E6)-VLOOKUP(YEAR('Custo Mensal'!A6),Variáveis!$B$2:$F$7,3,0)),0)*2*(VER_D))/(1-PISCOFINS-ICMS)</f>
        <v>181749.52617132565</v>
      </c>
      <c r="C6" s="61">
        <f>(('Projeção de Dados'!B6)*(AZUL_E+AZUL_TEP)
+('Projeção de Dados'!C6)*(AZUL_E+AZUL_TEFP)
+IF(('Projeção de Dados'!D6)&lt;(VLOOKUP(YEAR('Custo Mensal'!A6),Variáveis!$B$2:$F$7,4,0)),(VLOOKUP(YEAR('Custo Mensal'!A6),Variáveis!$B$2:$F$7,4,0)),'Projeção de Dados'!D6)*(AZUL_DP)
+IF(('Projeção de Dados'!E6)&lt;(VLOOKUP(YEAR('Custo Mensal'!A6),Variáveis!$B$2:$F$7,5,0)),(VLOOKUP(YEAR('Custo Mensal'!A6),Variáveis!$B$2:$F$7,5,0)),'Projeção de Dados'!E6)*(AZUL_DFP)
+(IF(('Projeção de Dados'!D6)&gt;((VLOOKUP(YEAR('Custo Mensal'!A6),Variáveis!$B$2:$F$7,4,0))*(1+ULTR)),(('Projeção de Dados'!D6)-(VLOOKUP(YEAR('Custo Mensal'!A6),Variáveis!$B$2:$F$7,4,0))),0))*2*(AZUL_DP)
+(IF(('Projeção de Dados'!E6)&gt;((VLOOKUP(YEAR('Custo Mensal'!A6),Variáveis!$B$2:$F$7,5,0))*(1+ULTR)),(('Projeção de Dados'!E6)-(VLOOKUP(YEAR('Custo Mensal'!A6),Variáveis!$B$2:$F$7,5,0))),0))*2*(AZUL_DFP))/(1-PISCOFINS-ICMS)</f>
        <v>185520.72387107427</v>
      </c>
      <c r="D6" s="58">
        <f>(('Projeção de Dados'!B6*((VER_EP-VER_EFP)*(1-DESC)+VER_EFP)
+'Projeção de Dados'!C6*(VER_EFP)
+IF((MAX('Projeção de Dados'!D6:E6))&lt;(VLOOKUP(YEAR('Custo Mensal'!A6),Variáveis!$B$2:$F$7,3,0)),(VLOOKUP(YEAR('Custo Mensal'!A6),Variáveis!$B$2:$F$7,3,0)),MAX('Projeção de Dados'!D6:E6))*(VER_D)*(1-DESC)
+IF(MAX('Projeção de Dados'!D6:E6)&gt;VLOOKUP(YEAR('Custo Mensal'!A6),Variáveis!$B$2:$F$7,3,0)*(1+ULTR),(MAX('Projeção de Dados'!D6:E6)-VLOOKUP(YEAR('Custo Mensal'!A6),Variáveis!$B$2:$F$7,3,0)),0)*2*(VER_D))/(1-PISCOFINS-ICMS))
+(SUM('Projeção de Dados'!B6:C6)*(VLOOKUP(YEAR('Custo Mensal'!A6),Variáveis!$B$2:$F$7,2,0)))/(1-ICMS)
+SUM('Projeção de Dados'!B6:C6)*ENC</f>
        <v>135067.87544716842</v>
      </c>
      <c r="E6" s="58">
        <f>(((SUM('Projeção de Dados'!B6:C6))*(AZUL_E)
+IF(('Projeção de Dados'!D6)&lt;(VLOOKUP(YEAR('Custo Mensal'!A6),Variáveis!$B$2:$F$7,4,0)),(VLOOKUP(YEAR('Custo Mensal'!A6),Variáveis!$B$2:$F$7,4,0)),'Projeção de Dados'!D6)*(AZUL_DP)*(1-DESC)
+IF(('Projeção de Dados'!E6)&lt;(VLOOKUP(YEAR('Custo Mensal'!A6),Variáveis!$B$2:$F$7,5,0)),(VLOOKUP(YEAR('Custo Mensal'!A6),Variáveis!$B$2:$F$7,5,0)),'Projeção de Dados'!E6)*(AZUL_DFP)*(1-DESC)
+(IF(('Projeção de Dados'!D6)&gt;((VLOOKUP(YEAR('Custo Mensal'!A6),Variáveis!$B$2:$F$7,4,0))*(1+ULTR)),(('Projeção de Dados'!D6)-(VLOOKUP(YEAR('Custo Mensal'!A6),Variáveis!$B$2:$F$7,4,0))),0))*2*(AZUL_DP)
+(IF(('Projeção de Dados'!E6)&gt;((VLOOKUP(YEAR('Custo Mensal'!A6),Variáveis!$B$2:$F$7,5,0))*(1+ULTR)),(('Projeção de Dados'!E6)-(VLOOKUP(YEAR('Custo Mensal'!A6),Variáveis!$B$2:$F$7,5,0))),0))*2*(AZUL_DFP))/(1-PISCOFINS-ICMS))
+(SUM('Projeção de Dados'!B6:C6)*(VLOOKUP(YEAR('Custo Mensal'!A6),Variáveis!$B$2:$F$7,2,0)))/(1-ICMS)
+SUM('Projeção de Dados'!B6:C6)*ENC</f>
        <v>136953.47429704276</v>
      </c>
    </row>
    <row r="7" spans="1:5" x14ac:dyDescent="0.25">
      <c r="A7" s="64">
        <v>44713</v>
      </c>
      <c r="B7" s="62">
        <f>('Projeção de Dados'!B7*(VER_EP+VER_TEP)
+'Projeção de Dados'!C7*(VER_EFP+VER_TEFP)
+IF((MAX('Projeção de Dados'!D7:E7))&lt;(VLOOKUP(YEAR('Custo Mensal'!A7),Variáveis!$B$2:$F$7,3,0)),(VLOOKUP(YEAR('Custo Mensal'!A7),Variáveis!$B$2:$F$7,3,0)),MAX('Projeção de Dados'!D7:E7))*(VER_D)
+IF(MAX('Projeção de Dados'!D7:E7)&gt;VLOOKUP(YEAR('Custo Mensal'!A7),Variáveis!$B$2:$F$7,3,0)*(1+ULTR),(MAX('Projeção de Dados'!D7:E7)-VLOOKUP(YEAR('Custo Mensal'!A7),Variáveis!$B$2:$F$7,3,0)),0)*2*(VER_D))/(1-PISCOFINS-ICMS)</f>
        <v>165520.48893827948</v>
      </c>
      <c r="C7" s="62">
        <f>(('Projeção de Dados'!B7)*(AZUL_E+AZUL_TEP)
+('Projeção de Dados'!C7)*(AZUL_E+AZUL_TEFP)
+IF(('Projeção de Dados'!D7)&lt;(VLOOKUP(YEAR('Custo Mensal'!A7),Variáveis!$B$2:$F$7,4,0)),(VLOOKUP(YEAR('Custo Mensal'!A7),Variáveis!$B$2:$F$7,4,0)),'Projeção de Dados'!D7)*(AZUL_DP)
+IF(('Projeção de Dados'!E7)&lt;(VLOOKUP(YEAR('Custo Mensal'!A7),Variáveis!$B$2:$F$7,5,0)),(VLOOKUP(YEAR('Custo Mensal'!A7),Variáveis!$B$2:$F$7,5,0)),'Projeção de Dados'!E7)*(AZUL_DFP)
+(IF(('Projeção de Dados'!D7)&gt;((VLOOKUP(YEAR('Custo Mensal'!A7),Variáveis!$B$2:$F$7,4,0))*(1+ULTR)),(('Projeção de Dados'!D7)-(VLOOKUP(YEAR('Custo Mensal'!A7),Variáveis!$B$2:$F$7,4,0))),0))*2*(AZUL_DP)
+(IF(('Projeção de Dados'!E7)&gt;((VLOOKUP(YEAR('Custo Mensal'!A7),Variáveis!$B$2:$F$7,5,0))*(1+ULTR)),(('Projeção de Dados'!E7)-(VLOOKUP(YEAR('Custo Mensal'!A7),Variáveis!$B$2:$F$7,5,0))),0))*2*(AZUL_DFP))/(1-PISCOFINS-ICMS)</f>
        <v>173013.90704386108</v>
      </c>
      <c r="D7" s="59">
        <f>(('Projeção de Dados'!B7*((VER_EP-VER_EFP)*(1-DESC)+VER_EFP)
+'Projeção de Dados'!C7*(VER_EFP)
+IF((MAX('Projeção de Dados'!D7:E7))&lt;(VLOOKUP(YEAR('Custo Mensal'!A7),Variáveis!$B$2:$F$7,3,0)),(VLOOKUP(YEAR('Custo Mensal'!A7),Variáveis!$B$2:$F$7,3,0)),MAX('Projeção de Dados'!D7:E7))*(VER_D)*(1-DESC)
+IF(MAX('Projeção de Dados'!D7:E7)&gt;VLOOKUP(YEAR('Custo Mensal'!A7),Variáveis!$B$2:$F$7,3,0)*(1+ULTR),(MAX('Projeção de Dados'!D7:E7)-VLOOKUP(YEAR('Custo Mensal'!A7),Variáveis!$B$2:$F$7,3,0)),0)*2*(VER_D))/(1-PISCOFINS-ICMS))
+(SUM('Projeção de Dados'!B7:C7)*(VLOOKUP(YEAR('Custo Mensal'!A7),Variáveis!$B$2:$F$7,2,0)))/(1-ICMS)
+SUM('Projeção de Dados'!B7:C7)*ENC</f>
        <v>122473.44002437983</v>
      </c>
      <c r="E7" s="59">
        <f>(((SUM('Projeção de Dados'!B7:C7))*(AZUL_E)
+IF(('Projeção de Dados'!D7)&lt;(VLOOKUP(YEAR('Custo Mensal'!A7),Variáveis!$B$2:$F$7,4,0)),(VLOOKUP(YEAR('Custo Mensal'!A7),Variáveis!$B$2:$F$7,4,0)),'Projeção de Dados'!D7)*(AZUL_DP)*(1-DESC)
+IF(('Projeção de Dados'!E7)&lt;(VLOOKUP(YEAR('Custo Mensal'!A7),Variáveis!$B$2:$F$7,5,0)),(VLOOKUP(YEAR('Custo Mensal'!A7),Variáveis!$B$2:$F$7,5,0)),'Projeção de Dados'!E7)*(AZUL_DFP)*(1-DESC)
+(IF(('Projeção de Dados'!D7)&gt;((VLOOKUP(YEAR('Custo Mensal'!A7),Variáveis!$B$2:$F$7,4,0))*(1+ULTR)),(('Projeção de Dados'!D7)-(VLOOKUP(YEAR('Custo Mensal'!A7),Variáveis!$B$2:$F$7,4,0))),0))*2*(AZUL_DP)
+(IF(('Projeção de Dados'!E7)&gt;((VLOOKUP(YEAR('Custo Mensal'!A7),Variáveis!$B$2:$F$7,5,0))*(1+ULTR)),(('Projeção de Dados'!E7)-(VLOOKUP(YEAR('Custo Mensal'!A7),Variáveis!$B$2:$F$7,5,0))),0))*2*(AZUL_DFP))/(1-PISCOFINS-ICMS))
+(SUM('Projeção de Dados'!B7:C7)*(VLOOKUP(YEAR('Custo Mensal'!A7),Variáveis!$B$2:$F$7,2,0)))/(1-ICMS)
+SUM('Projeção de Dados'!B7:C7)*ENC</f>
        <v>126220.14907717062</v>
      </c>
    </row>
    <row r="8" spans="1:5" x14ac:dyDescent="0.25">
      <c r="A8" s="64">
        <v>44743</v>
      </c>
      <c r="B8" s="61">
        <f>('Projeção de Dados'!B8*(VER_EP+VER_TEP)
+'Projeção de Dados'!C8*(VER_EFP+VER_TEFP)
+IF((MAX('Projeção de Dados'!D8:E8))&lt;(VLOOKUP(YEAR('Custo Mensal'!A8),Variáveis!$B$2:$F$7,3,0)),(VLOOKUP(YEAR('Custo Mensal'!A8),Variáveis!$B$2:$F$7,3,0)),MAX('Projeção de Dados'!D8:E8))*(VER_D)
+IF(MAX('Projeção de Dados'!D8:E8)&gt;VLOOKUP(YEAR('Custo Mensal'!A8),Variáveis!$B$2:$F$7,3,0)*(1+ULTR),(MAX('Projeção de Dados'!D8:E8)-VLOOKUP(YEAR('Custo Mensal'!A8),Variáveis!$B$2:$F$7,3,0)),0)*2*(VER_D))/(1-PISCOFINS-ICMS)</f>
        <v>153374.2819683555</v>
      </c>
      <c r="C8" s="61">
        <f>(('Projeção de Dados'!B8)*(AZUL_E+AZUL_TEP)
+('Projeção de Dados'!C8)*(AZUL_E+AZUL_TEFP)
+IF(('Projeção de Dados'!D8)&lt;(VLOOKUP(YEAR('Custo Mensal'!A8),Variáveis!$B$2:$F$7,4,0)),(VLOOKUP(YEAR('Custo Mensal'!A8),Variáveis!$B$2:$F$7,4,0)),'Projeção de Dados'!D8)*(AZUL_DP)
+IF(('Projeção de Dados'!E8)&lt;(VLOOKUP(YEAR('Custo Mensal'!A8),Variáveis!$B$2:$F$7,5,0)),(VLOOKUP(YEAR('Custo Mensal'!A8),Variáveis!$B$2:$F$7,5,0)),'Projeção de Dados'!E8)*(AZUL_DFP)
+(IF(('Projeção de Dados'!D8)&gt;((VLOOKUP(YEAR('Custo Mensal'!A8),Variáveis!$B$2:$F$7,4,0))*(1+ULTR)),(('Projeção de Dados'!D8)-(VLOOKUP(YEAR('Custo Mensal'!A8),Variáveis!$B$2:$F$7,4,0))),0))*2*(AZUL_DP)
+(IF(('Projeção de Dados'!E8)&gt;((VLOOKUP(YEAR('Custo Mensal'!A8),Variáveis!$B$2:$F$7,5,0))*(1+ULTR)),(('Projeção de Dados'!E8)-(VLOOKUP(YEAR('Custo Mensal'!A8),Variáveis!$B$2:$F$7,5,0))),0))*2*(AZUL_DFP))/(1-PISCOFINS-ICMS)</f>
        <v>165256.70704600873</v>
      </c>
      <c r="D8" s="58">
        <f>(('Projeção de Dados'!B8*((VER_EP-VER_EFP)*(1-DESC)+VER_EFP)
+'Projeção de Dados'!C8*(VER_EFP)
+IF((MAX('Projeção de Dados'!D8:E8))&lt;(VLOOKUP(YEAR('Custo Mensal'!A8),Variáveis!$B$2:$F$7,3,0)),(VLOOKUP(YEAR('Custo Mensal'!A8),Variáveis!$B$2:$F$7,3,0)),MAX('Projeção de Dados'!D8:E8))*(VER_D)*(1-DESC)
+IF(MAX('Projeção de Dados'!D8:E8)&gt;VLOOKUP(YEAR('Custo Mensal'!A8),Variáveis!$B$2:$F$7,3,0)*(1+ULTR),(MAX('Projeção de Dados'!D8:E8)-VLOOKUP(YEAR('Custo Mensal'!A8),Variáveis!$B$2:$F$7,3,0)),0)*2*(VER_D))/(1-PISCOFINS-ICMS))
+(SUM('Projeção de Dados'!B8:C8)*(VLOOKUP(YEAR('Custo Mensal'!A8),Variáveis!$B$2:$F$7,2,0)))/(1-ICMS)
+SUM('Projeção de Dados'!B8:C8)*ENC</f>
        <v>113591.08989029577</v>
      </c>
      <c r="E8" s="58">
        <f>(((SUM('Projeção de Dados'!B8:C8))*(AZUL_E)
+IF(('Projeção de Dados'!D8)&lt;(VLOOKUP(YEAR('Custo Mensal'!A8),Variáveis!$B$2:$F$7,4,0)),(VLOOKUP(YEAR('Custo Mensal'!A8),Variáveis!$B$2:$F$7,4,0)),'Projeção de Dados'!D8)*(AZUL_DP)*(1-DESC)
+IF(('Projeção de Dados'!E8)&lt;(VLOOKUP(YEAR('Custo Mensal'!A8),Variáveis!$B$2:$F$7,5,0)),(VLOOKUP(YEAR('Custo Mensal'!A8),Variáveis!$B$2:$F$7,5,0)),'Projeção de Dados'!E8)*(AZUL_DFP)*(1-DESC)
+(IF(('Projeção de Dados'!D8)&gt;((VLOOKUP(YEAR('Custo Mensal'!A8),Variáveis!$B$2:$F$7,4,0))*(1+ULTR)),(('Projeção de Dados'!D8)-(VLOOKUP(YEAR('Custo Mensal'!A8),Variáveis!$B$2:$F$7,4,0))),0))*2*(AZUL_DP)
+(IF(('Projeção de Dados'!E8)&gt;((VLOOKUP(YEAR('Custo Mensal'!A8),Variáveis!$B$2:$F$7,5,0))*(1+ULTR)),(('Projeção de Dados'!E8)-(VLOOKUP(YEAR('Custo Mensal'!A8),Variáveis!$B$2:$F$7,5,0))),0))*2*(AZUL_DFP))/(1-PISCOFINS-ICMS))
+(SUM('Projeção de Dados'!B8:C8)*(VLOOKUP(YEAR('Custo Mensal'!A8),Variáveis!$B$2:$F$7,2,0)))/(1-ICMS)
+SUM('Projeção de Dados'!B8:C8)*ENC</f>
        <v>119532.30242912238</v>
      </c>
    </row>
    <row r="9" spans="1:5" x14ac:dyDescent="0.25">
      <c r="A9" s="64">
        <v>44774</v>
      </c>
      <c r="B9" s="62">
        <f>('Projeção de Dados'!B9*(VER_EP+VER_TEP)
+'Projeção de Dados'!C9*(VER_EFP+VER_TEFP)
+IF((MAX('Projeção de Dados'!D9:E9))&lt;(VLOOKUP(YEAR('Custo Mensal'!A9),Variáveis!$B$2:$F$7,3,0)),(VLOOKUP(YEAR('Custo Mensal'!A9),Variáveis!$B$2:$F$7,3,0)),MAX('Projeção de Dados'!D9:E9))*(VER_D)
+IF(MAX('Projeção de Dados'!D9:E9)&gt;VLOOKUP(YEAR('Custo Mensal'!A9),Variáveis!$B$2:$F$7,3,0)*(1+ULTR),(MAX('Projeção de Dados'!D9:E9)-VLOOKUP(YEAR('Custo Mensal'!A9),Variáveis!$B$2:$F$7,3,0)),0)*2*(VER_D))/(1-PISCOFINS-ICMS)</f>
        <v>155349.42455570379</v>
      </c>
      <c r="C9" s="62">
        <f>(('Projeção de Dados'!B9)*(AZUL_E+AZUL_TEP)
+('Projeção de Dados'!C9)*(AZUL_E+AZUL_TEFP)
+IF(('Projeção de Dados'!D9)&lt;(VLOOKUP(YEAR('Custo Mensal'!A9),Variáveis!$B$2:$F$7,4,0)),(VLOOKUP(YEAR('Custo Mensal'!A9),Variáveis!$B$2:$F$7,4,0)),'Projeção de Dados'!D9)*(AZUL_DP)
+IF(('Projeção de Dados'!E9)&lt;(VLOOKUP(YEAR('Custo Mensal'!A9),Variáveis!$B$2:$F$7,5,0)),(VLOOKUP(YEAR('Custo Mensal'!A9),Variáveis!$B$2:$F$7,5,0)),'Projeção de Dados'!E9)*(AZUL_DFP)
+(IF(('Projeção de Dados'!D9)&gt;((VLOOKUP(YEAR('Custo Mensal'!A9),Variáveis!$B$2:$F$7,4,0))*(1+ULTR)),(('Projeção de Dados'!D9)-(VLOOKUP(YEAR('Custo Mensal'!A9),Variáveis!$B$2:$F$7,4,0))),0))*2*(AZUL_DP)
+(IF(('Projeção de Dados'!E9)&gt;((VLOOKUP(YEAR('Custo Mensal'!A9),Variáveis!$B$2:$F$7,5,0))*(1+ULTR)),(('Projeção de Dados'!E9)-(VLOOKUP(YEAR('Custo Mensal'!A9),Variáveis!$B$2:$F$7,5,0))),0))*2*(AZUL_DFP))/(1-PISCOFINS-ICMS)</f>
        <v>166061.54395539153</v>
      </c>
      <c r="D9" s="59">
        <f>(('Projeção de Dados'!B9*((VER_EP-VER_EFP)*(1-DESC)+VER_EFP)
+'Projeção de Dados'!C9*(VER_EFP)
+IF((MAX('Projeção de Dados'!D9:E9))&lt;(VLOOKUP(YEAR('Custo Mensal'!A9),Variáveis!$B$2:$F$7,3,0)),(VLOOKUP(YEAR('Custo Mensal'!A9),Variáveis!$B$2:$F$7,3,0)),MAX('Projeção de Dados'!D9:E9))*(VER_D)*(1-DESC)
+IF(MAX('Projeção de Dados'!D9:E9)&gt;VLOOKUP(YEAR('Custo Mensal'!A9),Variáveis!$B$2:$F$7,3,0)*(1+ULTR),(MAX('Projeção de Dados'!D9:E9)-VLOOKUP(YEAR('Custo Mensal'!A9),Variáveis!$B$2:$F$7,3,0)),0)*2*(VER_D))/(1-PISCOFINS-ICMS))
+(SUM('Projeção de Dados'!B9:C9)*(VLOOKUP(YEAR('Custo Mensal'!A9),Variáveis!$B$2:$F$7,2,0)))/(1-ICMS)
+SUM('Projeção de Dados'!B9:C9)*ENC</f>
        <v>114776.21283585891</v>
      </c>
      <c r="E9" s="59">
        <f>(((SUM('Projeção de Dados'!B9:C9))*(AZUL_E)
+IF(('Projeção de Dados'!D9)&lt;(VLOOKUP(YEAR('Custo Mensal'!A9),Variáveis!$B$2:$F$7,4,0)),(VLOOKUP(YEAR('Custo Mensal'!A9),Variáveis!$B$2:$F$7,4,0)),'Projeção de Dados'!D9)*(AZUL_DP)*(1-DESC)
+IF(('Projeção de Dados'!E9)&lt;(VLOOKUP(YEAR('Custo Mensal'!A9),Variáveis!$B$2:$F$7,5,0)),(VLOOKUP(YEAR('Custo Mensal'!A9),Variáveis!$B$2:$F$7,5,0)),'Projeção de Dados'!E9)*(AZUL_DFP)*(1-DESC)
+(IF(('Projeção de Dados'!D9)&gt;((VLOOKUP(YEAR('Custo Mensal'!A9),Variáveis!$B$2:$F$7,4,0))*(1+ULTR)),(('Projeção de Dados'!D9)-(VLOOKUP(YEAR('Custo Mensal'!A9),Variáveis!$B$2:$F$7,4,0))),0))*2*(AZUL_DP)
+(IF(('Projeção de Dados'!E9)&gt;((VLOOKUP(YEAR('Custo Mensal'!A9),Variáveis!$B$2:$F$7,5,0))*(1+ULTR)),(('Projeção de Dados'!E9)-(VLOOKUP(YEAR('Custo Mensal'!A9),Variáveis!$B$2:$F$7,5,0))),0))*2*(AZUL_DFP))/(1-PISCOFINS-ICMS))
+(SUM('Projeção de Dados'!B9:C9)*(VLOOKUP(YEAR('Custo Mensal'!A9),Variáveis!$B$2:$F$7,2,0)))/(1-ICMS)
+SUM('Projeção de Dados'!B9:C9)*ENC</f>
        <v>120132.27253570278</v>
      </c>
    </row>
    <row r="10" spans="1:5" x14ac:dyDescent="0.25">
      <c r="A10" s="64">
        <v>44805</v>
      </c>
      <c r="B10" s="61">
        <f>('Projeção de Dados'!B10*(VER_EP+VER_TEP)
+'Projeção de Dados'!C10*(VER_EFP+VER_TEFP)
+IF((MAX('Projeção de Dados'!D10:E10))&lt;(VLOOKUP(YEAR('Custo Mensal'!A10),Variáveis!$B$2:$F$7,3,0)),(VLOOKUP(YEAR('Custo Mensal'!A10),Variáveis!$B$2:$F$7,3,0)),MAX('Projeção de Dados'!D10:E10))*(VER_D)
+IF(MAX('Projeção de Dados'!D10:E10)&gt;VLOOKUP(YEAR('Custo Mensal'!A10),Variáveis!$B$2:$F$7,3,0)*(1+ULTR),(MAX('Projeção de Dados'!D10:E10)-VLOOKUP(YEAR('Custo Mensal'!A10),Variáveis!$B$2:$F$7,3,0)),0)*2*(VER_D))/(1-PISCOFINS-ICMS)</f>
        <v>173163.80854501206</v>
      </c>
      <c r="C10" s="61">
        <f>(('Projeção de Dados'!B10)*(AZUL_E+AZUL_TEP)
+('Projeção de Dados'!C10)*(AZUL_E+AZUL_TEFP)
+IF(('Projeção de Dados'!D10)&lt;(VLOOKUP(YEAR('Custo Mensal'!A10),Variáveis!$B$2:$F$7,4,0)),(VLOOKUP(YEAR('Custo Mensal'!A10),Variáveis!$B$2:$F$7,4,0)),'Projeção de Dados'!D10)*(AZUL_DP)
+IF(('Projeção de Dados'!E10)&lt;(VLOOKUP(YEAR('Custo Mensal'!A10),Variáveis!$B$2:$F$7,5,0)),(VLOOKUP(YEAR('Custo Mensal'!A10),Variáveis!$B$2:$F$7,5,0)),'Projeção de Dados'!E10)*(AZUL_DFP)
+(IF(('Projeção de Dados'!D10)&gt;((VLOOKUP(YEAR('Custo Mensal'!A10),Variáveis!$B$2:$F$7,4,0))*(1+ULTR)),(('Projeção de Dados'!D10)-(VLOOKUP(YEAR('Custo Mensal'!A10),Variáveis!$B$2:$F$7,4,0))),0))*2*(AZUL_DP)
+(IF(('Projeção de Dados'!E10)&gt;((VLOOKUP(YEAR('Custo Mensal'!A10),Variáveis!$B$2:$F$7,5,0))*(1+ULTR)),(('Projeção de Dados'!E10)-(VLOOKUP(YEAR('Custo Mensal'!A10),Variáveis!$B$2:$F$7,5,0))),0))*2*(AZUL_DFP))/(1-PISCOFINS-ICMS)</f>
        <v>178334.42047843771</v>
      </c>
      <c r="D10" s="58">
        <f>(('Projeção de Dados'!B10*((VER_EP-VER_EFP)*(1-DESC)+VER_EFP)
+'Projeção de Dados'!C10*(VER_EFP)
+IF((MAX('Projeção de Dados'!D10:E10))&lt;(VLOOKUP(YEAR('Custo Mensal'!A10),Variáveis!$B$2:$F$7,3,0)),(VLOOKUP(YEAR('Custo Mensal'!A10),Variáveis!$B$2:$F$7,3,0)),MAX('Projeção de Dados'!D10:E10))*(VER_D)*(1-DESC)
+IF(MAX('Projeção de Dados'!D10:E10)&gt;VLOOKUP(YEAR('Custo Mensal'!A10),Variáveis!$B$2:$F$7,3,0)*(1+ULTR),(MAX('Projeção de Dados'!D10:E10)-VLOOKUP(YEAR('Custo Mensal'!A10),Variáveis!$B$2:$F$7,3,0)),0)*2*(VER_D))/(1-PISCOFINS-ICMS))
+(SUM('Projeção de Dados'!B10:C10)*(VLOOKUP(YEAR('Custo Mensal'!A10),Variáveis!$B$2:$F$7,2,0)))/(1-ICMS)
+SUM('Projeção de Dados'!B10:C10)*ENC</f>
        <v>128312.22570410567</v>
      </c>
      <c r="E10" s="58">
        <f>(((SUM('Projeção de Dados'!B10:C10))*(AZUL_E)
+IF(('Projeção de Dados'!D10)&lt;(VLOOKUP(YEAR('Custo Mensal'!A10),Variáveis!$B$2:$F$7,4,0)),(VLOOKUP(YEAR('Custo Mensal'!A10),Variáveis!$B$2:$F$7,4,0)),'Projeção de Dados'!D10)*(AZUL_DP)*(1-DESC)
+IF(('Projeção de Dados'!E10)&lt;(VLOOKUP(YEAR('Custo Mensal'!A10),Variáveis!$B$2:$F$7,5,0)),(VLOOKUP(YEAR('Custo Mensal'!A10),Variáveis!$B$2:$F$7,5,0)),'Projeção de Dados'!E10)*(AZUL_DFP)*(1-DESC)
+(IF(('Projeção de Dados'!D10)&gt;((VLOOKUP(YEAR('Custo Mensal'!A10),Variáveis!$B$2:$F$7,4,0))*(1+ULTR)),(('Projeção de Dados'!D10)-(VLOOKUP(YEAR('Custo Mensal'!A10),Variáveis!$B$2:$F$7,4,0))),0))*2*(AZUL_DP)
+(IF(('Projeção de Dados'!E10)&gt;((VLOOKUP(YEAR('Custo Mensal'!A10),Variáveis!$B$2:$F$7,5,0))*(1+ULTR)),(('Projeção de Dados'!E10)-(VLOOKUP(YEAR('Custo Mensal'!A10),Variáveis!$B$2:$F$7,5,0))),0))*2*(AZUL_DFP))/(1-PISCOFINS-ICMS))
+(SUM('Projeção de Dados'!B10:C10)*(VLOOKUP(YEAR('Custo Mensal'!A10),Variáveis!$B$2:$F$7,2,0)))/(1-ICMS)
+SUM('Projeção de Dados'!B10:C10)*ENC</f>
        <v>130897.5316708185</v>
      </c>
    </row>
    <row r="11" spans="1:5" x14ac:dyDescent="0.25">
      <c r="A11" s="64">
        <v>44835</v>
      </c>
      <c r="B11" s="62">
        <f>('Projeção de Dados'!B11*(VER_EP+VER_TEP)
+'Projeção de Dados'!C11*(VER_EFP+VER_TEFP)
+IF((MAX('Projeção de Dados'!D11:E11))&lt;(VLOOKUP(YEAR('Custo Mensal'!A11),Variáveis!$B$2:$F$7,3,0)),(VLOOKUP(YEAR('Custo Mensal'!A11),Variáveis!$B$2:$F$7,3,0)),MAX('Projeção de Dados'!D11:E11))*(VER_D)
+IF(MAX('Projeção de Dados'!D11:E11)&gt;VLOOKUP(YEAR('Custo Mensal'!A11),Variáveis!$B$2:$F$7,3,0)*(1+ULTR),(MAX('Projeção de Dados'!D11:E11)-VLOOKUP(YEAR('Custo Mensal'!A11),Variáveis!$B$2:$F$7,3,0)),0)*2*(VER_D))/(1-PISCOFINS-ICMS)</f>
        <v>176188.51346328075</v>
      </c>
      <c r="C11" s="62">
        <f>(('Projeção de Dados'!B11)*(AZUL_E+AZUL_TEP)
+('Projeção de Dados'!C11)*(AZUL_E+AZUL_TEFP)
+IF(('Projeção de Dados'!D11)&lt;(VLOOKUP(YEAR('Custo Mensal'!A11),Variáveis!$B$2:$F$7,4,0)),(VLOOKUP(YEAR('Custo Mensal'!A11),Variáveis!$B$2:$F$7,4,0)),'Projeção de Dados'!D11)*(AZUL_DP)
+IF(('Projeção de Dados'!E11)&lt;(VLOOKUP(YEAR('Custo Mensal'!A11),Variáveis!$B$2:$F$7,5,0)),(VLOOKUP(YEAR('Custo Mensal'!A11),Variáveis!$B$2:$F$7,5,0)),'Projeção de Dados'!E11)*(AZUL_DFP)
+(IF(('Projeção de Dados'!D11)&gt;((VLOOKUP(YEAR('Custo Mensal'!A11),Variáveis!$B$2:$F$7,4,0))*(1+ULTR)),(('Projeção de Dados'!D11)-(VLOOKUP(YEAR('Custo Mensal'!A11),Variáveis!$B$2:$F$7,4,0))),0))*2*(AZUL_DP)
+(IF(('Projeção de Dados'!E11)&gt;((VLOOKUP(YEAR('Custo Mensal'!A11),Variáveis!$B$2:$F$7,5,0))*(1+ULTR)),(('Projeção de Dados'!E11)-(VLOOKUP(YEAR('Custo Mensal'!A11),Variáveis!$B$2:$F$7,5,0))),0))*2*(AZUL_DFP))/(1-PISCOFINS-ICMS)</f>
        <v>181599.56074414199</v>
      </c>
      <c r="D11" s="59">
        <f>(('Projeção de Dados'!B11*((VER_EP-VER_EFP)*(1-DESC)+VER_EFP)
+'Projeção de Dados'!C11*(VER_EFP)
+IF((MAX('Projeção de Dados'!D11:E11))&lt;(VLOOKUP(YEAR('Custo Mensal'!A11),Variáveis!$B$2:$F$7,3,0)),(VLOOKUP(YEAR('Custo Mensal'!A11),Variáveis!$B$2:$F$7,3,0)),MAX('Projeção de Dados'!D11:E11))*(VER_D)*(1-DESC)
+IF(MAX('Projeção de Dados'!D11:E11)&gt;VLOOKUP(YEAR('Custo Mensal'!A11),Variáveis!$B$2:$F$7,3,0)*(1+ULTR),(MAX('Projeção de Dados'!D11:E11)-VLOOKUP(YEAR('Custo Mensal'!A11),Variáveis!$B$2:$F$7,3,0)),0)*2*(VER_D))/(1-PISCOFINS-ICMS))
+(SUM('Projeção de Dados'!B11:C11)*(VLOOKUP(YEAR('Custo Mensal'!A11),Variáveis!$B$2:$F$7,2,0)))/(1-ICMS)
+SUM('Projeção de Dados'!B11:C11)*ENC</f>
        <v>131281.31077288819</v>
      </c>
      <c r="E11" s="59">
        <f>(((SUM('Projeção de Dados'!B11:C11))*(AZUL_E)
+IF(('Projeção de Dados'!D11)&lt;(VLOOKUP(YEAR('Custo Mensal'!A11),Variáveis!$B$2:$F$7,4,0)),(VLOOKUP(YEAR('Custo Mensal'!A11),Variáveis!$B$2:$F$7,4,0)),'Projeção de Dados'!D11)*(AZUL_DP)*(1-DESC)
+IF(('Projeção de Dados'!E11)&lt;(VLOOKUP(YEAR('Custo Mensal'!A11),Variáveis!$B$2:$F$7,5,0)),(VLOOKUP(YEAR('Custo Mensal'!A11),Variáveis!$B$2:$F$7,5,0)),'Projeção de Dados'!E11)*(AZUL_DFP)*(1-DESC)
+(IF(('Projeção de Dados'!D11)&gt;((VLOOKUP(YEAR('Custo Mensal'!A11),Variáveis!$B$2:$F$7,4,0))*(1+ULTR)),(('Projeção de Dados'!D11)-(VLOOKUP(YEAR('Custo Mensal'!A11),Variáveis!$B$2:$F$7,4,0))),0))*2*(AZUL_DP)
+(IF(('Projeção de Dados'!E11)&gt;((VLOOKUP(YEAR('Custo Mensal'!A11),Variáveis!$B$2:$F$7,5,0))*(1+ULTR)),(('Projeção de Dados'!E11)-(VLOOKUP(YEAR('Custo Mensal'!A11),Variáveis!$B$2:$F$7,5,0))),0))*2*(AZUL_DFP))/(1-PISCOFINS-ICMS))
+(SUM('Projeção de Dados'!B11:C11)*(VLOOKUP(YEAR('Custo Mensal'!A11),Variáveis!$B$2:$F$7,2,0)))/(1-ICMS)
+SUM('Projeção de Dados'!B11:C11)*ENC</f>
        <v>133986.83441331881</v>
      </c>
    </row>
    <row r="12" spans="1:5" x14ac:dyDescent="0.25">
      <c r="A12" s="64">
        <v>44866</v>
      </c>
      <c r="B12" s="61">
        <f>('Projeção de Dados'!B12*(VER_EP+VER_TEP)
+'Projeção de Dados'!C12*(VER_EFP+VER_TEFP)
+IF((MAX('Projeção de Dados'!D12:E12))&lt;(VLOOKUP(YEAR('Custo Mensal'!A12),Variáveis!$B$2:$F$7,3,0)),(VLOOKUP(YEAR('Custo Mensal'!A12),Variáveis!$B$2:$F$7,3,0)),MAX('Projeção de Dados'!D12:E12))*(VER_D)
+IF(MAX('Projeção de Dados'!D12:E12)&gt;VLOOKUP(YEAR('Custo Mensal'!A12),Variáveis!$B$2:$F$7,3,0)*(1+ULTR),(MAX('Projeção de Dados'!D12:E12)-VLOOKUP(YEAR('Custo Mensal'!A12),Variáveis!$B$2:$F$7,3,0)),0)*2*(VER_D))/(1-PISCOFINS-ICMS)</f>
        <v>175845.5192426861</v>
      </c>
      <c r="C12" s="61">
        <f>(('Projeção de Dados'!B12)*(AZUL_E+AZUL_TEP)
+('Projeção de Dados'!C12)*(AZUL_E+AZUL_TEFP)
+IF(('Projeção de Dados'!D12)&lt;(VLOOKUP(YEAR('Custo Mensal'!A12),Variáveis!$B$2:$F$7,4,0)),(VLOOKUP(YEAR('Custo Mensal'!A12),Variáveis!$B$2:$F$7,4,0)),'Projeção de Dados'!D12)*(AZUL_DP)
+IF(('Projeção de Dados'!E12)&lt;(VLOOKUP(YEAR('Custo Mensal'!A12),Variáveis!$B$2:$F$7,5,0)),(VLOOKUP(YEAR('Custo Mensal'!A12),Variáveis!$B$2:$F$7,5,0)),'Projeção de Dados'!E12)*(AZUL_DFP)
+(IF(('Projeção de Dados'!D12)&gt;((VLOOKUP(YEAR('Custo Mensal'!A12),Variáveis!$B$2:$F$7,4,0))*(1+ULTR)),(('Projeção de Dados'!D12)-(VLOOKUP(YEAR('Custo Mensal'!A12),Variáveis!$B$2:$F$7,4,0))),0))*2*(AZUL_DP)
+(IF(('Projeção de Dados'!E12)&gt;((VLOOKUP(YEAR('Custo Mensal'!A12),Variáveis!$B$2:$F$7,5,0))*(1+ULTR)),(('Projeção de Dados'!E12)-(VLOOKUP(YEAR('Custo Mensal'!A12),Variáveis!$B$2:$F$7,5,0))),0))*2*(AZUL_DFP))/(1-PISCOFINS-ICMS)</f>
        <v>184744.23474972686</v>
      </c>
      <c r="D12" s="58">
        <f>(('Projeção de Dados'!B12*((VER_EP-VER_EFP)*(1-DESC)+VER_EFP)
+'Projeção de Dados'!C12*(VER_EFP)
+IF((MAX('Projeção de Dados'!D12:E12))&lt;(VLOOKUP(YEAR('Custo Mensal'!A12),Variáveis!$B$2:$F$7,3,0)),(VLOOKUP(YEAR('Custo Mensal'!A12),Variáveis!$B$2:$F$7,3,0)),MAX('Projeção de Dados'!D12:E12))*(VER_D)*(1-DESC)
+IF(MAX('Projeção de Dados'!D12:E12)&gt;VLOOKUP(YEAR('Custo Mensal'!A12),Variáveis!$B$2:$F$7,3,0)*(1+ULTR),(MAX('Projeção de Dados'!D12:E12)-VLOOKUP(YEAR('Custo Mensal'!A12),Variáveis!$B$2:$F$7,3,0)),0)*2*(VER_D))/(1-PISCOFINS-ICMS))
+(SUM('Projeção de Dados'!B12:C12)*(VLOOKUP(YEAR('Custo Mensal'!A12),Variáveis!$B$2:$F$7,2,0)))/(1-ICMS)
+SUM('Projeção de Dados'!B12:C12)*ENC</f>
        <v>131557.54070842083</v>
      </c>
      <c r="E12" s="58">
        <f>(((SUM('Projeção de Dados'!B12:C12))*(AZUL_E)
+IF(('Projeção de Dados'!D12)&lt;(VLOOKUP(YEAR('Custo Mensal'!A12),Variáveis!$B$2:$F$7,4,0)),(VLOOKUP(YEAR('Custo Mensal'!A12),Variáveis!$B$2:$F$7,4,0)),'Projeção de Dados'!D12)*(AZUL_DP)*(1-DESC)
+IF(('Projeção de Dados'!E12)&lt;(VLOOKUP(YEAR('Custo Mensal'!A12),Variáveis!$B$2:$F$7,5,0)),(VLOOKUP(YEAR('Custo Mensal'!A12),Variáveis!$B$2:$F$7,5,0)),'Projeção de Dados'!E12)*(AZUL_DFP)*(1-DESC)
+(IF(('Projeção de Dados'!D12)&gt;((VLOOKUP(YEAR('Custo Mensal'!A12),Variáveis!$B$2:$F$7,4,0))*(1+ULTR)),(('Projeção de Dados'!D12)-(VLOOKUP(YEAR('Custo Mensal'!A12),Variáveis!$B$2:$F$7,4,0))),0))*2*(AZUL_DP)
+(IF(('Projeção de Dados'!E12)&gt;((VLOOKUP(YEAR('Custo Mensal'!A12),Variáveis!$B$2:$F$7,5,0))*(1+ULTR)),(('Projeção de Dados'!E12)-(VLOOKUP(YEAR('Custo Mensal'!A12),Variáveis!$B$2:$F$7,5,0))),0))*2*(AZUL_DFP))/(1-PISCOFINS-ICMS))
+(SUM('Projeção de Dados'!B12:C12)*(VLOOKUP(YEAR('Custo Mensal'!A12),Variáveis!$B$2:$F$7,2,0)))/(1-ICMS)
+SUM('Projeção de Dados'!B12:C12)*ENC</f>
        <v>136006.89846194119</v>
      </c>
    </row>
    <row r="13" spans="1:5" x14ac:dyDescent="0.25">
      <c r="A13" s="64">
        <v>44896</v>
      </c>
      <c r="B13" s="62">
        <f>('Projeção de Dados'!B13*(VER_EP+VER_TEP)
+'Projeção de Dados'!C13*(VER_EFP+VER_TEFP)
+IF((MAX('Projeção de Dados'!D13:E13))&lt;(VLOOKUP(YEAR('Custo Mensal'!A13),Variáveis!$B$2:$F$7,3,0)),(VLOOKUP(YEAR('Custo Mensal'!A13),Variáveis!$B$2:$F$7,3,0)),MAX('Projeção de Dados'!D13:E13))*(VER_D)
+IF(MAX('Projeção de Dados'!D13:E13)&gt;VLOOKUP(YEAR('Custo Mensal'!A13),Variáveis!$B$2:$F$7,3,0)*(1+ULTR),(MAX('Projeção de Dados'!D13:E13)-VLOOKUP(YEAR('Custo Mensal'!A13),Variáveis!$B$2:$F$7,3,0)),0)*2*(VER_D))/(1-PISCOFINS-ICMS)</f>
        <v>195821.80477004993</v>
      </c>
      <c r="C13" s="62">
        <f>(('Projeção de Dados'!B13)*(AZUL_E+AZUL_TEP)
+('Projeção de Dados'!C13)*(AZUL_E+AZUL_TEFP)
+IF(('Projeção de Dados'!D13)&lt;(VLOOKUP(YEAR('Custo Mensal'!A13),Variáveis!$B$2:$F$7,4,0)),(VLOOKUP(YEAR('Custo Mensal'!A13),Variáveis!$B$2:$F$7,4,0)),'Projeção de Dados'!D13)*(AZUL_DP)
+IF(('Projeção de Dados'!E13)&lt;(VLOOKUP(YEAR('Custo Mensal'!A13),Variáveis!$B$2:$F$7,5,0)),(VLOOKUP(YEAR('Custo Mensal'!A13),Variáveis!$B$2:$F$7,5,0)),'Projeção de Dados'!E13)*(AZUL_DFP)
+(IF(('Projeção de Dados'!D13)&gt;((VLOOKUP(YEAR('Custo Mensal'!A13),Variáveis!$B$2:$F$7,4,0))*(1+ULTR)),(('Projeção de Dados'!D13)-(VLOOKUP(YEAR('Custo Mensal'!A13),Variáveis!$B$2:$F$7,4,0))),0))*2*(AZUL_DP)
+(IF(('Projeção de Dados'!E13)&gt;((VLOOKUP(YEAR('Custo Mensal'!A13),Variáveis!$B$2:$F$7,5,0))*(1+ULTR)),(('Projeção de Dados'!E13)-(VLOOKUP(YEAR('Custo Mensal'!A13),Variáveis!$B$2:$F$7,5,0))),0))*2*(AZUL_DFP))/(1-PISCOFINS-ICMS)</f>
        <v>202150.39202243616</v>
      </c>
      <c r="D13" s="59">
        <f>(('Projeção de Dados'!B13*((VER_EP-VER_EFP)*(1-DESC)+VER_EFP)
+'Projeção de Dados'!C13*(VER_EFP)
+IF((MAX('Projeção de Dados'!D13:E13))&lt;(VLOOKUP(YEAR('Custo Mensal'!A13),Variáveis!$B$2:$F$7,3,0)),(VLOOKUP(YEAR('Custo Mensal'!A13),Variáveis!$B$2:$F$7,3,0)),MAX('Projeção de Dados'!D13:E13))*(VER_D)*(1-DESC)
+IF(MAX('Projeção de Dados'!D13:E13)&gt;VLOOKUP(YEAR('Custo Mensal'!A13),Variáveis!$B$2:$F$7,3,0)*(1+ULTR),(MAX('Projeção de Dados'!D13:E13)-VLOOKUP(YEAR('Custo Mensal'!A13),Variáveis!$B$2:$F$7,3,0)),0)*2*(VER_D))/(1-PISCOFINS-ICMS))
+(SUM('Projeção de Dados'!B13:C13)*(VLOOKUP(YEAR('Custo Mensal'!A13),Variáveis!$B$2:$F$7,2,0)))/(1-ICMS)
+SUM('Projeção de Dados'!B13:C13)*ENC</f>
        <v>148349.05403265957</v>
      </c>
      <c r="E13" s="59">
        <f>(((SUM('Projeção de Dados'!B13:C13))*(AZUL_E)
+IF(('Projeção de Dados'!D13)&lt;(VLOOKUP(YEAR('Custo Mensal'!A13),Variáveis!$B$2:$F$7,4,0)),(VLOOKUP(YEAR('Custo Mensal'!A13),Variáveis!$B$2:$F$7,4,0)),'Projeção de Dados'!D13)*(AZUL_DP)*(1-DESC)
+IF(('Projeção de Dados'!E13)&lt;(VLOOKUP(YEAR('Custo Mensal'!A13),Variáveis!$B$2:$F$7,5,0)),(VLOOKUP(YEAR('Custo Mensal'!A13),Variáveis!$B$2:$F$7,5,0)),'Projeção de Dados'!E13)*(AZUL_DFP)*(1-DESC)
+(IF(('Projeção de Dados'!D13)&gt;((VLOOKUP(YEAR('Custo Mensal'!A13),Variáveis!$B$2:$F$7,4,0))*(1+ULTR)),(('Projeção de Dados'!D13)-(VLOOKUP(YEAR('Custo Mensal'!A13),Variáveis!$B$2:$F$7,4,0))),0))*2*(AZUL_DP)
+(IF(('Projeção de Dados'!E13)&gt;((VLOOKUP(YEAR('Custo Mensal'!A13),Variáveis!$B$2:$F$7,5,0))*(1+ULTR)),(('Projeção de Dados'!E13)-(VLOOKUP(YEAR('Custo Mensal'!A13),Variáveis!$B$2:$F$7,5,0))),0))*2*(AZUL_DFP))/(1-PISCOFINS-ICMS))
+(SUM('Projeção de Dados'!B13:C13)*(VLOOKUP(YEAR('Custo Mensal'!A13),Variáveis!$B$2:$F$7,2,0)))/(1-ICMS)
+SUM('Projeção de Dados'!B13:C13)*ENC</f>
        <v>151513.3476588527</v>
      </c>
    </row>
    <row r="14" spans="1:5" x14ac:dyDescent="0.25">
      <c r="A14" s="64">
        <v>44927</v>
      </c>
      <c r="B14" s="61">
        <f>('Projeção de Dados'!B14*(VER_EP+VER_TEP)
+'Projeção de Dados'!C14*(VER_EFP+VER_TEFP)
+IF((MAX('Projeção de Dados'!D14:E14))&lt;(VLOOKUP(YEAR('Custo Mensal'!A14),Variáveis!$B$2:$F$7,3,0)),(VLOOKUP(YEAR('Custo Mensal'!A14),Variáveis!$B$2:$F$7,3,0)),MAX('Projeção de Dados'!D14:E14))*(VER_D)
+IF(MAX('Projeção de Dados'!D14:E14)&gt;VLOOKUP(YEAR('Custo Mensal'!A14),Variáveis!$B$2:$F$7,3,0)*(1+ULTR),(MAX('Projeção de Dados'!D14:E14)-VLOOKUP(YEAR('Custo Mensal'!A14),Variáveis!$B$2:$F$7,3,0)),0)*2*(VER_D))/(1-PISCOFINS-ICMS)</f>
        <v>177844.87578397695</v>
      </c>
      <c r="C14" s="61">
        <f>(('Projeção de Dados'!B14)*(AZUL_E+AZUL_TEP)
+('Projeção de Dados'!C14)*(AZUL_E+AZUL_TEFP)
+IF(('Projeção de Dados'!D14)&lt;(VLOOKUP(YEAR('Custo Mensal'!A14),Variáveis!$B$2:$F$7,4,0)),(VLOOKUP(YEAR('Custo Mensal'!A14),Variáveis!$B$2:$F$7,4,0)),'Projeção de Dados'!D14)*(AZUL_DP)
+IF(('Projeção de Dados'!E14)&lt;(VLOOKUP(YEAR('Custo Mensal'!A14),Variáveis!$B$2:$F$7,5,0)),(VLOOKUP(YEAR('Custo Mensal'!A14),Variáveis!$B$2:$F$7,5,0)),'Projeção de Dados'!E14)*(AZUL_DFP)
+(IF(('Projeção de Dados'!D14)&gt;((VLOOKUP(YEAR('Custo Mensal'!A14),Variáveis!$B$2:$F$7,4,0))*(1+ULTR)),(('Projeção de Dados'!D14)-(VLOOKUP(YEAR('Custo Mensal'!A14),Variáveis!$B$2:$F$7,4,0))),0))*2*(AZUL_DP)
+(IF(('Projeção de Dados'!E14)&gt;((VLOOKUP(YEAR('Custo Mensal'!A14),Variáveis!$B$2:$F$7,5,0))*(1+ULTR)),(('Projeção de Dados'!E14)-(VLOOKUP(YEAR('Custo Mensal'!A14),Variáveis!$B$2:$F$7,5,0))),0))*2*(AZUL_DFP))/(1-PISCOFINS-ICMS)</f>
        <v>192937.63118740221</v>
      </c>
      <c r="D14" s="58">
        <f>(('Projeção de Dados'!B14*((VER_EP-VER_EFP)*(1-DESC)+VER_EFP)
+'Projeção de Dados'!C14*(VER_EFP)
+IF((MAX('Projeção de Dados'!D14:E14))&lt;(VLOOKUP(YEAR('Custo Mensal'!A14),Variáveis!$B$2:$F$7,3,0)),(VLOOKUP(YEAR('Custo Mensal'!A14),Variáveis!$B$2:$F$7,3,0)),MAX('Projeção de Dados'!D14:E14))*(VER_D)*(1-DESC)
+IF(MAX('Projeção de Dados'!D14:E14)&gt;VLOOKUP(YEAR('Custo Mensal'!A14),Variáveis!$B$2:$F$7,3,0)*(1+ULTR),(MAX('Projeção de Dados'!D14:E14)-VLOOKUP(YEAR('Custo Mensal'!A14),Variáveis!$B$2:$F$7,3,0)),0)*2*(VER_D))/(1-PISCOFINS-ICMS))
+(SUM('Projeção de Dados'!B14:C14)*(VLOOKUP(YEAR('Custo Mensal'!A14),Variáveis!$B$2:$F$7,2,0)))/(1-ICMS)
+SUM('Projeção de Dados'!B14:C14)*ENC</f>
        <v>126081.05453819988</v>
      </c>
      <c r="E14" s="58">
        <f>(((SUM('Projeção de Dados'!B14:C14))*(AZUL_E)
+IF(('Projeção de Dados'!D14)&lt;(VLOOKUP(YEAR('Custo Mensal'!A14),Variáveis!$B$2:$F$7,4,0)),(VLOOKUP(YEAR('Custo Mensal'!A14),Variáveis!$B$2:$F$7,4,0)),'Projeção de Dados'!D14)*(AZUL_DP)*(1-DESC)
+IF(('Projeção de Dados'!E14)&lt;(VLOOKUP(YEAR('Custo Mensal'!A14),Variáveis!$B$2:$F$7,5,0)),(VLOOKUP(YEAR('Custo Mensal'!A14),Variáveis!$B$2:$F$7,5,0)),'Projeção de Dados'!E14)*(AZUL_DFP)*(1-DESC)
+(IF(('Projeção de Dados'!D14)&gt;((VLOOKUP(YEAR('Custo Mensal'!A14),Variáveis!$B$2:$F$7,4,0))*(1+ULTR)),(('Projeção de Dados'!D14)-(VLOOKUP(YEAR('Custo Mensal'!A14),Variáveis!$B$2:$F$7,4,0))),0))*2*(AZUL_DP)
+(IF(('Projeção de Dados'!E14)&gt;((VLOOKUP(YEAR('Custo Mensal'!A14),Variáveis!$B$2:$F$7,5,0))*(1+ULTR)),(('Projeção de Dados'!E14)-(VLOOKUP(YEAR('Custo Mensal'!A14),Variáveis!$B$2:$F$7,5,0))),0))*2*(AZUL_DFP))/(1-PISCOFINS-ICMS))
+(SUM('Projeção de Dados'!B14:C14)*(VLOOKUP(YEAR('Custo Mensal'!A14),Variáveis!$B$2:$F$7,2,0)))/(1-ICMS)
+SUM('Projeção de Dados'!B14:C14)*ENC</f>
        <v>133627.43223991251</v>
      </c>
    </row>
    <row r="15" spans="1:5" x14ac:dyDescent="0.25">
      <c r="A15" s="64">
        <v>44958</v>
      </c>
      <c r="B15" s="62">
        <f>('Projeção de Dados'!B15*(VER_EP+VER_TEP)
+'Projeção de Dados'!C15*(VER_EFP+VER_TEFP)
+IF((MAX('Projeção de Dados'!D15:E15))&lt;(VLOOKUP(YEAR('Custo Mensal'!A15),Variáveis!$B$2:$F$7,3,0)),(VLOOKUP(YEAR('Custo Mensal'!A15),Variáveis!$B$2:$F$7,3,0)),MAX('Projeção de Dados'!D15:E15))*(VER_D)
+IF(MAX('Projeção de Dados'!D15:E15)&gt;VLOOKUP(YEAR('Custo Mensal'!A15),Variáveis!$B$2:$F$7,3,0)*(1+ULTR),(MAX('Projeção de Dados'!D15:E15)-VLOOKUP(YEAR('Custo Mensal'!A15),Variáveis!$B$2:$F$7,3,0)),0)*2*(VER_D))/(1-PISCOFINS-ICMS)</f>
        <v>172028.94779892435</v>
      </c>
      <c r="C15" s="62">
        <f>(('Projeção de Dados'!B15)*(AZUL_E+AZUL_TEP)
+('Projeção de Dados'!C15)*(AZUL_E+AZUL_TEFP)
+IF(('Projeção de Dados'!D15)&lt;(VLOOKUP(YEAR('Custo Mensal'!A15),Variáveis!$B$2:$F$7,4,0)),(VLOOKUP(YEAR('Custo Mensal'!A15),Variáveis!$B$2:$F$7,4,0)),'Projeção de Dados'!D15)*(AZUL_DP)
+IF(('Projeção de Dados'!E15)&lt;(VLOOKUP(YEAR('Custo Mensal'!A15),Variáveis!$B$2:$F$7,5,0)),(VLOOKUP(YEAR('Custo Mensal'!A15),Variáveis!$B$2:$F$7,5,0)),'Projeção de Dados'!E15)*(AZUL_DFP)
+(IF(('Projeção de Dados'!D15)&gt;((VLOOKUP(YEAR('Custo Mensal'!A15),Variáveis!$B$2:$F$7,4,0))*(1+ULTR)),(('Projeção de Dados'!D15)-(VLOOKUP(YEAR('Custo Mensal'!A15),Variáveis!$B$2:$F$7,4,0))),0))*2*(AZUL_DP)
+(IF(('Projeção de Dados'!E15)&gt;((VLOOKUP(YEAR('Custo Mensal'!A15),Variáveis!$B$2:$F$7,5,0))*(1+ULTR)),(('Projeção de Dados'!E15)-(VLOOKUP(YEAR('Custo Mensal'!A15),Variáveis!$B$2:$F$7,5,0))),0))*2*(AZUL_DFP))/(1-PISCOFINS-ICMS)</f>
        <v>188702.65972752916</v>
      </c>
      <c r="D15" s="59">
        <f>(('Projeção de Dados'!B15*((VER_EP-VER_EFP)*(1-DESC)+VER_EFP)
+'Projeção de Dados'!C15*(VER_EFP)
+IF((MAX('Projeção de Dados'!D15:E15))&lt;(VLOOKUP(YEAR('Custo Mensal'!A15),Variáveis!$B$2:$F$7,3,0)),(VLOOKUP(YEAR('Custo Mensal'!A15),Variáveis!$B$2:$F$7,3,0)),MAX('Projeção de Dados'!D15:E15))*(VER_D)*(1-DESC)
+IF(MAX('Projeção de Dados'!D15:E15)&gt;VLOOKUP(YEAR('Custo Mensal'!A15),Variáveis!$B$2:$F$7,3,0)*(1+ULTR),(MAX('Projeção de Dados'!D15:E15)-VLOOKUP(YEAR('Custo Mensal'!A15),Variáveis!$B$2:$F$7,3,0)),0)*2*(VER_D))/(1-PISCOFINS-ICMS))
+(SUM('Projeção de Dados'!B15:C15)*(VLOOKUP(YEAR('Custo Mensal'!A15),Variáveis!$B$2:$F$7,2,0)))/(1-ICMS)
+SUM('Projeção de Dados'!B15:C15)*ENC</f>
        <v>121886.09908082119</v>
      </c>
      <c r="E15" s="59">
        <f>(((SUM('Projeção de Dados'!B15:C15))*(AZUL_E)
+IF(('Projeção de Dados'!D15)&lt;(VLOOKUP(YEAR('Custo Mensal'!A15),Variáveis!$B$2:$F$7,4,0)),(VLOOKUP(YEAR('Custo Mensal'!A15),Variáveis!$B$2:$F$7,4,0)),'Projeção de Dados'!D15)*(AZUL_DP)*(1-DESC)
+IF(('Projeção de Dados'!E15)&lt;(VLOOKUP(YEAR('Custo Mensal'!A15),Variáveis!$B$2:$F$7,5,0)),(VLOOKUP(YEAR('Custo Mensal'!A15),Variáveis!$B$2:$F$7,5,0)),'Projeção de Dados'!E15)*(AZUL_DFP)*(1-DESC)
+(IF(('Projeção de Dados'!D15)&gt;((VLOOKUP(YEAR('Custo Mensal'!A15),Variáveis!$B$2:$F$7,4,0))*(1+ULTR)),(('Projeção de Dados'!D15)-(VLOOKUP(YEAR('Custo Mensal'!A15),Variáveis!$B$2:$F$7,4,0))),0))*2*(AZUL_DP)
+(IF(('Projeção de Dados'!E15)&gt;((VLOOKUP(YEAR('Custo Mensal'!A15),Variáveis!$B$2:$F$7,5,0))*(1+ULTR)),(('Projeção de Dados'!E15)-(VLOOKUP(YEAR('Custo Mensal'!A15),Variáveis!$B$2:$F$7,5,0))),0))*2*(AZUL_DFP))/(1-PISCOFINS-ICMS))
+(SUM('Projeção de Dados'!B15:C15)*(VLOOKUP(YEAR('Custo Mensal'!A15),Variáveis!$B$2:$F$7,2,0)))/(1-ICMS)
+SUM('Projeção de Dados'!B15:C15)*ENC</f>
        <v>130222.9550451236</v>
      </c>
    </row>
    <row r="16" spans="1:5" x14ac:dyDescent="0.25">
      <c r="A16" s="64">
        <v>44986</v>
      </c>
      <c r="B16" s="61">
        <f>('Projeção de Dados'!B16*(VER_EP+VER_TEP)
+'Projeção de Dados'!C16*(VER_EFP+VER_TEFP)
+IF((MAX('Projeção de Dados'!D16:E16))&lt;(VLOOKUP(YEAR('Custo Mensal'!A16),Variáveis!$B$2:$F$7,3,0)),(VLOOKUP(YEAR('Custo Mensal'!A16),Variáveis!$B$2:$F$7,3,0)),MAX('Projeção de Dados'!D16:E16))*(VER_D)
+IF(MAX('Projeção de Dados'!D16:E16)&gt;VLOOKUP(YEAR('Custo Mensal'!A16),Variáveis!$B$2:$F$7,3,0)*(1+ULTR),(MAX('Projeção de Dados'!D16:E16)-VLOOKUP(YEAR('Custo Mensal'!A16),Variáveis!$B$2:$F$7,3,0)),0)*2*(VER_D))/(1-PISCOFINS-ICMS)</f>
        <v>232102.673085071</v>
      </c>
      <c r="C16" s="61">
        <f>(('Projeção de Dados'!B16)*(AZUL_E+AZUL_TEP)
+('Projeção de Dados'!C16)*(AZUL_E+AZUL_TEFP)
+IF(('Projeção de Dados'!D16)&lt;(VLOOKUP(YEAR('Custo Mensal'!A16),Variáveis!$B$2:$F$7,4,0)),(VLOOKUP(YEAR('Custo Mensal'!A16),Variáveis!$B$2:$F$7,4,0)),'Projeção de Dados'!D16)*(AZUL_DP)
+IF(('Projeção de Dados'!E16)&lt;(VLOOKUP(YEAR('Custo Mensal'!A16),Variáveis!$B$2:$F$7,5,0)),(VLOOKUP(YEAR('Custo Mensal'!A16),Variáveis!$B$2:$F$7,5,0)),'Projeção de Dados'!E16)*(AZUL_DFP)
+(IF(('Projeção de Dados'!D16)&gt;((VLOOKUP(YEAR('Custo Mensal'!A16),Variáveis!$B$2:$F$7,4,0))*(1+ULTR)),(('Projeção de Dados'!D16)-(VLOOKUP(YEAR('Custo Mensal'!A16),Variáveis!$B$2:$F$7,4,0))),0))*2*(AZUL_DP)
+(IF(('Projeção de Dados'!E16)&gt;((VLOOKUP(YEAR('Custo Mensal'!A16),Variáveis!$B$2:$F$7,5,0))*(1+ULTR)),(('Projeção de Dados'!E16)-(VLOOKUP(YEAR('Custo Mensal'!A16),Variáveis!$B$2:$F$7,5,0))),0))*2*(AZUL_DFP))/(1-PISCOFINS-ICMS)</f>
        <v>243872.76566947557</v>
      </c>
      <c r="D16" s="58">
        <f>(('Projeção de Dados'!B16*((VER_EP-VER_EFP)*(1-DESC)+VER_EFP)
+'Projeção de Dados'!C16*(VER_EFP)
+IF((MAX('Projeção de Dados'!D16:E16))&lt;(VLOOKUP(YEAR('Custo Mensal'!A16),Variáveis!$B$2:$F$7,3,0)),(VLOOKUP(YEAR('Custo Mensal'!A16),Variáveis!$B$2:$F$7,3,0)),MAX('Projeção de Dados'!D16:E16))*(VER_D)*(1-DESC)
+IF(MAX('Projeção de Dados'!D16:E16)&gt;VLOOKUP(YEAR('Custo Mensal'!A16),Variáveis!$B$2:$F$7,3,0)*(1+ULTR),(MAX('Projeção de Dados'!D16:E16)-VLOOKUP(YEAR('Custo Mensal'!A16),Variáveis!$B$2:$F$7,3,0)),0)*2*(VER_D))/(1-PISCOFINS-ICMS))
+(SUM('Projeção de Dados'!B16:C16)*(VLOOKUP(YEAR('Custo Mensal'!A16),Variáveis!$B$2:$F$7,2,0)))/(1-ICMS)
+SUM('Projeção de Dados'!B16:C16)*ENC</f>
        <v>163678.86336124327</v>
      </c>
      <c r="E16" s="58">
        <f>(((SUM('Projeção de Dados'!B16:C16))*(AZUL_E)
+IF(('Projeção de Dados'!D16)&lt;(VLOOKUP(YEAR('Custo Mensal'!A16),Variáveis!$B$2:$F$7,4,0)),(VLOOKUP(YEAR('Custo Mensal'!A16),Variáveis!$B$2:$F$7,4,0)),'Projeção de Dados'!D16)*(AZUL_DP)*(1-DESC)
+IF(('Projeção de Dados'!E16)&lt;(VLOOKUP(YEAR('Custo Mensal'!A16),Variáveis!$B$2:$F$7,5,0)),(VLOOKUP(YEAR('Custo Mensal'!A16),Variáveis!$B$2:$F$7,5,0)),'Projeção de Dados'!E16)*(AZUL_DFP)*(1-DESC)
+(IF(('Projeção de Dados'!D16)&gt;((VLOOKUP(YEAR('Custo Mensal'!A16),Variáveis!$B$2:$F$7,4,0))*(1+ULTR)),(('Projeção de Dados'!D16)-(VLOOKUP(YEAR('Custo Mensal'!A16),Variáveis!$B$2:$F$7,4,0))),0))*2*(AZUL_DP)
+(IF(('Projeção de Dados'!E16)&gt;((VLOOKUP(YEAR('Custo Mensal'!A16),Variáveis!$B$2:$F$7,5,0))*(1+ULTR)),(('Projeção de Dados'!E16)-(VLOOKUP(YEAR('Custo Mensal'!A16),Variáveis!$B$2:$F$7,5,0))),0))*2*(AZUL_DFP))/(1-PISCOFINS-ICMS))
+(SUM('Projeção de Dados'!B16:C16)*(VLOOKUP(YEAR('Custo Mensal'!A16),Variáveis!$B$2:$F$7,2,0)))/(1-ICMS)
+SUM('Projeção de Dados'!B16:C16)*ENC</f>
        <v>174177.02491995954</v>
      </c>
    </row>
    <row r="17" spans="1:5" x14ac:dyDescent="0.25">
      <c r="A17" s="64">
        <v>45017</v>
      </c>
      <c r="B17" s="62">
        <f>('Projeção de Dados'!B17*(VER_EP+VER_TEP)
+'Projeção de Dados'!C17*(VER_EFP+VER_TEFP)
+IF((MAX('Projeção de Dados'!D17:E17))&lt;(VLOOKUP(YEAR('Custo Mensal'!A17),Variáveis!$B$2:$F$7,3,0)),(VLOOKUP(YEAR('Custo Mensal'!A17),Variáveis!$B$2:$F$7,3,0)),MAX('Projeção de Dados'!D17:E17))*(VER_D)
+IF(MAX('Projeção de Dados'!D17:E17)&gt;VLOOKUP(YEAR('Custo Mensal'!A17),Variáveis!$B$2:$F$7,3,0)*(1+ULTR),(MAX('Projeção de Dados'!D17:E17)-VLOOKUP(YEAR('Custo Mensal'!A17),Variáveis!$B$2:$F$7,3,0)),0)*2*(VER_D))/(1-PISCOFINS-ICMS)</f>
        <v>230709.75873380221</v>
      </c>
      <c r="C17" s="62">
        <f>(('Projeção de Dados'!B17)*(AZUL_E+AZUL_TEP)
+('Projeção de Dados'!C17)*(AZUL_E+AZUL_TEFP)
+IF(('Projeção de Dados'!D17)&lt;(VLOOKUP(YEAR('Custo Mensal'!A17),Variáveis!$B$2:$F$7,4,0)),(VLOOKUP(YEAR('Custo Mensal'!A17),Variáveis!$B$2:$F$7,4,0)),'Projeção de Dados'!D17)*(AZUL_DP)
+IF(('Projeção de Dados'!E17)&lt;(VLOOKUP(YEAR('Custo Mensal'!A17),Variáveis!$B$2:$F$7,5,0)),(VLOOKUP(YEAR('Custo Mensal'!A17),Variáveis!$B$2:$F$7,5,0)),'Projeção de Dados'!E17)*(AZUL_DFP)
+(IF(('Projeção de Dados'!D17)&gt;((VLOOKUP(YEAR('Custo Mensal'!A17),Variáveis!$B$2:$F$7,4,0))*(1+ULTR)),(('Projeção de Dados'!D17)-(VLOOKUP(YEAR('Custo Mensal'!A17),Variáveis!$B$2:$F$7,4,0))),0))*2*(AZUL_DP)
+(IF(('Projeção de Dados'!E17)&gt;((VLOOKUP(YEAR('Custo Mensal'!A17),Variáveis!$B$2:$F$7,5,0))*(1+ULTR)),(('Projeção de Dados'!E17)-(VLOOKUP(YEAR('Custo Mensal'!A17),Variáveis!$B$2:$F$7,5,0))),0))*2*(AZUL_DFP))/(1-PISCOFINS-ICMS)</f>
        <v>245029.28862441186</v>
      </c>
      <c r="D17" s="59">
        <f>(('Projeção de Dados'!B17*((VER_EP-VER_EFP)*(1-DESC)+VER_EFP)
+'Projeção de Dados'!C17*(VER_EFP)
+IF((MAX('Projeção de Dados'!D17:E17))&lt;(VLOOKUP(YEAR('Custo Mensal'!A17),Variáveis!$B$2:$F$7,3,0)),(VLOOKUP(YEAR('Custo Mensal'!A17),Variáveis!$B$2:$F$7,3,0)),MAX('Projeção de Dados'!D17:E17))*(VER_D)*(1-DESC)
+IF(MAX('Projeção de Dados'!D17:E17)&gt;VLOOKUP(YEAR('Custo Mensal'!A17),Variáveis!$B$2:$F$7,3,0)*(1+ULTR),(MAX('Projeção de Dados'!D17:E17)-VLOOKUP(YEAR('Custo Mensal'!A17),Variáveis!$B$2:$F$7,3,0)),0)*2*(VER_D))/(1-PISCOFINS-ICMS))
+(SUM('Projeção de Dados'!B17:C17)*(VLOOKUP(YEAR('Custo Mensal'!A17),Variáveis!$B$2:$F$7,2,0)))/(1-ICMS)
+SUM('Projeção de Dados'!B17:C17)*ENC</f>
        <v>161499.14177895687</v>
      </c>
      <c r="E17" s="59">
        <f>(((SUM('Projeção de Dados'!B17:C17))*(AZUL_E)
+IF(('Projeção de Dados'!D17)&lt;(VLOOKUP(YEAR('Custo Mensal'!A17),Variáveis!$B$2:$F$7,4,0)),(VLOOKUP(YEAR('Custo Mensal'!A17),Variáveis!$B$2:$F$7,4,0)),'Projeção de Dados'!D17)*(AZUL_DP)*(1-DESC)
+IF(('Projeção de Dados'!E17)&lt;(VLOOKUP(YEAR('Custo Mensal'!A17),Variáveis!$B$2:$F$7,5,0)),(VLOOKUP(YEAR('Custo Mensal'!A17),Variáveis!$B$2:$F$7,5,0)),'Projeção de Dados'!E17)*(AZUL_DFP)*(1-DESC)
+(IF(('Projeção de Dados'!D17)&gt;((VLOOKUP(YEAR('Custo Mensal'!A17),Variáveis!$B$2:$F$7,4,0))*(1+ULTR)),(('Projeção de Dados'!D17)-(VLOOKUP(YEAR('Custo Mensal'!A17),Variáveis!$B$2:$F$7,4,0))),0))*2*(AZUL_DP)
+(IF(('Projeção de Dados'!E17)&gt;((VLOOKUP(YEAR('Custo Mensal'!A17),Variáveis!$B$2:$F$7,5,0))*(1+ULTR)),(('Projeção de Dados'!E17)-(VLOOKUP(YEAR('Custo Mensal'!A17),Variáveis!$B$2:$F$7,5,0))),0))*2*(AZUL_DFP))/(1-PISCOFINS-ICMS))
+(SUM('Projeção de Dados'!B17:C17)*(VLOOKUP(YEAR('Custo Mensal'!A17),Variáveis!$B$2:$F$7,2,0)))/(1-ICMS)
+SUM('Projeção de Dados'!B17:C17)*ENC</f>
        <v>174879.45117953626</v>
      </c>
    </row>
    <row r="18" spans="1:5" x14ac:dyDescent="0.25">
      <c r="A18" s="64">
        <v>45047</v>
      </c>
      <c r="B18" s="61">
        <f>('Projeção de Dados'!B18*(VER_EP+VER_TEP)
+'Projeção de Dados'!C18*(VER_EFP+VER_TEFP)
+IF((MAX('Projeção de Dados'!D18:E18))&lt;(VLOOKUP(YEAR('Custo Mensal'!A18),Variáveis!$B$2:$F$7,3,0)),(VLOOKUP(YEAR('Custo Mensal'!A18),Variáveis!$B$2:$F$7,3,0)),MAX('Projeção de Dados'!D18:E18))*(VER_D)
+IF(MAX('Projeção de Dados'!D18:E18)&gt;VLOOKUP(YEAR('Custo Mensal'!A18),Variáveis!$B$2:$F$7,3,0)*(1+ULTR),(MAX('Projeção de Dados'!D18:E18)-VLOOKUP(YEAR('Custo Mensal'!A18),Variáveis!$B$2:$F$7,3,0)),0)*2*(VER_D))/(1-PISCOFINS-ICMS)</f>
        <v>187615.75972166762</v>
      </c>
      <c r="C18" s="61">
        <f>(('Projeção de Dados'!B18)*(AZUL_E+AZUL_TEP)
+('Projeção de Dados'!C18)*(AZUL_E+AZUL_TEFP)
+IF(('Projeção de Dados'!D18)&lt;(VLOOKUP(YEAR('Custo Mensal'!A18),Variáveis!$B$2:$F$7,4,0)),(VLOOKUP(YEAR('Custo Mensal'!A18),Variáveis!$B$2:$F$7,4,0)),'Projeção de Dados'!D18)*(AZUL_DP)
+IF(('Projeção de Dados'!E18)&lt;(VLOOKUP(YEAR('Custo Mensal'!A18),Variáveis!$B$2:$F$7,5,0)),(VLOOKUP(YEAR('Custo Mensal'!A18),Variáveis!$B$2:$F$7,5,0)),'Projeção de Dados'!E18)*(AZUL_DFP)
+(IF(('Projeção de Dados'!D18)&gt;((VLOOKUP(YEAR('Custo Mensal'!A18),Variáveis!$B$2:$F$7,4,0))*(1+ULTR)),(('Projeção de Dados'!D18)-(VLOOKUP(YEAR('Custo Mensal'!A18),Variáveis!$B$2:$F$7,4,0))),0))*2*(AZUL_DP)
+(IF(('Projeção de Dados'!E18)&gt;((VLOOKUP(YEAR('Custo Mensal'!A18),Variáveis!$B$2:$F$7,5,0))*(1+ULTR)),(('Projeção de Dados'!E18)-(VLOOKUP(YEAR('Custo Mensal'!A18),Variáveis!$B$2:$F$7,5,0))),0))*2*(AZUL_DFP))/(1-PISCOFINS-ICMS)</f>
        <v>192032.66768680589</v>
      </c>
      <c r="D18" s="58">
        <f>(('Projeção de Dados'!B18*((VER_EP-VER_EFP)*(1-DESC)+VER_EFP)
+'Projeção de Dados'!C18*(VER_EFP)
+IF((MAX('Projeção de Dados'!D18:E18))&lt;(VLOOKUP(YEAR('Custo Mensal'!A18),Variáveis!$B$2:$F$7,3,0)),(VLOOKUP(YEAR('Custo Mensal'!A18),Variáveis!$B$2:$F$7,3,0)),MAX('Projeção de Dados'!D18:E18))*(VER_D)*(1-DESC)
+IF(MAX('Projeção de Dados'!D18:E18)&gt;VLOOKUP(YEAR('Custo Mensal'!A18),Variáveis!$B$2:$F$7,3,0)*(1+ULTR),(MAX('Projeção de Dados'!D18:E18)-VLOOKUP(YEAR('Custo Mensal'!A18),Variáveis!$B$2:$F$7,3,0)),0)*2*(VER_D))/(1-PISCOFINS-ICMS))
+(SUM('Projeção de Dados'!B18:C18)*(VLOOKUP(YEAR('Custo Mensal'!A18),Variáveis!$B$2:$F$7,2,0)))/(1-ICMS)
+SUM('Projeção de Dados'!B18:C18)*ENC</f>
        <v>128928.5925943294</v>
      </c>
      <c r="E18" s="58">
        <f>(((SUM('Projeção de Dados'!B18:C18))*(AZUL_E)
+IF(('Projeção de Dados'!D18)&lt;(VLOOKUP(YEAR('Custo Mensal'!A18),Variáveis!$B$2:$F$7,4,0)),(VLOOKUP(YEAR('Custo Mensal'!A18),Variáveis!$B$2:$F$7,4,0)),'Projeção de Dados'!D18)*(AZUL_DP)*(1-DESC)
+IF(('Projeção de Dados'!E18)&lt;(VLOOKUP(YEAR('Custo Mensal'!A18),Variáveis!$B$2:$F$7,5,0)),(VLOOKUP(YEAR('Custo Mensal'!A18),Variáveis!$B$2:$F$7,5,0)),'Projeção de Dados'!E18)*(AZUL_DFP)*(1-DESC)
+(IF(('Projeção de Dados'!D18)&gt;((VLOOKUP(YEAR('Custo Mensal'!A18),Variáveis!$B$2:$F$7,4,0))*(1+ULTR)),(('Projeção de Dados'!D18)-(VLOOKUP(YEAR('Custo Mensal'!A18),Variáveis!$B$2:$F$7,4,0))),0))*2*(AZUL_DP)
+(IF(('Projeção de Dados'!E18)&gt;((VLOOKUP(YEAR('Custo Mensal'!A18),Variáveis!$B$2:$F$7,5,0))*(1+ULTR)),(('Projeção de Dados'!E18)-(VLOOKUP(YEAR('Custo Mensal'!A18),Variáveis!$B$2:$F$7,5,0))),0))*2*(AZUL_DFP))/(1-PISCOFINS-ICMS))
+(SUM('Projeção de Dados'!B18:C18)*(VLOOKUP(YEAR('Custo Mensal'!A18),Variáveis!$B$2:$F$7,2,0)))/(1-ICMS)
+SUM('Projeção de Dados'!B18:C18)*ENC</f>
        <v>131137.04657689852</v>
      </c>
    </row>
    <row r="19" spans="1:5" x14ac:dyDescent="0.25">
      <c r="A19" s="64">
        <v>45078</v>
      </c>
      <c r="B19" s="62">
        <f>('Projeção de Dados'!B19*(VER_EP+VER_TEP)
+'Projeção de Dados'!C19*(VER_EFP+VER_TEFP)
+IF((MAX('Projeção de Dados'!D19:E19))&lt;(VLOOKUP(YEAR('Custo Mensal'!A19),Variáveis!$B$2:$F$7,3,0)),(VLOOKUP(YEAR('Custo Mensal'!A19),Variáveis!$B$2:$F$7,3,0)),MAX('Projeção de Dados'!D19:E19))*(VER_D)
+IF(MAX('Projeção de Dados'!D19:E19)&gt;VLOOKUP(YEAR('Custo Mensal'!A19),Variáveis!$B$2:$F$7,3,0)*(1+ULTR),(MAX('Projeção de Dados'!D19:E19)-VLOOKUP(YEAR('Custo Mensal'!A19),Variáveis!$B$2:$F$7,3,0)),0)*2*(VER_D))/(1-PISCOFINS-ICMS)</f>
        <v>171386.72248862145</v>
      </c>
      <c r="C19" s="62">
        <f>(('Projeção de Dados'!B19)*(AZUL_E+AZUL_TEP)
+('Projeção de Dados'!C19)*(AZUL_E+AZUL_TEFP)
+IF(('Projeção de Dados'!D19)&lt;(VLOOKUP(YEAR('Custo Mensal'!A19),Variáveis!$B$2:$F$7,4,0)),(VLOOKUP(YEAR('Custo Mensal'!A19),Variáveis!$B$2:$F$7,4,0)),'Projeção de Dados'!D19)*(AZUL_DP)
+IF(('Projeção de Dados'!E19)&lt;(VLOOKUP(YEAR('Custo Mensal'!A19),Variáveis!$B$2:$F$7,5,0)),(VLOOKUP(YEAR('Custo Mensal'!A19),Variáveis!$B$2:$F$7,5,0)),'Projeção de Dados'!E19)*(AZUL_DFP)
+(IF(('Projeção de Dados'!D19)&gt;((VLOOKUP(YEAR('Custo Mensal'!A19),Variáveis!$B$2:$F$7,4,0))*(1+ULTR)),(('Projeção de Dados'!D19)-(VLOOKUP(YEAR('Custo Mensal'!A19),Variáveis!$B$2:$F$7,4,0))),0))*2*(AZUL_DP)
+(IF(('Projeção de Dados'!E19)&gt;((VLOOKUP(YEAR('Custo Mensal'!A19),Variáveis!$B$2:$F$7,5,0))*(1+ULTR)),(('Projeção de Dados'!E19)-(VLOOKUP(YEAR('Custo Mensal'!A19),Variáveis!$B$2:$F$7,5,0))),0))*2*(AZUL_DFP))/(1-PISCOFINS-ICMS)</f>
        <v>179440.43891710491</v>
      </c>
      <c r="D19" s="59">
        <f>(('Projeção de Dados'!B19*((VER_EP-VER_EFP)*(1-DESC)+VER_EFP)
+'Projeção de Dados'!C19*(VER_EFP)
+IF((MAX('Projeção de Dados'!D19:E19))&lt;(VLOOKUP(YEAR('Custo Mensal'!A19),Variáveis!$B$2:$F$7,3,0)),(VLOOKUP(YEAR('Custo Mensal'!A19),Variáveis!$B$2:$F$7,3,0)),MAX('Projeção de Dados'!D19:E19))*(VER_D)*(1-DESC)
+IF(MAX('Projeção de Dados'!D19:E19)&gt;VLOOKUP(YEAR('Custo Mensal'!A19),Variáveis!$B$2:$F$7,3,0)*(1+ULTR),(MAX('Projeção de Dados'!D19:E19)-VLOOKUP(YEAR('Custo Mensal'!A19),Variáveis!$B$2:$F$7,3,0)),0)*2*(VER_D))/(1-PISCOFINS-ICMS))
+(SUM('Projeção de Dados'!B19:C19)*(VLOOKUP(YEAR('Custo Mensal'!A19),Variáveis!$B$2:$F$7,2,0)))/(1-ICMS)
+SUM('Projeção de Dados'!B19:C19)*ENC</f>
        <v>117378.87282122188</v>
      </c>
      <c r="E19" s="59">
        <f>(((SUM('Projeção de Dados'!B19:C19))*(AZUL_E)
+IF(('Projeção de Dados'!D19)&lt;(VLOOKUP(YEAR('Custo Mensal'!A19),Variáveis!$B$2:$F$7,4,0)),(VLOOKUP(YEAR('Custo Mensal'!A19),Variáveis!$B$2:$F$7,4,0)),'Projeção de Dados'!D19)*(AZUL_DP)*(1-DESC)
+IF(('Projeção de Dados'!E19)&lt;(VLOOKUP(YEAR('Custo Mensal'!A19),Variáveis!$B$2:$F$7,5,0)),(VLOOKUP(YEAR('Custo Mensal'!A19),Variáveis!$B$2:$F$7,5,0)),'Projeção de Dados'!E19)*(AZUL_DFP)*(1-DESC)
+(IF(('Projeção de Dados'!D19)&gt;((VLOOKUP(YEAR('Custo Mensal'!A19),Variáveis!$B$2:$F$7,4,0))*(1+ULTR)),(('Projeção de Dados'!D19)-(VLOOKUP(YEAR('Custo Mensal'!A19),Variáveis!$B$2:$F$7,4,0))),0))*2*(AZUL_DP)
+(IF(('Projeção de Dados'!E19)&gt;((VLOOKUP(YEAR('Custo Mensal'!A19),Variáveis!$B$2:$F$7,5,0))*(1+ULTR)),(('Projeção de Dados'!E19)-(VLOOKUP(YEAR('Custo Mensal'!A19),Variáveis!$B$2:$F$7,5,0))),0))*2*(AZUL_DFP))/(1-PISCOFINS-ICMS))
+(SUM('Projeção de Dados'!B19:C19)*(VLOOKUP(YEAR('Custo Mensal'!A19),Variáveis!$B$2:$F$7,2,0)))/(1-ICMS)
+SUM('Projeção de Dados'!B19:C19)*ENC</f>
        <v>121405.7310354636</v>
      </c>
    </row>
    <row r="20" spans="1:5" x14ac:dyDescent="0.25">
      <c r="A20" s="64">
        <v>45108</v>
      </c>
      <c r="B20" s="61">
        <f>('Projeção de Dados'!B20*(VER_EP+VER_TEP)
+'Projeção de Dados'!C20*(VER_EFP+VER_TEFP)
+IF((MAX('Projeção de Dados'!D20:E20))&lt;(VLOOKUP(YEAR('Custo Mensal'!A20),Variáveis!$B$2:$F$7,3,0)),(VLOOKUP(YEAR('Custo Mensal'!A20),Variáveis!$B$2:$F$7,3,0)),MAX('Projeção de Dados'!D20:E20))*(VER_D)
+IF(MAX('Projeção de Dados'!D20:E20)&gt;VLOOKUP(YEAR('Custo Mensal'!A20),Variáveis!$B$2:$F$7,3,0)*(1+ULTR),(MAX('Projeção de Dados'!D20:E20)-VLOOKUP(YEAR('Custo Mensal'!A20),Variáveis!$B$2:$F$7,3,0)),0)*2*(VER_D))/(1-PISCOFINS-ICMS)</f>
        <v>159240.5155186975</v>
      </c>
      <c r="C20" s="61">
        <f>(('Projeção de Dados'!B20)*(AZUL_E+AZUL_TEP)
+('Projeção de Dados'!C20)*(AZUL_E+AZUL_TEFP)
+IF(('Projeção de Dados'!D20)&lt;(VLOOKUP(YEAR('Custo Mensal'!A20),Variáveis!$B$2:$F$7,4,0)),(VLOOKUP(YEAR('Custo Mensal'!A20),Variáveis!$B$2:$F$7,4,0)),'Projeção de Dados'!D20)*(AZUL_DP)
+IF(('Projeção de Dados'!E20)&lt;(VLOOKUP(YEAR('Custo Mensal'!A20),Variáveis!$B$2:$F$7,5,0)),(VLOOKUP(YEAR('Custo Mensal'!A20),Variáveis!$B$2:$F$7,5,0)),'Projeção de Dados'!E20)*(AZUL_DFP)
+(IF(('Projeção de Dados'!D20)&gt;((VLOOKUP(YEAR('Custo Mensal'!A20),Variáveis!$B$2:$F$7,4,0))*(1+ULTR)),(('Projeção de Dados'!D20)-(VLOOKUP(YEAR('Custo Mensal'!A20),Variáveis!$B$2:$F$7,4,0))),0))*2*(AZUL_DP)
+(IF(('Projeção de Dados'!E20)&gt;((VLOOKUP(YEAR('Custo Mensal'!A20),Variáveis!$B$2:$F$7,5,0))*(1+ULTR)),(('Projeção de Dados'!E20)-(VLOOKUP(YEAR('Custo Mensal'!A20),Variáveis!$B$2:$F$7,5,0))),0))*2*(AZUL_DFP))/(1-PISCOFINS-ICMS)</f>
        <v>171683.23891925253</v>
      </c>
      <c r="D20" s="58">
        <f>(('Projeção de Dados'!B20*((VER_EP-VER_EFP)*(1-DESC)+VER_EFP)
+'Projeção de Dados'!C20*(VER_EFP)
+IF((MAX('Projeção de Dados'!D20:E20))&lt;(VLOOKUP(YEAR('Custo Mensal'!A20),Variáveis!$B$2:$F$7,3,0)),(VLOOKUP(YEAR('Custo Mensal'!A20),Variáveis!$B$2:$F$7,3,0)),MAX('Projeção de Dados'!D20:E20))*(VER_D)*(1-DESC)
+IF(MAX('Projeção de Dados'!D20:E20)&gt;VLOOKUP(YEAR('Custo Mensal'!A20),Variáveis!$B$2:$F$7,3,0)*(1+ULTR),(MAX('Projeção de Dados'!D20:E20)-VLOOKUP(YEAR('Custo Mensal'!A20),Variáveis!$B$2:$F$7,3,0)),0)*2*(VER_D))/(1-PISCOFINS-ICMS))
+(SUM('Projeção de Dados'!B20:C20)*(VLOOKUP(YEAR('Custo Mensal'!A20),Variáveis!$B$2:$F$7,2,0)))/(1-ICMS)
+SUM('Projeção de Dados'!B20:C20)*ENC</f>
        <v>109174.73978668095</v>
      </c>
      <c r="E20" s="58">
        <f>(((SUM('Projeção de Dados'!B20:C20))*(AZUL_E)
+IF(('Projeção de Dados'!D20)&lt;(VLOOKUP(YEAR('Custo Mensal'!A20),Variáveis!$B$2:$F$7,4,0)),(VLOOKUP(YEAR('Custo Mensal'!A20),Variáveis!$B$2:$F$7,4,0)),'Projeção de Dados'!D20)*(AZUL_DP)*(1-DESC)
+IF(('Projeção de Dados'!E20)&lt;(VLOOKUP(YEAR('Custo Mensal'!A20),Variáveis!$B$2:$F$7,5,0)),(VLOOKUP(YEAR('Custo Mensal'!A20),Variáveis!$B$2:$F$7,5,0)),'Projeção de Dados'!E20)*(AZUL_DFP)*(1-DESC)
+(IF(('Projeção de Dados'!D20)&gt;((VLOOKUP(YEAR('Custo Mensal'!A20),Variáveis!$B$2:$F$7,4,0))*(1+ULTR)),(('Projeção de Dados'!D20)-(VLOOKUP(YEAR('Custo Mensal'!A20),Variáveis!$B$2:$F$7,4,0))),0))*2*(AZUL_DP)
+(IF(('Projeção de Dados'!E20)&gt;((VLOOKUP(YEAR('Custo Mensal'!A20),Variáveis!$B$2:$F$7,5,0))*(1+ULTR)),(('Projeção de Dados'!E20)-(VLOOKUP(YEAR('Custo Mensal'!A20),Variáveis!$B$2:$F$7,5,0))),0))*2*(AZUL_DFP))/(1-PISCOFINS-ICMS))
+(SUM('Projeção de Dados'!B20:C20)*(VLOOKUP(YEAR('Custo Mensal'!A20),Variáveis!$B$2:$F$7,2,0)))/(1-ICMS)
+SUM('Projeção de Dados'!B20:C20)*ENC</f>
        <v>115396.10148695846</v>
      </c>
    </row>
    <row r="21" spans="1:5" ht="15.75" customHeight="1" x14ac:dyDescent="0.25">
      <c r="A21" s="64">
        <v>45139</v>
      </c>
      <c r="B21" s="62">
        <f>('Projeção de Dados'!B21*(VER_EP+VER_TEP)
+'Projeção de Dados'!C21*(VER_EFP+VER_TEFP)
+IF((MAX('Projeção de Dados'!D21:E21))&lt;(VLOOKUP(YEAR('Custo Mensal'!A21),Variáveis!$B$2:$F$7,3,0)),(VLOOKUP(YEAR('Custo Mensal'!A21),Variáveis!$B$2:$F$7,3,0)),MAX('Projeção de Dados'!D21:E21))*(VER_D)
+IF(MAX('Projeção de Dados'!D21:E21)&gt;VLOOKUP(YEAR('Custo Mensal'!A21),Variáveis!$B$2:$F$7,3,0)*(1+ULTR),(MAX('Projeção de Dados'!D21:E21)-VLOOKUP(YEAR('Custo Mensal'!A21),Variáveis!$B$2:$F$7,3,0)),0)*2*(VER_D))/(1-PISCOFINS-ICMS)</f>
        <v>161215.6581060458</v>
      </c>
      <c r="C21" s="62">
        <f>(('Projeção de Dados'!B21)*(AZUL_E+AZUL_TEP)
+('Projeção de Dados'!C21)*(AZUL_E+AZUL_TEFP)
+IF(('Projeção de Dados'!D21)&lt;(VLOOKUP(YEAR('Custo Mensal'!A21),Variáveis!$B$2:$F$7,4,0)),(VLOOKUP(YEAR('Custo Mensal'!A21),Variáveis!$B$2:$F$7,4,0)),'Projeção de Dados'!D21)*(AZUL_DP)
+IF(('Projeção de Dados'!E21)&lt;(VLOOKUP(YEAR('Custo Mensal'!A21),Variáveis!$B$2:$F$7,5,0)),(VLOOKUP(YEAR('Custo Mensal'!A21),Variáveis!$B$2:$F$7,5,0)),'Projeção de Dados'!E21)*(AZUL_DFP)
+(IF(('Projeção de Dados'!D21)&gt;((VLOOKUP(YEAR('Custo Mensal'!A21),Variáveis!$B$2:$F$7,4,0))*(1+ULTR)),(('Projeção de Dados'!D21)-(VLOOKUP(YEAR('Custo Mensal'!A21),Variáveis!$B$2:$F$7,4,0))),0))*2*(AZUL_DP)
+(IF(('Projeção de Dados'!E21)&gt;((VLOOKUP(YEAR('Custo Mensal'!A21),Variáveis!$B$2:$F$7,5,0))*(1+ULTR)),(('Projeção de Dados'!E21)-(VLOOKUP(YEAR('Custo Mensal'!A21),Variáveis!$B$2:$F$7,5,0))),0))*2*(AZUL_DFP))/(1-PISCOFINS-ICMS)</f>
        <v>172488.07582863537</v>
      </c>
      <c r="D21" s="59">
        <f>(('Projeção de Dados'!B21*((VER_EP-VER_EFP)*(1-DESC)+VER_EFP)
+'Projeção de Dados'!C21*(VER_EFP)
+IF((MAX('Projeção de Dados'!D21:E21))&lt;(VLOOKUP(YEAR('Custo Mensal'!A21),Variáveis!$B$2:$F$7,3,0)),(VLOOKUP(YEAR('Custo Mensal'!A21),Variáveis!$B$2:$F$7,3,0)),MAX('Projeção de Dados'!D21:E21))*(VER_D)*(1-DESC)
+IF(MAX('Projeção de Dados'!D21:E21)&gt;VLOOKUP(YEAR('Custo Mensal'!A21),Variáveis!$B$2:$F$7,3,0)*(1+ULTR),(MAX('Projeção de Dados'!D21:E21)-VLOOKUP(YEAR('Custo Mensal'!A21),Variáveis!$B$2:$F$7,3,0)),0)*2*(VER_D))/(1-PISCOFINS-ICMS))
+(SUM('Projeção de Dados'!B21:C21)*(VLOOKUP(YEAR('Custo Mensal'!A21),Variáveis!$B$2:$F$7,2,0)))/(1-ICMS)
+SUM('Projeção de Dados'!B21:C21)*ENC</f>
        <v>110299.01953309326</v>
      </c>
      <c r="E21" s="59">
        <f>(((SUM('Projeção de Dados'!B21:C21))*(AZUL_E)
+IF(('Projeção de Dados'!D21)&lt;(VLOOKUP(YEAR('Custo Mensal'!A21),Variáveis!$B$2:$F$7,4,0)),(VLOOKUP(YEAR('Custo Mensal'!A21),Variáveis!$B$2:$F$7,4,0)),'Projeção de Dados'!D21)*(AZUL_DP)*(1-DESC)
+IF(('Projeção de Dados'!E21)&lt;(VLOOKUP(YEAR('Custo Mensal'!A21),Variáveis!$B$2:$F$7,5,0)),(VLOOKUP(YEAR('Custo Mensal'!A21),Variáveis!$B$2:$F$7,5,0)),'Projeção de Dados'!E21)*(AZUL_DFP)*(1-DESC)
+(IF(('Projeção de Dados'!D21)&gt;((VLOOKUP(YEAR('Custo Mensal'!A21),Variáveis!$B$2:$F$7,4,0))*(1+ULTR)),(('Projeção de Dados'!D21)-(VLOOKUP(YEAR('Custo Mensal'!A21),Variáveis!$B$2:$F$7,4,0))),0))*2*(AZUL_DP)
+(IF(('Projeção de Dados'!E21)&gt;((VLOOKUP(YEAR('Custo Mensal'!A21),Variáveis!$B$2:$F$7,5,0))*(1+ULTR)),(('Projeção de Dados'!E21)-(VLOOKUP(YEAR('Custo Mensal'!A21),Variáveis!$B$2:$F$7,5,0))),0))*2*(AZUL_DFP))/(1-PISCOFINS-ICMS))
+(SUM('Projeção de Dados'!B21:C21)*(VLOOKUP(YEAR('Custo Mensal'!A21),Variáveis!$B$2:$F$7,2,0)))/(1-ICMS)
+SUM('Projeção de Dados'!B21:C21)*ENC</f>
        <v>115935.22839438805</v>
      </c>
    </row>
    <row r="22" spans="1:5" ht="15.75" customHeight="1" x14ac:dyDescent="0.25">
      <c r="A22" s="64">
        <v>45170</v>
      </c>
      <c r="B22" s="61">
        <f>('Projeção de Dados'!B22*(VER_EP+VER_TEP)
+'Projeção de Dados'!C22*(VER_EFP+VER_TEFP)
+IF((MAX('Projeção de Dados'!D22:E22))&lt;(VLOOKUP(YEAR('Custo Mensal'!A22),Variáveis!$B$2:$F$7,3,0)),(VLOOKUP(YEAR('Custo Mensal'!A22),Variáveis!$B$2:$F$7,3,0)),MAX('Projeção de Dados'!D22:E22))*(VER_D)
+IF(MAX('Projeção de Dados'!D22:E22)&gt;VLOOKUP(YEAR('Custo Mensal'!A22),Variáveis!$B$2:$F$7,3,0)*(1+ULTR),(MAX('Projeção de Dados'!D22:E22)-VLOOKUP(YEAR('Custo Mensal'!A22),Variáveis!$B$2:$F$7,3,0)),0)*2*(VER_D))/(1-PISCOFINS-ICMS)</f>
        <v>179030.04209535406</v>
      </c>
      <c r="C22" s="61">
        <f>(('Projeção de Dados'!B22)*(AZUL_E+AZUL_TEP)
+('Projeção de Dados'!C22)*(AZUL_E+AZUL_TEFP)
+IF(('Projeção de Dados'!D22)&lt;(VLOOKUP(YEAR('Custo Mensal'!A22),Variáveis!$B$2:$F$7,4,0)),(VLOOKUP(YEAR('Custo Mensal'!A22),Variáveis!$B$2:$F$7,4,0)),'Projeção de Dados'!D22)*(AZUL_DP)
+IF(('Projeção de Dados'!E22)&lt;(VLOOKUP(YEAR('Custo Mensal'!A22),Variáveis!$B$2:$F$7,5,0)),(VLOOKUP(YEAR('Custo Mensal'!A22),Variáveis!$B$2:$F$7,5,0)),'Projeção de Dados'!E22)*(AZUL_DFP)
+(IF(('Projeção de Dados'!D22)&gt;((VLOOKUP(YEAR('Custo Mensal'!A22),Variáveis!$B$2:$F$7,4,0))*(1+ULTR)),(('Projeção de Dados'!D22)-(VLOOKUP(YEAR('Custo Mensal'!A22),Variáveis!$B$2:$F$7,4,0))),0))*2*(AZUL_DP)
+(IF(('Projeção de Dados'!E22)&gt;((VLOOKUP(YEAR('Custo Mensal'!A22),Variáveis!$B$2:$F$7,5,0))*(1+ULTR)),(('Projeção de Dados'!E22)-(VLOOKUP(YEAR('Custo Mensal'!A22),Variáveis!$B$2:$F$7,5,0))),0))*2*(AZUL_DFP))/(1-PISCOFINS-ICMS)</f>
        <v>184760.95235168154</v>
      </c>
      <c r="D22" s="58">
        <f>(('Projeção de Dados'!B22*((VER_EP-VER_EFP)*(1-DESC)+VER_EFP)
+'Projeção de Dados'!C22*(VER_EFP)
+IF((MAX('Projeção de Dados'!D22:E22))&lt;(VLOOKUP(YEAR('Custo Mensal'!A22),Variáveis!$B$2:$F$7,3,0)),(VLOOKUP(YEAR('Custo Mensal'!A22),Variáveis!$B$2:$F$7,3,0)),MAX('Projeção de Dados'!D22:E22))*(VER_D)*(1-DESC)
+IF(MAX('Projeção de Dados'!D22:E22)&gt;VLOOKUP(YEAR('Custo Mensal'!A22),Variáveis!$B$2:$F$7,3,0)*(1+ULTR),(MAX('Projeção de Dados'!D22:E22)-VLOOKUP(YEAR('Custo Mensal'!A22),Variáveis!$B$2:$F$7,3,0)),0)*2*(VER_D))/(1-PISCOFINS-ICMS))
+(SUM('Projeção de Dados'!B22:C22)*(VLOOKUP(YEAR('Custo Mensal'!A22),Variáveis!$B$2:$F$7,2,0)))/(1-ICMS)
+SUM('Projeção de Dados'!B22:C22)*ENC</f>
        <v>122743.32333403076</v>
      </c>
      <c r="E22" s="58">
        <f>(((SUM('Projeção de Dados'!B22:C22))*(AZUL_E)
+IF(('Projeção de Dados'!D22)&lt;(VLOOKUP(YEAR('Custo Mensal'!A22),Variáveis!$B$2:$F$7,4,0)),(VLOOKUP(YEAR('Custo Mensal'!A22),Variáveis!$B$2:$F$7,4,0)),'Projeção de Dados'!D22)*(AZUL_DP)*(1-DESC)
+IF(('Projeção de Dados'!E22)&lt;(VLOOKUP(YEAR('Custo Mensal'!A22),Variáveis!$B$2:$F$7,5,0)),(VLOOKUP(YEAR('Custo Mensal'!A22),Variáveis!$B$2:$F$7,5,0)),'Projeção de Dados'!E22)*(AZUL_DFP)*(1-DESC)
+(IF(('Projeção de Dados'!D22)&gt;((VLOOKUP(YEAR('Custo Mensal'!A22),Variáveis!$B$2:$F$7,4,0))*(1+ULTR)),(('Projeção de Dados'!D22)-(VLOOKUP(YEAR('Custo Mensal'!A22),Variáveis!$B$2:$F$7,4,0))),0))*2*(AZUL_DP)
+(IF(('Projeção de Dados'!E22)&gt;((VLOOKUP(YEAR('Custo Mensal'!A22),Variáveis!$B$2:$F$7,5,0))*(1+ULTR)),(('Projeção de Dados'!E22)-(VLOOKUP(YEAR('Custo Mensal'!A22),Variáveis!$B$2:$F$7,5,0))),0))*2*(AZUL_DFP))/(1-PISCOFINS-ICMS))
+(SUM('Projeção de Dados'!B22:C22)*(VLOOKUP(YEAR('Custo Mensal'!A22),Variáveis!$B$2:$F$7,2,0)))/(1-ICMS)
+SUM('Projeção de Dados'!B22:C22)*ENC</f>
        <v>125608.7784621945</v>
      </c>
    </row>
    <row r="23" spans="1:5" ht="15.75" customHeight="1" x14ac:dyDescent="0.25">
      <c r="A23" s="64">
        <v>45200</v>
      </c>
      <c r="B23" s="62">
        <f>('Projeção de Dados'!B23*(VER_EP+VER_TEP)
+'Projeção de Dados'!C23*(VER_EFP+VER_TEFP)
+IF((MAX('Projeção de Dados'!D23:E23))&lt;(VLOOKUP(YEAR('Custo Mensal'!A23),Variáveis!$B$2:$F$7,3,0)),(VLOOKUP(YEAR('Custo Mensal'!A23),Variáveis!$B$2:$F$7,3,0)),MAX('Projeção de Dados'!D23:E23))*(VER_D)
+IF(MAX('Projeção de Dados'!D23:E23)&gt;VLOOKUP(YEAR('Custo Mensal'!A23),Variáveis!$B$2:$F$7,3,0)*(1+ULTR),(MAX('Projeção de Dados'!D23:E23)-VLOOKUP(YEAR('Custo Mensal'!A23),Variáveis!$B$2:$F$7,3,0)),0)*2*(VER_D))/(1-PISCOFINS-ICMS)</f>
        <v>182054.74701362278</v>
      </c>
      <c r="C23" s="62">
        <f>(('Projeção de Dados'!B23)*(AZUL_E+AZUL_TEP)
+('Projeção de Dados'!C23)*(AZUL_E+AZUL_TEFP)
+IF(('Projeção de Dados'!D23)&lt;(VLOOKUP(YEAR('Custo Mensal'!A23),Variáveis!$B$2:$F$7,4,0)),(VLOOKUP(YEAR('Custo Mensal'!A23),Variáveis!$B$2:$F$7,4,0)),'Projeção de Dados'!D23)*(AZUL_DP)
+IF(('Projeção de Dados'!E23)&lt;(VLOOKUP(YEAR('Custo Mensal'!A23),Variáveis!$B$2:$F$7,5,0)),(VLOOKUP(YEAR('Custo Mensal'!A23),Variáveis!$B$2:$F$7,5,0)),'Projeção de Dados'!E23)*(AZUL_DFP)
+(IF(('Projeção de Dados'!D23)&gt;((VLOOKUP(YEAR('Custo Mensal'!A23),Variáveis!$B$2:$F$7,4,0))*(1+ULTR)),(('Projeção de Dados'!D23)-(VLOOKUP(YEAR('Custo Mensal'!A23),Variáveis!$B$2:$F$7,4,0))),0))*2*(AZUL_DP)
+(IF(('Projeção de Dados'!E23)&gt;((VLOOKUP(YEAR('Custo Mensal'!A23),Variáveis!$B$2:$F$7,5,0))*(1+ULTR)),(('Projeção de Dados'!E23)-(VLOOKUP(YEAR('Custo Mensal'!A23),Variáveis!$B$2:$F$7,5,0))),0))*2*(AZUL_DFP))/(1-PISCOFINS-ICMS)</f>
        <v>188026.09261738585</v>
      </c>
      <c r="D23" s="59">
        <f>(('Projeção de Dados'!B23*((VER_EP-VER_EFP)*(1-DESC)+VER_EFP)
+'Projeção de Dados'!C23*(VER_EFP)
+IF((MAX('Projeção de Dados'!D23:E23))&lt;(VLOOKUP(YEAR('Custo Mensal'!A23),Variáveis!$B$2:$F$7,3,0)),(VLOOKUP(YEAR('Custo Mensal'!A23),Variáveis!$B$2:$F$7,3,0)),MAX('Projeção de Dados'!D23:E23))*(VER_D)*(1-DESC)
+IF(MAX('Projeção de Dados'!D23:E23)&gt;VLOOKUP(YEAR('Custo Mensal'!A23),Variáveis!$B$2:$F$7,3,0)*(1+ULTR),(MAX('Projeção de Dados'!D23:E23)-VLOOKUP(YEAR('Custo Mensal'!A23),Variáveis!$B$2:$F$7,3,0)),0)*2*(VER_D))/(1-PISCOFINS-ICMS))
+(SUM('Projeção de Dados'!B23:C23)*(VLOOKUP(YEAR('Custo Mensal'!A23),Variáveis!$B$2:$F$7,2,0)))/(1-ICMS)
+SUM('Projeção de Dados'!B23:C23)*ENC</f>
        <v>125399.12102409617</v>
      </c>
      <c r="E23" s="59">
        <f>(((SUM('Projeção de Dados'!B23:C23))*(AZUL_E)
+IF(('Projeção de Dados'!D23)&lt;(VLOOKUP(YEAR('Custo Mensal'!A23),Variáveis!$B$2:$F$7,4,0)),(VLOOKUP(YEAR('Custo Mensal'!A23),Variáveis!$B$2:$F$7,4,0)),'Projeção de Dados'!D23)*(AZUL_DP)*(1-DESC)
+IF(('Projeção de Dados'!E23)&lt;(VLOOKUP(YEAR('Custo Mensal'!A23),Variáveis!$B$2:$F$7,5,0)),(VLOOKUP(YEAR('Custo Mensal'!A23),Variáveis!$B$2:$F$7,5,0)),'Projeção de Dados'!E23)*(AZUL_DFP)*(1-DESC)
+(IF(('Projeção de Dados'!D23)&gt;((VLOOKUP(YEAR('Custo Mensal'!A23),Variáveis!$B$2:$F$7,4,0))*(1+ULTR)),(('Projeção de Dados'!D23)-(VLOOKUP(YEAR('Custo Mensal'!A23),Variáveis!$B$2:$F$7,4,0))),0))*2*(AZUL_DP)
+(IF(('Projeção de Dados'!E23)&gt;((VLOOKUP(YEAR('Custo Mensal'!A23),Variáveis!$B$2:$F$7,5,0))*(1+ULTR)),(('Projeção de Dados'!E23)-(VLOOKUP(YEAR('Custo Mensal'!A23),Variáveis!$B$2:$F$7,5,0))),0))*2*(AZUL_DFP))/(1-PISCOFINS-ICMS))
+(SUM('Projeção de Dados'!B23:C23)*(VLOOKUP(YEAR('Custo Mensal'!A23),Variáveis!$B$2:$F$7,2,0)))/(1-ICMS)
+SUM('Projeção de Dados'!B23:C23)*ENC</f>
        <v>128384.79382597773</v>
      </c>
    </row>
    <row r="24" spans="1:5" ht="15.75" customHeight="1" x14ac:dyDescent="0.25">
      <c r="A24" s="64">
        <v>45231</v>
      </c>
      <c r="B24" s="61">
        <f>('Projeção de Dados'!B24*(VER_EP+VER_TEP)
+'Projeção de Dados'!C24*(VER_EFP+VER_TEFP)
+IF((MAX('Projeção de Dados'!D24:E24))&lt;(VLOOKUP(YEAR('Custo Mensal'!A24),Variáveis!$B$2:$F$7,3,0)),(VLOOKUP(YEAR('Custo Mensal'!A24),Variáveis!$B$2:$F$7,3,0)),MAX('Projeção de Dados'!D24:E24))*(VER_D)
+IF(MAX('Projeção de Dados'!D24:E24)&gt;VLOOKUP(YEAR('Custo Mensal'!A24),Variáveis!$B$2:$F$7,3,0)*(1+ULTR),(MAX('Projeção de Dados'!D24:E24)-VLOOKUP(YEAR('Custo Mensal'!A24),Variáveis!$B$2:$F$7,3,0)),0)*2*(VER_D))/(1-PISCOFINS-ICMS)</f>
        <v>182044.21769601642</v>
      </c>
      <c r="C24" s="61">
        <f>(('Projeção de Dados'!B24)*(AZUL_E+AZUL_TEP)
+('Projeção de Dados'!C24)*(AZUL_E+AZUL_TEFP)
+IF(('Projeção de Dados'!D24)&lt;(VLOOKUP(YEAR('Custo Mensal'!A24),Variáveis!$B$2:$F$7,4,0)),(VLOOKUP(YEAR('Custo Mensal'!A24),Variáveis!$B$2:$F$7,4,0)),'Projeção de Dados'!D24)*(AZUL_DP)
+IF(('Projeção de Dados'!E24)&lt;(VLOOKUP(YEAR('Custo Mensal'!A24),Variáveis!$B$2:$F$7,5,0)),(VLOOKUP(YEAR('Custo Mensal'!A24),Variáveis!$B$2:$F$7,5,0)),'Projeção de Dados'!E24)*(AZUL_DFP)
+(IF(('Projeção de Dados'!D24)&gt;((VLOOKUP(YEAR('Custo Mensal'!A24),Variáveis!$B$2:$F$7,4,0))*(1+ULTR)),(('Projeção de Dados'!D24)-(VLOOKUP(YEAR('Custo Mensal'!A24),Variáveis!$B$2:$F$7,4,0))),0))*2*(AZUL_DP)
+(IF(('Projeção de Dados'!E24)&gt;((VLOOKUP(YEAR('Custo Mensal'!A24),Variáveis!$B$2:$F$7,5,0))*(1+ULTR)),(('Projeção de Dados'!E24)-(VLOOKUP(YEAR('Custo Mensal'!A24),Variáveis!$B$2:$F$7,5,0))),0))*2*(AZUL_DFP))/(1-PISCOFINS-ICMS)</f>
        <v>191297.18713504774</v>
      </c>
      <c r="D24" s="58">
        <f>(('Projeção de Dados'!B24*((VER_EP-VER_EFP)*(1-DESC)+VER_EFP)
+'Projeção de Dados'!C24*(VER_EFP)
+IF((MAX('Projeção de Dados'!D24:E24))&lt;(VLOOKUP(YEAR('Custo Mensal'!A24),Variáveis!$B$2:$F$7,3,0)),(VLOOKUP(YEAR('Custo Mensal'!A24),Variáveis!$B$2:$F$7,3,0)),MAX('Projeção de Dados'!D24:E24))*(VER_D)*(1-DESC)
+IF(MAX('Projeção de Dados'!D24:E24)&gt;VLOOKUP(YEAR('Custo Mensal'!A24),Variáveis!$B$2:$F$7,3,0)*(1+ULTR),(MAX('Projeção de Dados'!D24:E24)-VLOOKUP(YEAR('Custo Mensal'!A24),Variáveis!$B$2:$F$7,3,0)),0)*2*(VER_D))/(1-PISCOFINS-ICMS))
+(SUM('Projeção de Dados'!B24:C24)*(VLOOKUP(YEAR('Custo Mensal'!A24),Variáveis!$B$2:$F$7,2,0)))/(1-ICMS)
+SUM('Projeção de Dados'!B24:C24)*ENC</f>
        <v>125769.99181905578</v>
      </c>
      <c r="E24" s="58">
        <f>(((SUM('Projeção de Dados'!B24:C24))*(AZUL_E)
+IF(('Projeção de Dados'!D24)&lt;(VLOOKUP(YEAR('Custo Mensal'!A24),Variáveis!$B$2:$F$7,4,0)),(VLOOKUP(YEAR('Custo Mensal'!A24),Variáveis!$B$2:$F$7,4,0)),'Projeção de Dados'!D24)*(AZUL_DP)*(1-DESC)
+IF(('Projeção de Dados'!E24)&lt;(VLOOKUP(YEAR('Custo Mensal'!A24),Variáveis!$B$2:$F$7,5,0)),(VLOOKUP(YEAR('Custo Mensal'!A24),Variáveis!$B$2:$F$7,5,0)),'Projeção de Dados'!E24)*(AZUL_DFP)*(1-DESC)
+(IF(('Projeção de Dados'!D24)&gt;((VLOOKUP(YEAR('Custo Mensal'!A24),Variáveis!$B$2:$F$7,4,0))*(1+ULTR)),(('Projeção de Dados'!D24)-(VLOOKUP(YEAR('Custo Mensal'!A24),Variáveis!$B$2:$F$7,4,0))),0))*2*(AZUL_DP)
+(IF(('Projeção de Dados'!E24)&gt;((VLOOKUP(YEAR('Custo Mensal'!A24),Variáveis!$B$2:$F$7,5,0))*(1+ULTR)),(('Projeção de Dados'!E24)-(VLOOKUP(YEAR('Custo Mensal'!A24),Variáveis!$B$2:$F$7,5,0))),0))*2*(AZUL_DFP))/(1-PISCOFINS-ICMS))
+(SUM('Projeção de Dados'!B24:C24)*(VLOOKUP(YEAR('Custo Mensal'!A24),Variáveis!$B$2:$F$7,2,0)))/(1-ICMS)
+SUM('Projeção de Dados'!B24:C24)*ENC</f>
        <v>130396.47653857146</v>
      </c>
    </row>
    <row r="25" spans="1:5" ht="15.75" customHeight="1" x14ac:dyDescent="0.25">
      <c r="A25" s="64">
        <v>45261</v>
      </c>
      <c r="B25" s="62">
        <f>('Projeção de Dados'!B25*(VER_EP+VER_TEP)
+'Projeção de Dados'!C25*(VER_EFP+VER_TEFP)
+IF((MAX('Projeção de Dados'!D25:E25))&lt;(VLOOKUP(YEAR('Custo Mensal'!A25),Variáveis!$B$2:$F$7,3,0)),(VLOOKUP(YEAR('Custo Mensal'!A25),Variáveis!$B$2:$F$7,3,0)),MAX('Projeção de Dados'!D25:E25))*(VER_D)
+IF(MAX('Projeção de Dados'!D25:E25)&gt;VLOOKUP(YEAR('Custo Mensal'!A25),Variáveis!$B$2:$F$7,3,0)*(1+ULTR),(MAX('Projeção de Dados'!D25:E25)-VLOOKUP(YEAR('Custo Mensal'!A25),Variáveis!$B$2:$F$7,3,0)),0)*2*(VER_D))/(1-PISCOFINS-ICMS)</f>
        <v>205466.56036337456</v>
      </c>
      <c r="C25" s="62">
        <f>(('Projeção de Dados'!B25)*(AZUL_E+AZUL_TEP)
+('Projeção de Dados'!C25)*(AZUL_E+AZUL_TEFP)
+IF(('Projeção de Dados'!D25)&lt;(VLOOKUP(YEAR('Custo Mensal'!A25),Variáveis!$B$2:$F$7,4,0)),(VLOOKUP(YEAR('Custo Mensal'!A25),Variáveis!$B$2:$F$7,4,0)),'Projeção de Dados'!D25)*(AZUL_DP)
+IF(('Projeção de Dados'!E25)&lt;(VLOOKUP(YEAR('Custo Mensal'!A25),Variáveis!$B$2:$F$7,5,0)),(VLOOKUP(YEAR('Custo Mensal'!A25),Variáveis!$B$2:$F$7,5,0)),'Projeção de Dados'!E25)*(AZUL_DFP)
+(IF(('Projeção de Dados'!D25)&gt;((VLOOKUP(YEAR('Custo Mensal'!A25),Variáveis!$B$2:$F$7,4,0))*(1+ULTR)),(('Projeção de Dados'!D25)-(VLOOKUP(YEAR('Custo Mensal'!A25),Variáveis!$B$2:$F$7,4,0))),0))*2*(AZUL_DP)
+(IF(('Projeção de Dados'!E25)&gt;((VLOOKUP(YEAR('Custo Mensal'!A25),Variáveis!$B$2:$F$7,5,0))*(1+ULTR)),(('Projeção de Dados'!E25)-(VLOOKUP(YEAR('Custo Mensal'!A25),Variáveis!$B$2:$F$7,5,0))),0))*2*(AZUL_DFP))/(1-PISCOFINS-ICMS)</f>
        <v>208703.34440775707</v>
      </c>
      <c r="D25" s="59">
        <f>(('Projeção de Dados'!B25*((VER_EP-VER_EFP)*(1-DESC)+VER_EFP)
+'Projeção de Dados'!C25*(VER_EFP)
+IF((MAX('Projeção de Dados'!D25:E25))&lt;(VLOOKUP(YEAR('Custo Mensal'!A25),Variáveis!$B$2:$F$7,3,0)),(VLOOKUP(YEAR('Custo Mensal'!A25),Variáveis!$B$2:$F$7,3,0)),MAX('Projeção de Dados'!D25:E25))*(VER_D)*(1-DESC)
+IF(MAX('Projeção de Dados'!D25:E25)&gt;VLOOKUP(YEAR('Custo Mensal'!A25),Variáveis!$B$2:$F$7,3,0)*(1+ULTR),(MAX('Projeção de Dados'!D25:E25)-VLOOKUP(YEAR('Custo Mensal'!A25),Variáveis!$B$2:$F$7,3,0)),0)*2*(VER_D))/(1-PISCOFINS-ICMS))
+(SUM('Projeção de Dados'!B25:C25)*(VLOOKUP(YEAR('Custo Mensal'!A25),Variáveis!$B$2:$F$7,2,0)))/(1-ICMS)
+SUM('Projeção de Dados'!B25:C25)*ENC</f>
        <v>144482.33813712702</v>
      </c>
      <c r="E25" s="59">
        <f>(((SUM('Projeção de Dados'!B25:C25))*(AZUL_E)
+IF(('Projeção de Dados'!D25)&lt;(VLOOKUP(YEAR('Custo Mensal'!A25),Variáveis!$B$2:$F$7,4,0)),(VLOOKUP(YEAR('Custo Mensal'!A25),Variáveis!$B$2:$F$7,4,0)),'Projeção de Dados'!D25)*(AZUL_DP)*(1-DESC)
+IF(('Projeção de Dados'!E25)&lt;(VLOOKUP(YEAR('Custo Mensal'!A25),Variáveis!$B$2:$F$7,5,0)),(VLOOKUP(YEAR('Custo Mensal'!A25),Variáveis!$B$2:$F$7,5,0)),'Projeção de Dados'!E25)*(AZUL_DFP)*(1-DESC)
+(IF(('Projeção de Dados'!D25)&gt;((VLOOKUP(YEAR('Custo Mensal'!A25),Variáveis!$B$2:$F$7,4,0))*(1+ULTR)),(('Projeção de Dados'!D25)-(VLOOKUP(YEAR('Custo Mensal'!A25),Variáveis!$B$2:$F$7,4,0))),0))*2*(AZUL_DP)
+(IF(('Projeção de Dados'!E25)&gt;((VLOOKUP(YEAR('Custo Mensal'!A25),Variáveis!$B$2:$F$7,5,0))*(1+ULTR)),(('Projeção de Dados'!E25)-(VLOOKUP(YEAR('Custo Mensal'!A25),Variáveis!$B$2:$F$7,5,0))),0))*2*(AZUL_DFP))/(1-PISCOFINS-ICMS))
+(SUM('Projeção de Dados'!B25:C25)*(VLOOKUP(YEAR('Custo Mensal'!A25),Variáveis!$B$2:$F$7,2,0)))/(1-ICMS)
+SUM('Projeção de Dados'!B25:C25)*ENC</f>
        <v>144377.70158932116</v>
      </c>
    </row>
    <row r="26" spans="1:5" ht="15.75" customHeight="1" x14ac:dyDescent="0.25">
      <c r="A26" s="64">
        <v>45292</v>
      </c>
      <c r="B26" s="61">
        <f>('Projeção de Dados'!B26*(VER_EP+VER_TEP)
+'Projeção de Dados'!C26*(VER_EFP+VER_TEFP)
+IF((MAX('Projeção de Dados'!D26:E26))&lt;(VLOOKUP(YEAR('Custo Mensal'!A26),Variáveis!$B$2:$F$7,3,0)),(VLOOKUP(YEAR('Custo Mensal'!A26),Variáveis!$B$2:$F$7,3,0)),MAX('Projeção de Dados'!D26:E26))*(VER_D)
+IF(MAX('Projeção de Dados'!D26:E26)&gt;VLOOKUP(YEAR('Custo Mensal'!A26),Variáveis!$B$2:$F$7,3,0)*(1+ULTR),(MAX('Projeção de Dados'!D26:E26)-VLOOKUP(YEAR('Custo Mensal'!A26),Variáveis!$B$2:$F$7,3,0)),0)*2*(VER_D))/(1-PISCOFINS-ICMS)</f>
        <v>184043.57423730733</v>
      </c>
      <c r="C26" s="61">
        <f>(('Projeção de Dados'!B26)*(AZUL_E+AZUL_TEP)
+('Projeção de Dados'!C26)*(AZUL_E+AZUL_TEFP)
+IF(('Projeção de Dados'!D26)&lt;(VLOOKUP(YEAR('Custo Mensal'!A26),Variáveis!$B$2:$F$7,4,0)),(VLOOKUP(YEAR('Custo Mensal'!A26),Variáveis!$B$2:$F$7,4,0)),'Projeção de Dados'!D26)*(AZUL_DP)
+IF(('Projeção de Dados'!E26)&lt;(VLOOKUP(YEAR('Custo Mensal'!A26),Variáveis!$B$2:$F$7,5,0)),(VLOOKUP(YEAR('Custo Mensal'!A26),Variáveis!$B$2:$F$7,5,0)),'Projeção de Dados'!E26)*(AZUL_DFP)
+(IF(('Projeção de Dados'!D26)&gt;((VLOOKUP(YEAR('Custo Mensal'!A26),Variáveis!$B$2:$F$7,4,0))*(1+ULTR)),(('Projeção de Dados'!D26)-(VLOOKUP(YEAR('Custo Mensal'!A26),Variáveis!$B$2:$F$7,4,0))),0))*2*(AZUL_DP)
+(IF(('Projeção de Dados'!E26)&gt;((VLOOKUP(YEAR('Custo Mensal'!A26),Variáveis!$B$2:$F$7,5,0))*(1+ULTR)),(('Projeção de Dados'!E26)-(VLOOKUP(YEAR('Custo Mensal'!A26),Variáveis!$B$2:$F$7,5,0))),0))*2*(AZUL_DFP))/(1-PISCOFINS-ICMS)</f>
        <v>199391.77236918884</v>
      </c>
      <c r="D26" s="58">
        <f>(('Projeção de Dados'!B26*((VER_EP-VER_EFP)*(1-DESC)+VER_EFP)
+'Projeção de Dados'!C26*(VER_EFP)
+IF((MAX('Projeção de Dados'!D26:E26))&lt;(VLOOKUP(YEAR('Custo Mensal'!A26),Variáveis!$B$2:$F$7,3,0)),(VLOOKUP(YEAR('Custo Mensal'!A26),Variáveis!$B$2:$F$7,3,0)),MAX('Projeção de Dados'!D26:E26))*(VER_D)*(1-DESC)
+IF(MAX('Projeção de Dados'!D26:E26)&gt;VLOOKUP(YEAR('Custo Mensal'!A26),Variáveis!$B$2:$F$7,3,0)*(1+ULTR),(MAX('Projeção de Dados'!D26:E26)-VLOOKUP(YEAR('Custo Mensal'!A26),Variáveis!$B$2:$F$7,3,0)),0)*2*(VER_D))/(1-PISCOFINS-ICMS))
+(SUM('Projeção de Dados'!B26:C26)*(VLOOKUP(YEAR('Custo Mensal'!A26),Variáveis!$B$2:$F$7,2,0)))/(1-ICMS)
+SUM('Projeção de Dados'!B26:C26)*ENC</f>
        <v>123901.52238467659</v>
      </c>
      <c r="E26" s="58">
        <f>(((SUM('Projeção de Dados'!B26:C26))*(AZUL_E)
+IF(('Projeção de Dados'!D26)&lt;(VLOOKUP(YEAR('Custo Mensal'!A26),Variáveis!$B$2:$F$7,4,0)),(VLOOKUP(YEAR('Custo Mensal'!A26),Variáveis!$B$2:$F$7,4,0)),'Projeção de Dados'!D26)*(AZUL_DP)*(1-DESC)
+IF(('Projeção de Dados'!E26)&lt;(VLOOKUP(YEAR('Custo Mensal'!A26),Variáveis!$B$2:$F$7,5,0)),(VLOOKUP(YEAR('Custo Mensal'!A26),Variáveis!$B$2:$F$7,5,0)),'Projeção de Dados'!E26)*(AZUL_DFP)*(1-DESC)
+(IF(('Projeção de Dados'!D26)&gt;((VLOOKUP(YEAR('Custo Mensal'!A26),Variáveis!$B$2:$F$7,4,0))*(1+ULTR)),(('Projeção de Dados'!D26)-(VLOOKUP(YEAR('Custo Mensal'!A26),Variáveis!$B$2:$F$7,4,0))),0))*2*(AZUL_DP)
+(IF(('Projeção de Dados'!E26)&gt;((VLOOKUP(YEAR('Custo Mensal'!A26),Variáveis!$B$2:$F$7,5,0))*(1+ULTR)),(('Projeção de Dados'!E26)-(VLOOKUP(YEAR('Custo Mensal'!A26),Variáveis!$B$2:$F$7,5,0))),0))*2*(AZUL_DFP))/(1-PISCOFINS-ICMS))
+(SUM('Projeção de Dados'!B26:C26)*(VLOOKUP(YEAR('Custo Mensal'!A26),Variáveis!$B$2:$F$7,2,0)))/(1-ICMS)
+SUM('Projeção de Dados'!B26:C26)*ENC</f>
        <v>131575.62145061733</v>
      </c>
    </row>
    <row r="27" spans="1:5" ht="15.75" customHeight="1" x14ac:dyDescent="0.25">
      <c r="A27" s="64">
        <v>45323</v>
      </c>
      <c r="B27" s="62">
        <f>('Projeção de Dados'!B27*(VER_EP+VER_TEP)
+'Projeção de Dados'!C27*(VER_EFP+VER_TEFP)
+IF((MAX('Projeção de Dados'!D27:E27))&lt;(VLOOKUP(YEAR('Custo Mensal'!A27),Variáveis!$B$2:$F$7,3,0)),(VLOOKUP(YEAR('Custo Mensal'!A27),Variáveis!$B$2:$F$7,3,0)),MAX('Projeção de Dados'!D27:E27))*(VER_D)
+IF(MAX('Projeção de Dados'!D27:E27)&gt;VLOOKUP(YEAR('Custo Mensal'!A27),Variáveis!$B$2:$F$7,3,0)*(1+ULTR),(MAX('Projeção de Dados'!D27:E27)-VLOOKUP(YEAR('Custo Mensal'!A27),Variáveis!$B$2:$F$7,3,0)),0)*2*(VER_D))/(1-PISCOFINS-ICMS)</f>
        <v>178227.64625225472</v>
      </c>
      <c r="C27" s="62">
        <f>(('Projeção de Dados'!B27)*(AZUL_E+AZUL_TEP)
+('Projeção de Dados'!C27)*(AZUL_E+AZUL_TEFP)
+IF(('Projeção de Dados'!D27)&lt;(VLOOKUP(YEAR('Custo Mensal'!A27),Variáveis!$B$2:$F$7,4,0)),(VLOOKUP(YEAR('Custo Mensal'!A27),Variáveis!$B$2:$F$7,4,0)),'Projeção de Dados'!D27)*(AZUL_DP)
+IF(('Projeção de Dados'!E27)&lt;(VLOOKUP(YEAR('Custo Mensal'!A27),Variáveis!$B$2:$F$7,5,0)),(VLOOKUP(YEAR('Custo Mensal'!A27),Variáveis!$B$2:$F$7,5,0)),'Projeção de Dados'!E27)*(AZUL_DFP)
+(IF(('Projeção de Dados'!D27)&gt;((VLOOKUP(YEAR('Custo Mensal'!A27),Variáveis!$B$2:$F$7,4,0))*(1+ULTR)),(('Projeção de Dados'!D27)-(VLOOKUP(YEAR('Custo Mensal'!A27),Variáveis!$B$2:$F$7,4,0))),0))*2*(AZUL_DP)
+(IF(('Projeção de Dados'!E27)&gt;((VLOOKUP(YEAR('Custo Mensal'!A27),Variáveis!$B$2:$F$7,5,0))*(1+ULTR)),(('Projeção de Dados'!E27)-(VLOOKUP(YEAR('Custo Mensal'!A27),Variáveis!$B$2:$F$7,5,0))),0))*2*(AZUL_DFP))/(1-PISCOFINS-ICMS)</f>
        <v>195170.20463583688</v>
      </c>
      <c r="D27" s="59">
        <f>(('Projeção de Dados'!B27*((VER_EP-VER_EFP)*(1-DESC)+VER_EFP)
+'Projeção de Dados'!C27*(VER_EFP)
+IF((MAX('Projeção de Dados'!D27:E27))&lt;(VLOOKUP(YEAR('Custo Mensal'!A27),Variáveis!$B$2:$F$7,3,0)),(VLOOKUP(YEAR('Custo Mensal'!A27),Variáveis!$B$2:$F$7,3,0)),MAX('Projeção de Dados'!D27:E27))*(VER_D)*(1-DESC)
+IF(MAX('Projeção de Dados'!D27:E27)&gt;VLOOKUP(YEAR('Custo Mensal'!A27),Variáveis!$B$2:$F$7,3,0)*(1+ULTR),(MAX('Projeção de Dados'!D27:E27)-VLOOKUP(YEAR('Custo Mensal'!A27),Variáveis!$B$2:$F$7,3,0)),0)*2*(VER_D))/(1-PISCOFINS-ICMS))
+(SUM('Projeção de Dados'!B27:C27)*(VLOOKUP(YEAR('Custo Mensal'!A27),Variáveis!$B$2:$F$7,2,0)))/(1-ICMS)
+SUM('Projeção de Dados'!B27:C27)*ENC</f>
        <v>119928.84847550165</v>
      </c>
      <c r="E27" s="59">
        <f>(((SUM('Projeção de Dados'!B27:C27))*(AZUL_E)
+IF(('Projeção de Dados'!D27)&lt;(VLOOKUP(YEAR('Custo Mensal'!A27),Variáveis!$B$2:$F$7,4,0)),(VLOOKUP(YEAR('Custo Mensal'!A27),Variáveis!$B$2:$F$7,4,0)),'Projeção de Dados'!D27)*(AZUL_DP)*(1-DESC)
+IF(('Projeção de Dados'!E27)&lt;(VLOOKUP(YEAR('Custo Mensal'!A27),Variáveis!$B$2:$F$7,5,0)),(VLOOKUP(YEAR('Custo Mensal'!A27),Variáveis!$B$2:$F$7,5,0)),'Projeção de Dados'!E27)*(AZUL_DFP)*(1-DESC)
+(IF(('Projeção de Dados'!D27)&gt;((VLOOKUP(YEAR('Custo Mensal'!A27),Variáveis!$B$2:$F$7,4,0))*(1+ULTR)),(('Projeção de Dados'!D27)-(VLOOKUP(YEAR('Custo Mensal'!A27),Variáveis!$B$2:$F$7,4,0))),0))*2*(AZUL_DP)
+(IF(('Projeção de Dados'!E27)&gt;((VLOOKUP(YEAR('Custo Mensal'!A27),Variáveis!$B$2:$F$7,5,0))*(1+ULTR)),(('Projeção de Dados'!E27)-(VLOOKUP(YEAR('Custo Mensal'!A27),Variáveis!$B$2:$F$7,5,0))),0))*2*(AZUL_DFP))/(1-PISCOFINS-ICMS))
+(SUM('Projeção de Dados'!B27:C27)*(VLOOKUP(YEAR('Custo Mensal'!A27),Variáveis!$B$2:$F$7,2,0)))/(1-ICMS)
+SUM('Projeção de Dados'!B27:C27)*ENC</f>
        <v>128400.12766729275</v>
      </c>
    </row>
    <row r="28" spans="1:5" ht="15.75" customHeight="1" x14ac:dyDescent="0.25">
      <c r="A28" s="64">
        <v>45352</v>
      </c>
      <c r="B28" s="61">
        <f>('Projeção de Dados'!B28*(VER_EP+VER_TEP)
+'Projeção de Dados'!C28*(VER_EFP+VER_TEFP)
+IF((MAX('Projeção de Dados'!D28:E28))&lt;(VLOOKUP(YEAR('Custo Mensal'!A28),Variáveis!$B$2:$F$7,3,0)),(VLOOKUP(YEAR('Custo Mensal'!A28),Variáveis!$B$2:$F$7,3,0)),MAX('Projeção de Dados'!D28:E28))*(VER_D)
+IF(MAX('Projeção de Dados'!D28:E28)&gt;VLOOKUP(YEAR('Custo Mensal'!A28),Variáveis!$B$2:$F$7,3,0)*(1+ULTR),(MAX('Projeção de Dados'!D28:E28)-VLOOKUP(YEAR('Custo Mensal'!A28),Variáveis!$B$2:$F$7,3,0)),0)*2*(VER_D))/(1-PISCOFINS-ICMS)</f>
        <v>237800.49734869317</v>
      </c>
      <c r="C28" s="61">
        <f>(('Projeção de Dados'!B28)*(AZUL_E+AZUL_TEP)
+('Projeção de Dados'!C28)*(AZUL_E+AZUL_TEFP)
+IF(('Projeção de Dados'!D28)&lt;(VLOOKUP(YEAR('Custo Mensal'!A28),Variáveis!$B$2:$F$7,4,0)),(VLOOKUP(YEAR('Custo Mensal'!A28),Variáveis!$B$2:$F$7,4,0)),'Projeção de Dados'!D28)*(AZUL_DP)
+IF(('Projeção de Dados'!E28)&lt;(VLOOKUP(YEAR('Custo Mensal'!A28),Variáveis!$B$2:$F$7,5,0)),(VLOOKUP(YEAR('Custo Mensal'!A28),Variáveis!$B$2:$F$7,5,0)),'Projeção de Dados'!E28)*(AZUL_DFP)
+(IF(('Projeção de Dados'!D28)&gt;((VLOOKUP(YEAR('Custo Mensal'!A28),Variáveis!$B$2:$F$7,4,0))*(1+ULTR)),(('Projeção de Dados'!D28)-(VLOOKUP(YEAR('Custo Mensal'!A28),Variáveis!$B$2:$F$7,4,0))),0))*2*(AZUL_DP)
+(IF(('Projeção de Dados'!E28)&gt;((VLOOKUP(YEAR('Custo Mensal'!A28),Variáveis!$B$2:$F$7,5,0))*(1+ULTR)),(('Projeção de Dados'!E28)-(VLOOKUP(YEAR('Custo Mensal'!A28),Variáveis!$B$2:$F$7,5,0))),0))*2*(AZUL_DFP))/(1-PISCOFINS-ICMS)</f>
        <v>250678.58648393865</v>
      </c>
      <c r="D28" s="58">
        <f>(('Projeção de Dados'!B28*((VER_EP-VER_EFP)*(1-DESC)+VER_EFP)
+'Projeção de Dados'!C28*(VER_EFP)
+IF((MAX('Projeção de Dados'!D28:E28))&lt;(VLOOKUP(YEAR('Custo Mensal'!A28),Variáveis!$B$2:$F$7,3,0)),(VLOOKUP(YEAR('Custo Mensal'!A28),Variáveis!$B$2:$F$7,3,0)),MAX('Projeção de Dados'!D28:E28))*(VER_D)*(1-DESC)
+IF(MAX('Projeção de Dados'!D28:E28)&gt;VLOOKUP(YEAR('Custo Mensal'!A28),Variáveis!$B$2:$F$7,3,0)*(1+ULTR),(MAX('Projeção de Dados'!D28:E28)-VLOOKUP(YEAR('Custo Mensal'!A28),Variáveis!$B$2:$F$7,3,0)),0)*2*(VER_D))/(1-PISCOFINS-ICMS))
+(SUM('Projeção de Dados'!B28:C28)*(VLOOKUP(YEAR('Custo Mensal'!A28),Variáveis!$B$2:$F$7,2,0)))/(1-ICMS)
+SUM('Projeção de Dados'!B28:C28)*ENC</f>
        <v>160053.15892380738</v>
      </c>
      <c r="E28" s="58">
        <f>(((SUM('Projeção de Dados'!B28:C28))*(AZUL_E)
+IF(('Projeção de Dados'!D28)&lt;(VLOOKUP(YEAR('Custo Mensal'!A28),Variáveis!$B$2:$F$7,4,0)),(VLOOKUP(YEAR('Custo Mensal'!A28),Variáveis!$B$2:$F$7,4,0)),'Projeção de Dados'!D28)*(AZUL_DP)*(1-DESC)
+IF(('Projeção de Dados'!E28)&lt;(VLOOKUP(YEAR('Custo Mensal'!A28),Variáveis!$B$2:$F$7,5,0)),(VLOOKUP(YEAR('Custo Mensal'!A28),Variáveis!$B$2:$F$7,5,0)),'Projeção de Dados'!E28)*(AZUL_DFP)*(1-DESC)
+(IF(('Projeção de Dados'!D28)&gt;((VLOOKUP(YEAR('Custo Mensal'!A28),Variáveis!$B$2:$F$7,4,0))*(1+ULTR)),(('Projeção de Dados'!D28)-(VLOOKUP(YEAR('Custo Mensal'!A28),Variáveis!$B$2:$F$7,4,0))),0))*2*(AZUL_DP)
+(IF(('Projeção de Dados'!E28)&gt;((VLOOKUP(YEAR('Custo Mensal'!A28),Variáveis!$B$2:$F$7,5,0))*(1+ULTR)),(('Projeção de Dados'!E28)-(VLOOKUP(YEAR('Custo Mensal'!A28),Variáveis!$B$2:$F$7,5,0))),0))*2*(AZUL_DFP))/(1-PISCOFINS-ICMS))
+(SUM('Projeção de Dados'!B28:C28)*(VLOOKUP(YEAR('Custo Mensal'!A28),Variáveis!$B$2:$F$7,2,0)))/(1-ICMS)
+SUM('Projeção de Dados'!B28:C28)*ENC</f>
        <v>171482.19006736937</v>
      </c>
    </row>
    <row r="29" spans="1:5" ht="15.75" customHeight="1" x14ac:dyDescent="0.25">
      <c r="A29" s="64">
        <v>45383</v>
      </c>
      <c r="B29" s="62">
        <f>('Projeção de Dados'!B29*(VER_EP+VER_TEP)
+'Projeção de Dados'!C29*(VER_EFP+VER_TEFP)
+IF((MAX('Projeção de Dados'!D29:E29))&lt;(VLOOKUP(YEAR('Custo Mensal'!A29),Variáveis!$B$2:$F$7,3,0)),(VLOOKUP(YEAR('Custo Mensal'!A29),Variáveis!$B$2:$F$7,3,0)),MAX('Projeção de Dados'!D29:E29))*(VER_D)
+IF(MAX('Projeção de Dados'!D29:E29)&gt;VLOOKUP(YEAR('Custo Mensal'!A29),Variáveis!$B$2:$F$7,3,0)*(1+ULTR),(MAX('Projeção de Dados'!D29:E29)-VLOOKUP(YEAR('Custo Mensal'!A29),Variáveis!$B$2:$F$7,3,0)),0)*2*(VER_D))/(1-PISCOFINS-ICMS)</f>
        <v>236407.58299742435</v>
      </c>
      <c r="C29" s="62">
        <f>(('Projeção de Dados'!B29)*(AZUL_E+AZUL_TEP)
+('Projeção de Dados'!C29)*(AZUL_E+AZUL_TEFP)
+IF(('Projeção de Dados'!D29)&lt;(VLOOKUP(YEAR('Custo Mensal'!A29),Variáveis!$B$2:$F$7,4,0)),(VLOOKUP(YEAR('Custo Mensal'!A29),Variáveis!$B$2:$F$7,4,0)),'Projeção de Dados'!D29)*(AZUL_DP)
+IF(('Projeção de Dados'!E29)&lt;(VLOOKUP(YEAR('Custo Mensal'!A29),Variáveis!$B$2:$F$7,5,0)),(VLOOKUP(YEAR('Custo Mensal'!A29),Variáveis!$B$2:$F$7,5,0)),'Projeção de Dados'!E29)*(AZUL_DFP)
+(IF(('Projeção de Dados'!D29)&gt;((VLOOKUP(YEAR('Custo Mensal'!A29),Variáveis!$B$2:$F$7,4,0))*(1+ULTR)),(('Projeção de Dados'!D29)-(VLOOKUP(YEAR('Custo Mensal'!A29),Variáveis!$B$2:$F$7,4,0))),0))*2*(AZUL_DP)
+(IF(('Projeção de Dados'!E29)&gt;((VLOOKUP(YEAR('Custo Mensal'!A29),Variáveis!$B$2:$F$7,5,0))*(1+ULTR)),(('Projeção de Dados'!E29)-(VLOOKUP(YEAR('Custo Mensal'!A29),Variáveis!$B$2:$F$7,5,0))),0))*2*(AZUL_DFP))/(1-PISCOFINS-ICMS)</f>
        <v>251835.10943887499</v>
      </c>
      <c r="D29" s="59">
        <f>(('Projeção de Dados'!B29*((VER_EP-VER_EFP)*(1-DESC)+VER_EFP)
+'Projeção de Dados'!C29*(VER_EFP)
+IF((MAX('Projeção de Dados'!D29:E29))&lt;(VLOOKUP(YEAR('Custo Mensal'!A29),Variáveis!$B$2:$F$7,3,0)),(VLOOKUP(YEAR('Custo Mensal'!A29),Variáveis!$B$2:$F$7,3,0)),MAX('Projeção de Dados'!D29:E29))*(VER_D)*(1-DESC)
+IF(MAX('Projeção de Dados'!D29:E29)&gt;VLOOKUP(YEAR('Custo Mensal'!A29),Variáveis!$B$2:$F$7,3,0)*(1+ULTR),(MAX('Projeção de Dados'!D29:E29)-VLOOKUP(YEAR('Custo Mensal'!A29),Variáveis!$B$2:$F$7,3,0)),0)*2*(VER_D))/(1-PISCOFINS-ICMS))
+(SUM('Projeção de Dados'!B29:C29)*(VLOOKUP(YEAR('Custo Mensal'!A29),Variáveis!$B$2:$F$7,2,0)))/(1-ICMS)
+SUM('Projeção de Dados'!B29:C29)*ENC</f>
        <v>157844.56211793222</v>
      </c>
      <c r="E29" s="59">
        <f>(((SUM('Projeção de Dados'!B29:C29))*(AZUL_E)
+IF(('Projeção de Dados'!D29)&lt;(VLOOKUP(YEAR('Custo Mensal'!A29),Variáveis!$B$2:$F$7,4,0)),(VLOOKUP(YEAR('Custo Mensal'!A29),Variáveis!$B$2:$F$7,4,0)),'Projeção de Dados'!D29)*(AZUL_DP)*(1-DESC)
+IF(('Projeção de Dados'!E29)&lt;(VLOOKUP(YEAR('Custo Mensal'!A29),Variáveis!$B$2:$F$7,5,0)),(VLOOKUP(YEAR('Custo Mensal'!A29),Variáveis!$B$2:$F$7,5,0)),'Projeção de Dados'!E29)*(AZUL_DFP)*(1-DESC)
+(IF(('Projeção de Dados'!D29)&gt;((VLOOKUP(YEAR('Custo Mensal'!A29),Variáveis!$B$2:$F$7,4,0))*(1+ULTR)),(('Projeção de Dados'!D29)-(VLOOKUP(YEAR('Custo Mensal'!A29),Variáveis!$B$2:$F$7,4,0))),0))*2*(AZUL_DP)
+(IF(('Projeção de Dados'!E29)&gt;((VLOOKUP(YEAR('Custo Mensal'!A29),Variáveis!$B$2:$F$7,5,0))*(1+ULTR)),(('Projeção de Dados'!E29)-(VLOOKUP(YEAR('Custo Mensal'!A29),Variáveis!$B$2:$F$7,5,0))),0))*2*(AZUL_DFP))/(1-PISCOFINS-ICMS))
+(SUM('Projeção de Dados'!B29:C29)*(VLOOKUP(YEAR('Custo Mensal'!A29),Variáveis!$B$2:$F$7,2,0)))/(1-ICMS)
+SUM('Projeção de Dados'!B29:C29)*ENC</f>
        <v>172155.74110335734</v>
      </c>
    </row>
    <row r="30" spans="1:5" ht="15.75" customHeight="1" x14ac:dyDescent="0.25">
      <c r="A30" s="64">
        <v>45413</v>
      </c>
      <c r="B30" s="61">
        <f>('Projeção de Dados'!B30*(VER_EP+VER_TEP)
+'Projeção de Dados'!C30*(VER_EFP+VER_TEFP)
+IF((MAX('Projeção de Dados'!D30:E30))&lt;(VLOOKUP(YEAR('Custo Mensal'!A30),Variáveis!$B$2:$F$7,3,0)),(VLOOKUP(YEAR('Custo Mensal'!A30),Variáveis!$B$2:$F$7,3,0)),MAX('Projeção de Dados'!D30:E30))*(VER_D)
+IF(MAX('Projeção de Dados'!D30:E30)&gt;VLOOKUP(YEAR('Custo Mensal'!A30),Variáveis!$B$2:$F$7,3,0)*(1+ULTR),(MAX('Projeção de Dados'!D30:E30)-VLOOKUP(YEAR('Custo Mensal'!A30),Variáveis!$B$2:$F$7,3,0)),0)*2*(VER_D))/(1-PISCOFINS-ICMS)</f>
        <v>194064.8952698521</v>
      </c>
      <c r="C30" s="61">
        <f>(('Projeção de Dados'!B30)*(AZUL_E+AZUL_TEP)
+('Projeção de Dados'!C30)*(AZUL_E+AZUL_TEFP)
+IF(('Projeção de Dados'!D30)&lt;(VLOOKUP(YEAR('Custo Mensal'!A30),Variáveis!$B$2:$F$7,4,0)),(VLOOKUP(YEAR('Custo Mensal'!A30),Variáveis!$B$2:$F$7,4,0)),'Projeção de Dados'!D30)*(AZUL_DP)
+IF(('Projeção de Dados'!E30)&lt;(VLOOKUP(YEAR('Custo Mensal'!A30),Variáveis!$B$2:$F$7,5,0)),(VLOOKUP(YEAR('Custo Mensal'!A30),Variáveis!$B$2:$F$7,5,0)),'Projeção de Dados'!E30)*(AZUL_DFP)
+(IF(('Projeção de Dados'!D30)&gt;((VLOOKUP(YEAR('Custo Mensal'!A30),Variáveis!$B$2:$F$7,4,0))*(1+ULTR)),(('Projeção de Dados'!D30)-(VLOOKUP(YEAR('Custo Mensal'!A30),Variáveis!$B$2:$F$7,4,0))),0))*2*(AZUL_DP)
+(IF(('Projeção de Dados'!E30)&gt;((VLOOKUP(YEAR('Custo Mensal'!A30),Variáveis!$B$2:$F$7,5,0))*(1+ULTR)),(('Projeção de Dados'!E30)-(VLOOKUP(YEAR('Custo Mensal'!A30),Variáveis!$B$2:$F$7,5,0))),0))*2*(AZUL_DFP))/(1-PISCOFINS-ICMS)</f>
        <v>198544.59333456884</v>
      </c>
      <c r="D30" s="58">
        <f>(('Projeção de Dados'!B30*((VER_EP-VER_EFP)*(1-DESC)+VER_EFP)
+'Projeção de Dados'!C30*(VER_EFP)
+IF((MAX('Projeção de Dados'!D30:E30))&lt;(VLOOKUP(YEAR('Custo Mensal'!A30),Variáveis!$B$2:$F$7,3,0)),(VLOOKUP(YEAR('Custo Mensal'!A30),Variáveis!$B$2:$F$7,3,0)),MAX('Projeção de Dados'!D30:E30))*(VER_D)*(1-DESC)
+IF(MAX('Projeção de Dados'!D30:E30)&gt;VLOOKUP(YEAR('Custo Mensal'!A30),Variáveis!$B$2:$F$7,3,0)*(1+ULTR),(MAX('Projeção de Dados'!D30:E30)-VLOOKUP(YEAR('Custo Mensal'!A30),Variáveis!$B$2:$F$7,3,0)),0)*2*(VER_D))/(1-PISCOFINS-ICMS))
+(SUM('Projeção de Dados'!B30:C30)*(VLOOKUP(YEAR('Custo Mensal'!A30),Variáveis!$B$2:$F$7,2,0)))/(1-ICMS)
+SUM('Projeção de Dados'!B30:C30)*ENC</f>
        <v>127065.45908278218</v>
      </c>
      <c r="E30" s="58">
        <f>(((SUM('Projeção de Dados'!B30:C30))*(AZUL_E)
+IF(('Projeção de Dados'!D30)&lt;(VLOOKUP(YEAR('Custo Mensal'!A30),Variáveis!$B$2:$F$7,4,0)),(VLOOKUP(YEAR('Custo Mensal'!A30),Variáveis!$B$2:$F$7,4,0)),'Projeção de Dados'!D30)*(AZUL_DP)*(1-DESC)
+IF(('Projeção de Dados'!E30)&lt;(VLOOKUP(YEAR('Custo Mensal'!A30),Variáveis!$B$2:$F$7,5,0)),(VLOOKUP(YEAR('Custo Mensal'!A30),Variáveis!$B$2:$F$7,5,0)),'Projeção de Dados'!E30)*(AZUL_DFP)*(1-DESC)
+(IF(('Projeção de Dados'!D30)&gt;((VLOOKUP(YEAR('Custo Mensal'!A30),Variáveis!$B$2:$F$7,4,0))*(1+ULTR)),(('Projeção de Dados'!D30)-(VLOOKUP(YEAR('Custo Mensal'!A30),Variáveis!$B$2:$F$7,4,0))),0))*2*(AZUL_DP)
+(IF(('Projeção de Dados'!E30)&gt;((VLOOKUP(YEAR('Custo Mensal'!A30),Variáveis!$B$2:$F$7,5,0))*(1+ULTR)),(('Projeção de Dados'!E30)-(VLOOKUP(YEAR('Custo Mensal'!A30),Variáveis!$B$2:$F$7,5,0))),0))*2*(AZUL_DFP))/(1-PISCOFINS-ICMS))
+(SUM('Projeção de Dados'!B30:C30)*(VLOOKUP(YEAR('Custo Mensal'!A30),Variáveis!$B$2:$F$7,2,0)))/(1-ICMS)
+SUM('Projeção de Dados'!B30:C30)*ENC</f>
        <v>129305.30811514056</v>
      </c>
    </row>
    <row r="31" spans="1:5" ht="15.75" customHeight="1" x14ac:dyDescent="0.25">
      <c r="A31" s="64">
        <v>45444</v>
      </c>
      <c r="B31" s="62">
        <f>('Projeção de Dados'!B31*(VER_EP+VER_TEP)
+'Projeção de Dados'!C31*(VER_EFP+VER_TEFP)
+IF((MAX('Projeção de Dados'!D31:E31))&lt;(VLOOKUP(YEAR('Custo Mensal'!A31),Variáveis!$B$2:$F$7,3,0)),(VLOOKUP(YEAR('Custo Mensal'!A31),Variáveis!$B$2:$F$7,3,0)),MAX('Projeção de Dados'!D31:E31))*(VER_D)
+IF(MAX('Projeção de Dados'!D31:E31)&gt;VLOOKUP(YEAR('Custo Mensal'!A31),Variáveis!$B$2:$F$7,3,0)*(1+ULTR),(MAX('Projeção de Dados'!D31:E31)-VLOOKUP(YEAR('Custo Mensal'!A31),Variáveis!$B$2:$F$7,3,0)),0)*2*(VER_D))/(1-PISCOFINS-ICMS)</f>
        <v>177835.8580368059</v>
      </c>
      <c r="C31" s="62">
        <f>(('Projeção de Dados'!B31)*(AZUL_E+AZUL_TEP)
+('Projeção de Dados'!C31)*(AZUL_E+AZUL_TEFP)
+IF(('Projeção de Dados'!D31)&lt;(VLOOKUP(YEAR('Custo Mensal'!A31),Variáveis!$B$2:$F$7,4,0)),(VLOOKUP(YEAR('Custo Mensal'!A31),Variáveis!$B$2:$F$7,4,0)),'Projeção de Dados'!D31)*(AZUL_DP)
+IF(('Projeção de Dados'!E31)&lt;(VLOOKUP(YEAR('Custo Mensal'!A31),Variáveis!$B$2:$F$7,5,0)),(VLOOKUP(YEAR('Custo Mensal'!A31),Variáveis!$B$2:$F$7,5,0)),'Projeção de Dados'!E31)*(AZUL_DFP)
+(IF(('Projeção de Dados'!D31)&gt;((VLOOKUP(YEAR('Custo Mensal'!A31),Variáveis!$B$2:$F$7,4,0))*(1+ULTR)),(('Projeção de Dados'!D31)-(VLOOKUP(YEAR('Custo Mensal'!A31),Variáveis!$B$2:$F$7,4,0))),0))*2*(AZUL_DP)
+(IF(('Projeção de Dados'!E31)&gt;((VLOOKUP(YEAR('Custo Mensal'!A31),Variáveis!$B$2:$F$7,5,0))*(1+ULTR)),(('Projeção de Dados'!E31)-(VLOOKUP(YEAR('Custo Mensal'!A31),Variáveis!$B$2:$F$7,5,0))),0))*2*(AZUL_DFP))/(1-PISCOFINS-ICMS)</f>
        <v>185866.95708785474</v>
      </c>
      <c r="D31" s="59">
        <f>(('Projeção de Dados'!B31*((VER_EP-VER_EFP)*(1-DESC)+VER_EFP)
+'Projeção de Dados'!C31*(VER_EFP)
+IF((MAX('Projeção de Dados'!D31:E31))&lt;(VLOOKUP(YEAR('Custo Mensal'!A31),Variáveis!$B$2:$F$7,3,0)),(VLOOKUP(YEAR('Custo Mensal'!A31),Variáveis!$B$2:$F$7,3,0)),MAX('Projeção de Dados'!D31:E31))*(VER_D)*(1-DESC)
+IF(MAX('Projeção de Dados'!D31:E31)&gt;VLOOKUP(YEAR('Custo Mensal'!A31),Variáveis!$B$2:$F$7,3,0)*(1+ULTR),(MAX('Projeção de Dados'!D31:E31)-VLOOKUP(YEAR('Custo Mensal'!A31),Variáveis!$B$2:$F$7,3,0)),0)*2*(VER_D))/(1-PISCOFINS-ICMS))
+(SUM('Projeção de Dados'!B31:C31)*(VLOOKUP(YEAR('Custo Mensal'!A31),Variáveis!$B$2:$F$7,2,0)))/(1-ICMS)
+SUM('Projeção de Dados'!B31:C31)*ENC</f>
        <v>116112.71968092103</v>
      </c>
      <c r="E31" s="59">
        <f>(((SUM('Projeção de Dados'!B31:C31))*(AZUL_E)
+IF(('Projeção de Dados'!D31)&lt;(VLOOKUP(YEAR('Custo Mensal'!A31),Variáveis!$B$2:$F$7,4,0)),(VLOOKUP(YEAR('Custo Mensal'!A31),Variáveis!$B$2:$F$7,4,0)),'Projeção de Dados'!D31)*(AZUL_DP)*(1-DESC)
+IF(('Projeção de Dados'!E31)&lt;(VLOOKUP(YEAR('Custo Mensal'!A31),Variáveis!$B$2:$F$7,5,0)),(VLOOKUP(YEAR('Custo Mensal'!A31),Variáveis!$B$2:$F$7,5,0)),'Projeção de Dados'!E31)*(AZUL_DFP)*(1-DESC)
+(IF(('Projeção de Dados'!D31)&gt;((VLOOKUP(YEAR('Custo Mensal'!A31),Variáveis!$B$2:$F$7,4,0))*(1+ULTR)),(('Projeção de Dados'!D31)-(VLOOKUP(YEAR('Custo Mensal'!A31),Variáveis!$B$2:$F$7,4,0))),0))*2*(AZUL_DP)
+(IF(('Projeção de Dados'!E31)&gt;((VLOOKUP(YEAR('Custo Mensal'!A31),Variáveis!$B$2:$F$7,5,0))*(1+ULTR)),(('Projeção de Dados'!E31)-(VLOOKUP(YEAR('Custo Mensal'!A31),Variáveis!$B$2:$F$7,5,0))),0))*2*(AZUL_DFP))/(1-PISCOFINS-ICMS))
+(SUM('Projeção de Dados'!B31:C31)*(VLOOKUP(YEAR('Custo Mensal'!A31),Variáveis!$B$2:$F$7,2,0)))/(1-ICMS)
+SUM('Projeção de Dados'!B31:C31)*ENC</f>
        <v>120128.26920644545</v>
      </c>
    </row>
    <row r="32" spans="1:5" ht="15.75" customHeight="1" x14ac:dyDescent="0.25">
      <c r="A32" s="64">
        <v>45474</v>
      </c>
      <c r="B32" s="61">
        <f>('Projeção de Dados'!B32*(VER_EP+VER_TEP)
+'Projeção de Dados'!C32*(VER_EFP+VER_TEFP)
+IF((MAX('Projeção de Dados'!D32:E32))&lt;(VLOOKUP(YEAR('Custo Mensal'!A32),Variáveis!$B$2:$F$7,3,0)),(VLOOKUP(YEAR('Custo Mensal'!A32),Variáveis!$B$2:$F$7,3,0)),MAX('Projeção de Dados'!D32:E32))*(VER_D)
+IF(MAX('Projeção de Dados'!D32:E32)&gt;VLOOKUP(YEAR('Custo Mensal'!A32),Variáveis!$B$2:$F$7,3,0)*(1+ULTR),(MAX('Projeção de Dados'!D32:E32)-VLOOKUP(YEAR('Custo Mensal'!A32),Variáveis!$B$2:$F$7,3,0)),0)*2*(VER_D))/(1-PISCOFINS-ICMS)</f>
        <v>165689.65106688195</v>
      </c>
      <c r="C32" s="61">
        <f>(('Projeção de Dados'!B32)*(AZUL_E+AZUL_TEP)
+('Projeção de Dados'!C32)*(AZUL_E+AZUL_TEFP)
+IF(('Projeção de Dados'!D32)&lt;(VLOOKUP(YEAR('Custo Mensal'!A32),Variáveis!$B$2:$F$7,4,0)),(VLOOKUP(YEAR('Custo Mensal'!A32),Variáveis!$B$2:$F$7,4,0)),'Projeção de Dados'!D32)*(AZUL_DP)
+IF(('Projeção de Dados'!E32)&lt;(VLOOKUP(YEAR('Custo Mensal'!A32),Variáveis!$B$2:$F$7,5,0)),(VLOOKUP(YEAR('Custo Mensal'!A32),Variáveis!$B$2:$F$7,5,0)),'Projeção de Dados'!E32)*(AZUL_DFP)
+(IF(('Projeção de Dados'!D32)&gt;((VLOOKUP(YEAR('Custo Mensal'!A32),Variáveis!$B$2:$F$7,4,0))*(1+ULTR)),(('Projeção de Dados'!D32)-(VLOOKUP(YEAR('Custo Mensal'!A32),Variáveis!$B$2:$F$7,4,0))),0))*2*(AZUL_DP)
+(IF(('Projeção de Dados'!E32)&gt;((VLOOKUP(YEAR('Custo Mensal'!A32),Variáveis!$B$2:$F$7,5,0))*(1+ULTR)),(('Projeção de Dados'!E32)-(VLOOKUP(YEAR('Custo Mensal'!A32),Variáveis!$B$2:$F$7,5,0))),0))*2*(AZUL_DFP))/(1-PISCOFINS-ICMS)</f>
        <v>178109.75709000239</v>
      </c>
      <c r="D32" s="58">
        <f>(('Projeção de Dados'!B32*((VER_EP-VER_EFP)*(1-DESC)+VER_EFP)
+'Projeção de Dados'!C32*(VER_EFP)
+IF((MAX('Projeção de Dados'!D32:E32))&lt;(VLOOKUP(YEAR('Custo Mensal'!A32),Variáveis!$B$2:$F$7,3,0)),(VLOOKUP(YEAR('Custo Mensal'!A32),Variáveis!$B$2:$F$7,3,0)),MAX('Projeção de Dados'!D32:E32))*(VER_D)*(1-DESC)
+IF(MAX('Projeção de Dados'!D32:E32)&gt;VLOOKUP(YEAR('Custo Mensal'!A32),Variáveis!$B$2:$F$7,3,0)*(1+ULTR),(MAX('Projeção de Dados'!D32:E32)-VLOOKUP(YEAR('Custo Mensal'!A32),Variáveis!$B$2:$F$7,3,0)),0)*2*(VER_D))/(1-PISCOFINS-ICMS))
+(SUM('Projeção de Dados'!B32:C32)*(VLOOKUP(YEAR('Custo Mensal'!A32),Variáveis!$B$2:$F$7,2,0)))/(1-ICMS)
+SUM('Projeção de Dados'!B32:C32)*ENC</f>
        <v>108296.13927469043</v>
      </c>
      <c r="E32" s="58">
        <f>(((SUM('Projeção de Dados'!B32:C32))*(AZUL_E)
+IF(('Projeção de Dados'!D32)&lt;(VLOOKUP(YEAR('Custo Mensal'!A32),Variáveis!$B$2:$F$7,4,0)),(VLOOKUP(YEAR('Custo Mensal'!A32),Variáveis!$B$2:$F$7,4,0)),'Projeção de Dados'!D32)*(AZUL_DP)*(1-DESC)
+IF(('Projeção de Dados'!E32)&lt;(VLOOKUP(YEAR('Custo Mensal'!A32),Variáveis!$B$2:$F$7,5,0)),(VLOOKUP(YEAR('Custo Mensal'!A32),Variáveis!$B$2:$F$7,5,0)),'Projeção de Dados'!E32)*(AZUL_DFP)*(1-DESC)
+(IF(('Projeção de Dados'!D32)&gt;((VLOOKUP(YEAR('Custo Mensal'!A32),Variáveis!$B$2:$F$7,4,0))*(1+ULTR)),(('Projeção de Dados'!D32)-(VLOOKUP(YEAR('Custo Mensal'!A32),Variáveis!$B$2:$F$7,4,0))),0))*2*(AZUL_DP)
+(IF(('Projeção de Dados'!E32)&gt;((VLOOKUP(YEAR('Custo Mensal'!A32),Variáveis!$B$2:$F$7,5,0))*(1+ULTR)),(('Projeção de Dados'!E32)-(VLOOKUP(YEAR('Custo Mensal'!A32),Variáveis!$B$2:$F$7,5,0))),0))*2*(AZUL_DFP))/(1-PISCOFINS-ICMS))
+(SUM('Projeção de Dados'!B32:C32)*(VLOOKUP(YEAR('Custo Mensal'!A32),Variáveis!$B$2:$F$7,2,0)))/(1-ICMS)
+SUM('Projeção de Dados'!B32:C32)*ENC</f>
        <v>114506.19228625063</v>
      </c>
    </row>
    <row r="33" spans="1:5" ht="15.75" customHeight="1" x14ac:dyDescent="0.25">
      <c r="A33" s="64">
        <v>45505</v>
      </c>
      <c r="B33" s="62">
        <f>('Projeção de Dados'!B33*(VER_EP+VER_TEP)
+'Projeção de Dados'!C33*(VER_EFP+VER_TEFP)
+IF((MAX('Projeção de Dados'!D33:E33))&lt;(VLOOKUP(YEAR('Custo Mensal'!A33),Variáveis!$B$2:$F$7,3,0)),(VLOOKUP(YEAR('Custo Mensal'!A33),Variáveis!$B$2:$F$7,3,0)),MAX('Projeção de Dados'!D33:E33))*(VER_D)
+IF(MAX('Projeção de Dados'!D33:E33)&gt;VLOOKUP(YEAR('Custo Mensal'!A33),Variáveis!$B$2:$F$7,3,0)*(1+ULTR),(MAX('Projeção de Dados'!D33:E33)-VLOOKUP(YEAR('Custo Mensal'!A33),Variáveis!$B$2:$F$7,3,0)),0)*2*(VER_D))/(1-PISCOFINS-ICMS)</f>
        <v>167664.79365423028</v>
      </c>
      <c r="C33" s="62">
        <f>(('Projeção de Dados'!B33)*(AZUL_E+AZUL_TEP)
+('Projeção de Dados'!C33)*(AZUL_E+AZUL_TEFP)
+IF(('Projeção de Dados'!D33)&lt;(VLOOKUP(YEAR('Custo Mensal'!A33),Variáveis!$B$2:$F$7,4,0)),(VLOOKUP(YEAR('Custo Mensal'!A33),Variáveis!$B$2:$F$7,4,0)),'Projeção de Dados'!D33)*(AZUL_DP)
+IF(('Projeção de Dados'!E33)&lt;(VLOOKUP(YEAR('Custo Mensal'!A33),Variáveis!$B$2:$F$7,5,0)),(VLOOKUP(YEAR('Custo Mensal'!A33),Variáveis!$B$2:$F$7,5,0)),'Projeção de Dados'!E33)*(AZUL_DFP)
+(IF(('Projeção de Dados'!D33)&gt;((VLOOKUP(YEAR('Custo Mensal'!A33),Variáveis!$B$2:$F$7,4,0))*(1+ULTR)),(('Projeção de Dados'!D33)-(VLOOKUP(YEAR('Custo Mensal'!A33),Variáveis!$B$2:$F$7,4,0))),0))*2*(AZUL_DP)
+(IF(('Projeção de Dados'!E33)&gt;((VLOOKUP(YEAR('Custo Mensal'!A33),Variáveis!$B$2:$F$7,5,0))*(1+ULTR)),(('Projeção de Dados'!E33)-(VLOOKUP(YEAR('Custo Mensal'!A33),Variáveis!$B$2:$F$7,5,0))),0))*2*(AZUL_DFP))/(1-PISCOFINS-ICMS)</f>
        <v>178914.59399938522</v>
      </c>
      <c r="D33" s="59">
        <f>(('Projeção de Dados'!B33*((VER_EP-VER_EFP)*(1-DESC)+VER_EFP)
+'Projeção de Dados'!C33*(VER_EFP)
+IF((MAX('Projeção de Dados'!D33:E33))&lt;(VLOOKUP(YEAR('Custo Mensal'!A33),Variáveis!$B$2:$F$7,3,0)),(VLOOKUP(YEAR('Custo Mensal'!A33),Variáveis!$B$2:$F$7,3,0)),MAX('Projeção de Dados'!D33:E33))*(VER_D)*(1-DESC)
+IF(MAX('Projeção de Dados'!D33:E33)&gt;VLOOKUP(YEAR('Custo Mensal'!A33),Variáveis!$B$2:$F$7,3,0)*(1+ULTR),(MAX('Projeção de Dados'!D33:E33)-VLOOKUP(YEAR('Custo Mensal'!A33),Variáveis!$B$2:$F$7,3,0)),0)*2*(VER_D))/(1-PISCOFINS-ICMS))
+(SUM('Projeção de Dados'!B33:C33)*(VLOOKUP(YEAR('Custo Mensal'!A33),Variáveis!$B$2:$F$7,2,0)))/(1-ICMS)
+SUM('Projeção de Dados'!B33:C33)*ENC</f>
        <v>109385.65147873084</v>
      </c>
      <c r="E33" s="59">
        <f>(((SUM('Projeção de Dados'!B33:C33))*(AZUL_E)
+IF(('Projeção de Dados'!D33)&lt;(VLOOKUP(YEAR('Custo Mensal'!A33),Variáveis!$B$2:$F$7,4,0)),(VLOOKUP(YEAR('Custo Mensal'!A33),Variáveis!$B$2:$F$7,4,0)),'Projeção de Dados'!D33)*(AZUL_DP)*(1-DESC)
+IF(('Projeção de Dados'!E33)&lt;(VLOOKUP(YEAR('Custo Mensal'!A33),Variáveis!$B$2:$F$7,5,0)),(VLOOKUP(YEAR('Custo Mensal'!A33),Variáveis!$B$2:$F$7,5,0)),'Projeção de Dados'!E33)*(AZUL_DFP)*(1-DESC)
+(IF(('Projeção de Dados'!D33)&gt;((VLOOKUP(YEAR('Custo Mensal'!A33),Variáveis!$B$2:$F$7,4,0))*(1+ULTR)),(('Projeção de Dados'!D33)-(VLOOKUP(YEAR('Custo Mensal'!A33),Variáveis!$B$2:$F$7,4,0))),0))*2*(AZUL_DP)
+(IF(('Projeção de Dados'!E33)&gt;((VLOOKUP(YEAR('Custo Mensal'!A33),Variáveis!$B$2:$F$7,5,0))*(1+ULTR)),(('Projeção de Dados'!E33)-(VLOOKUP(YEAR('Custo Mensal'!A33),Variáveis!$B$2:$F$7,5,0))),0))*2*(AZUL_DFP))/(1-PISCOFINS-ICMS))
+(SUM('Projeção de Dados'!B33:C33)*(VLOOKUP(YEAR('Custo Mensal'!A33),Variáveis!$B$2:$F$7,2,0)))/(1-ICMS)
+SUM('Projeção de Dados'!B33:C33)*ENC</f>
        <v>115010.55165130828</v>
      </c>
    </row>
    <row r="34" spans="1:5" ht="15.75" customHeight="1" x14ac:dyDescent="0.25">
      <c r="A34" s="64">
        <v>45536</v>
      </c>
      <c r="B34" s="61">
        <f>('Projeção de Dados'!B34*(VER_EP+VER_TEP)
+'Projeção de Dados'!C34*(VER_EFP+VER_TEFP)
+IF((MAX('Projeção de Dados'!D34:E34))&lt;(VLOOKUP(YEAR('Custo Mensal'!A34),Variáveis!$B$2:$F$7,3,0)),(VLOOKUP(YEAR('Custo Mensal'!A34),Variáveis!$B$2:$F$7,3,0)),MAX('Projeção de Dados'!D34:E34))*(VER_D)
+IF(MAX('Projeção de Dados'!D34:E34)&gt;VLOOKUP(YEAR('Custo Mensal'!A34),Variáveis!$B$2:$F$7,3,0)*(1+ULTR),(MAX('Projeção de Dados'!D34:E34)-VLOOKUP(YEAR('Custo Mensal'!A34),Variáveis!$B$2:$F$7,3,0)),0)*2*(VER_D))/(1-PISCOFINS-ICMS)</f>
        <v>185479.17764353851</v>
      </c>
      <c r="C34" s="61">
        <f>(('Projeção de Dados'!B34)*(AZUL_E+AZUL_TEP)
+('Projeção de Dados'!C34)*(AZUL_E+AZUL_TEFP)
+IF(('Projeção de Dados'!D34)&lt;(VLOOKUP(YEAR('Custo Mensal'!A34),Variáveis!$B$2:$F$7,4,0)),(VLOOKUP(YEAR('Custo Mensal'!A34),Variáveis!$B$2:$F$7,4,0)),'Projeção de Dados'!D34)*(AZUL_DP)
+IF(('Projeção de Dados'!E34)&lt;(VLOOKUP(YEAR('Custo Mensal'!A34),Variáveis!$B$2:$F$7,5,0)),(VLOOKUP(YEAR('Custo Mensal'!A34),Variáveis!$B$2:$F$7,5,0)),'Projeção de Dados'!E34)*(AZUL_DFP)
+(IF(('Projeção de Dados'!D34)&gt;((VLOOKUP(YEAR('Custo Mensal'!A34),Variáveis!$B$2:$F$7,4,0))*(1+ULTR)),(('Projeção de Dados'!D34)-(VLOOKUP(YEAR('Custo Mensal'!A34),Variáveis!$B$2:$F$7,4,0))),0))*2*(AZUL_DP)
+(IF(('Projeção de Dados'!E34)&gt;((VLOOKUP(YEAR('Custo Mensal'!A34),Variáveis!$B$2:$F$7,5,0))*(1+ULTR)),(('Projeção de Dados'!E34)-(VLOOKUP(YEAR('Custo Mensal'!A34),Variáveis!$B$2:$F$7,5,0))),0))*2*(AZUL_DFP))/(1-PISCOFINS-ICMS)</f>
        <v>191187.47052243134</v>
      </c>
      <c r="D34" s="58">
        <f>(('Projeção de Dados'!B34*((VER_EP-VER_EFP)*(1-DESC)+VER_EFP)
+'Projeção de Dados'!C34*(VER_EFP)
+IF((MAX('Projeção de Dados'!D34:E34))&lt;(VLOOKUP(YEAR('Custo Mensal'!A34),Variáveis!$B$2:$F$7,3,0)),(VLOOKUP(YEAR('Custo Mensal'!A34),Variáveis!$B$2:$F$7,3,0)),MAX('Projeção de Dados'!D34:E34))*(VER_D)*(1-DESC)
+IF(MAX('Projeção de Dados'!D34:E34)&gt;VLOOKUP(YEAR('Custo Mensal'!A34),Variáveis!$B$2:$F$7,3,0)*(1+ULTR),(MAX('Projeção de Dados'!D34:E34)-VLOOKUP(YEAR('Custo Mensal'!A34),Variáveis!$B$2:$F$7,3,0)),0)*2*(VER_D))/(1-PISCOFINS-ICMS))
+(SUM('Projeção de Dados'!B34:C34)*(VLOOKUP(YEAR('Custo Mensal'!A34),Variáveis!$B$2:$F$7,2,0)))/(1-ICMS)
+SUM('Projeção de Dados'!B34:C34)*ENC</f>
        <v>121206.12152692021</v>
      </c>
      <c r="E34" s="58">
        <f>(((SUM('Projeção de Dados'!B34:C34))*(AZUL_E)
+IF(('Projeção de Dados'!D34)&lt;(VLOOKUP(YEAR('Custo Mensal'!A34),Variáveis!$B$2:$F$7,4,0)),(VLOOKUP(YEAR('Custo Mensal'!A34),Variáveis!$B$2:$F$7,4,0)),'Projeção de Dados'!D34)*(AZUL_DP)*(1-DESC)
+IF(('Projeção de Dados'!E34)&lt;(VLOOKUP(YEAR('Custo Mensal'!A34),Variáveis!$B$2:$F$7,5,0)),(VLOOKUP(YEAR('Custo Mensal'!A34),Variáveis!$B$2:$F$7,5,0)),'Projeção de Dados'!E34)*(AZUL_DFP)*(1-DESC)
+(IF(('Projeção de Dados'!D34)&gt;((VLOOKUP(YEAR('Custo Mensal'!A34),Variáveis!$B$2:$F$7,4,0))*(1+ULTR)),(('Projeção de Dados'!D34)-(VLOOKUP(YEAR('Custo Mensal'!A34),Variáveis!$B$2:$F$7,4,0))),0))*2*(AZUL_DP)
+(IF(('Projeção de Dados'!E34)&gt;((VLOOKUP(YEAR('Custo Mensal'!A34),Variáveis!$B$2:$F$7,5,0))*(1+ULTR)),(('Projeção de Dados'!E34)-(VLOOKUP(YEAR('Custo Mensal'!A34),Variáveis!$B$2:$F$7,5,0))),0))*2*(AZUL_DFP))/(1-PISCOFINS-ICMS))
+(SUM('Projeção de Dados'!B34:C34)*(VLOOKUP(YEAR('Custo Mensal'!A34),Variáveis!$B$2:$F$7,2,0)))/(1-ICMS)
+SUM('Projeção de Dados'!B34:C34)*ENC</f>
        <v>124060.26796636663</v>
      </c>
    </row>
    <row r="35" spans="1:5" ht="15.75" customHeight="1" x14ac:dyDescent="0.25">
      <c r="A35" s="64">
        <v>45566</v>
      </c>
      <c r="B35" s="62">
        <f>('Projeção de Dados'!B35*(VER_EP+VER_TEP)
+'Projeção de Dados'!C35*(VER_EFP+VER_TEFP)
+IF((MAX('Projeção de Dados'!D35:E35))&lt;(VLOOKUP(YEAR('Custo Mensal'!A35),Variáveis!$B$2:$F$7,3,0)),(VLOOKUP(YEAR('Custo Mensal'!A35),Variáveis!$B$2:$F$7,3,0)),MAX('Projeção de Dados'!D35:E35))*(VER_D)
+IF(MAX('Projeção de Dados'!D35:E35)&gt;VLOOKUP(YEAR('Custo Mensal'!A35),Variáveis!$B$2:$F$7,3,0)*(1+ULTR),(MAX('Projeção de Dados'!D35:E35)-VLOOKUP(YEAR('Custo Mensal'!A35),Variáveis!$B$2:$F$7,3,0)),0)*2*(VER_D))/(1-PISCOFINS-ICMS)</f>
        <v>188503.8825618072</v>
      </c>
      <c r="C35" s="62">
        <f>(('Projeção de Dados'!B35)*(AZUL_E+AZUL_TEP)
+('Projeção de Dados'!C35)*(AZUL_E+AZUL_TEFP)
+IF(('Projeção de Dados'!D35)&lt;(VLOOKUP(YEAR('Custo Mensal'!A35),Variáveis!$B$2:$F$7,4,0)),(VLOOKUP(YEAR('Custo Mensal'!A35),Variáveis!$B$2:$F$7,4,0)),'Projeção de Dados'!D35)*(AZUL_DP)
+IF(('Projeção de Dados'!E35)&lt;(VLOOKUP(YEAR('Custo Mensal'!A35),Variáveis!$B$2:$F$7,5,0)),(VLOOKUP(YEAR('Custo Mensal'!A35),Variáveis!$B$2:$F$7,5,0)),'Projeção de Dados'!E35)*(AZUL_DFP)
+(IF(('Projeção de Dados'!D35)&gt;((VLOOKUP(YEAR('Custo Mensal'!A35),Variáveis!$B$2:$F$7,4,0))*(1+ULTR)),(('Projeção de Dados'!D35)-(VLOOKUP(YEAR('Custo Mensal'!A35),Variáveis!$B$2:$F$7,4,0))),0))*2*(AZUL_DP)
+(IF(('Projeção de Dados'!E35)&gt;((VLOOKUP(YEAR('Custo Mensal'!A35),Variáveis!$B$2:$F$7,5,0))*(1+ULTR)),(('Projeção de Dados'!E35)-(VLOOKUP(YEAR('Custo Mensal'!A35),Variáveis!$B$2:$F$7,5,0))),0))*2*(AZUL_DFP))/(1-PISCOFINS-ICMS)</f>
        <v>194452.61078813564</v>
      </c>
      <c r="D35" s="59">
        <f>(('Projeção de Dados'!B35*((VER_EP-VER_EFP)*(1-DESC)+VER_EFP)
+'Projeção de Dados'!C35*(VER_EFP)
+IF((MAX('Projeção de Dados'!D35:E35))&lt;(VLOOKUP(YEAR('Custo Mensal'!A35),Variáveis!$B$2:$F$7,3,0)),(VLOOKUP(YEAR('Custo Mensal'!A35),Variáveis!$B$2:$F$7,3,0)),MAX('Projeção de Dados'!D35:E35))*(VER_D)*(1-DESC)
+IF(MAX('Projeção de Dados'!D35:E35)&gt;VLOOKUP(YEAR('Custo Mensal'!A35),Variáveis!$B$2:$F$7,3,0)*(1+ULTR),(MAX('Projeção de Dados'!D35:E35)-VLOOKUP(YEAR('Custo Mensal'!A35),Variáveis!$B$2:$F$7,3,0)),0)*2*(VER_D))/(1-PISCOFINS-ICMS))
+(SUM('Projeção de Dados'!B35:C35)*(VLOOKUP(YEAR('Custo Mensal'!A35),Variáveis!$B$2:$F$7,2,0)))/(1-ICMS)
+SUM('Projeção de Dados'!B35:C35)*ENC</f>
        <v>123682.89785771871</v>
      </c>
      <c r="E35" s="59">
        <f>(((SUM('Projeção de Dados'!B35:C35))*(AZUL_E)
+IF(('Projeção de Dados'!D35)&lt;(VLOOKUP(YEAR('Custo Mensal'!A35),Variáveis!$B$2:$F$7,4,0)),(VLOOKUP(YEAR('Custo Mensal'!A35),Variáveis!$B$2:$F$7,4,0)),'Projeção de Dados'!D35)*(AZUL_DP)*(1-DESC)
+IF(('Projeção de Dados'!E35)&lt;(VLOOKUP(YEAR('Custo Mensal'!A35),Variáveis!$B$2:$F$7,5,0)),(VLOOKUP(YEAR('Custo Mensal'!A35),Variáveis!$B$2:$F$7,5,0)),'Projeção de Dados'!E35)*(AZUL_DFP)*(1-DESC)
+(IF(('Projeção de Dados'!D35)&gt;((VLOOKUP(YEAR('Custo Mensal'!A35),Variáveis!$B$2:$F$7,4,0))*(1+ULTR)),(('Projeção de Dados'!D35)-(VLOOKUP(YEAR('Custo Mensal'!A35),Variáveis!$B$2:$F$7,4,0))),0))*2*(AZUL_DP)
+(IF(('Projeção de Dados'!E35)&gt;((VLOOKUP(YEAR('Custo Mensal'!A35),Variáveis!$B$2:$F$7,5,0))*(1+ULTR)),(('Projeção de Dados'!E35)-(VLOOKUP(YEAR('Custo Mensal'!A35),Variáveis!$B$2:$F$7,5,0))),0))*2*(AZUL_DFP))/(1-PISCOFINS-ICMS))
+(SUM('Projeção de Dados'!B35:C35)*(VLOOKUP(YEAR('Custo Mensal'!A35),Variáveis!$B$2:$F$7,2,0)))/(1-ICMS)
+SUM('Projeção de Dados'!B35:C35)*ENC</f>
        <v>126657.26197088292</v>
      </c>
    </row>
    <row r="36" spans="1:5" ht="15.75" customHeight="1" x14ac:dyDescent="0.25">
      <c r="A36" s="64">
        <v>45597</v>
      </c>
      <c r="B36" s="61">
        <f>('Projeção de Dados'!B36*(VER_EP+VER_TEP)
+'Projeção de Dados'!C36*(VER_EFP+VER_TEFP)
+IF((MAX('Projeção de Dados'!D36:E36))&lt;(VLOOKUP(YEAR('Custo Mensal'!A36),Variáveis!$B$2:$F$7,3,0)),(VLOOKUP(YEAR('Custo Mensal'!A36),Variáveis!$B$2:$F$7,3,0)),MAX('Projeção de Dados'!D36:E36))*(VER_D)
+IF(MAX('Projeção de Dados'!D36:E36)&gt;VLOOKUP(YEAR('Custo Mensal'!A36),Variáveis!$B$2:$F$7,3,0)*(1+ULTR),(MAX('Projeção de Dados'!D36:E36)-VLOOKUP(YEAR('Custo Mensal'!A36),Variáveis!$B$2:$F$7,3,0)),0)*2*(VER_D))/(1-PISCOFINS-ICMS)</f>
        <v>188242.9161493468</v>
      </c>
      <c r="C36" s="61">
        <f>(('Projeção de Dados'!B36)*(AZUL_E+AZUL_TEP)
+('Projeção de Dados'!C36)*(AZUL_E+AZUL_TEFP)
+IF(('Projeção de Dados'!D36)&lt;(VLOOKUP(YEAR('Custo Mensal'!A36),Variáveis!$B$2:$F$7,4,0)),(VLOOKUP(YEAR('Custo Mensal'!A36),Variáveis!$B$2:$F$7,4,0)),'Projeção de Dados'!D36)*(AZUL_DP)
+IF(('Projeção de Dados'!E36)&lt;(VLOOKUP(YEAR('Custo Mensal'!A36),Variáveis!$B$2:$F$7,5,0)),(VLOOKUP(YEAR('Custo Mensal'!A36),Variáveis!$B$2:$F$7,5,0)),'Projeção de Dados'!E36)*(AZUL_DFP)
+(IF(('Projeção de Dados'!D36)&gt;((VLOOKUP(YEAR('Custo Mensal'!A36),Variáveis!$B$2:$F$7,4,0))*(1+ULTR)),(('Projeção de Dados'!D36)-(VLOOKUP(YEAR('Custo Mensal'!A36),Variáveis!$B$2:$F$7,4,0))),0))*2*(AZUL_DP)
+(IF(('Projeção de Dados'!E36)&gt;((VLOOKUP(YEAR('Custo Mensal'!A36),Variáveis!$B$2:$F$7,5,0))*(1+ULTR)),(('Projeção de Dados'!E36)-(VLOOKUP(YEAR('Custo Mensal'!A36),Variáveis!$B$2:$F$7,5,0))),0))*2*(AZUL_DFP))/(1-PISCOFINS-ICMS)</f>
        <v>197850.13952036866</v>
      </c>
      <c r="D36" s="58">
        <f>(('Projeção de Dados'!B36*((VER_EP-VER_EFP)*(1-DESC)+VER_EFP)
+'Projeção de Dados'!C36*(VER_EFP)
+IF((MAX('Projeção de Dados'!D36:E36))&lt;(VLOOKUP(YEAR('Custo Mensal'!A36),Variáveis!$B$2:$F$7,3,0)),(VLOOKUP(YEAR('Custo Mensal'!A36),Variáveis!$B$2:$F$7,3,0)),MAX('Projeção de Dados'!D36:E36))*(VER_D)*(1-DESC)
+IF(MAX('Projeção de Dados'!D36:E36)&gt;VLOOKUP(YEAR('Custo Mensal'!A36),Variáveis!$B$2:$F$7,3,0)*(1+ULTR),(MAX('Projeção de Dados'!D36:E36)-VLOOKUP(YEAR('Custo Mensal'!A36),Variáveis!$B$2:$F$7,3,0)),0)*2*(VER_D))/(1-PISCOFINS-ICMS))
+(SUM('Projeção de Dados'!B36:C36)*(VLOOKUP(YEAR('Custo Mensal'!A36),Variáveis!$B$2:$F$7,2,0)))/(1-ICMS)
+SUM('Projeção de Dados'!B36:C36)*ENC</f>
        <v>123887.64062407006</v>
      </c>
      <c r="E36" s="58">
        <f>(((SUM('Projeção de Dados'!B36:C36))*(AZUL_E)
+IF(('Projeção de Dados'!D36)&lt;(VLOOKUP(YEAR('Custo Mensal'!A36),Variáveis!$B$2:$F$7,4,0)),(VLOOKUP(YEAR('Custo Mensal'!A36),Variáveis!$B$2:$F$7,4,0)),'Projeção de Dados'!D36)*(AZUL_DP)*(1-DESC)
+IF(('Projeção de Dados'!E36)&lt;(VLOOKUP(YEAR('Custo Mensal'!A36),Variáveis!$B$2:$F$7,5,0)),(VLOOKUP(YEAR('Custo Mensal'!A36),Variáveis!$B$2:$F$7,5,0)),'Projeção de Dados'!E36)*(AZUL_DFP)*(1-DESC)
+(IF(('Projeção de Dados'!D36)&gt;((VLOOKUP(YEAR('Custo Mensal'!A36),Variáveis!$B$2:$F$7,4,0))*(1+ULTR)),(('Projeção de Dados'!D36)-(VLOOKUP(YEAR('Custo Mensal'!A36),Variáveis!$B$2:$F$7,4,0))),0))*2*(AZUL_DP)
+(IF(('Projeção de Dados'!E36)&gt;((VLOOKUP(YEAR('Custo Mensal'!A36),Variáveis!$B$2:$F$7,5,0))*(1+ULTR)),(('Projeção de Dados'!E36)-(VLOOKUP(YEAR('Custo Mensal'!A36),Variáveis!$B$2:$F$7,5,0))),0))*2*(AZUL_DFP))/(1-PISCOFINS-ICMS))
+(SUM('Projeção de Dados'!B36:C36)*(VLOOKUP(YEAR('Custo Mensal'!A36),Variáveis!$B$2:$F$7,2,0)))/(1-ICMS)
+SUM('Projeção de Dados'!B36:C36)*ENC</f>
        <v>128691.25230958099</v>
      </c>
    </row>
    <row r="37" spans="1:5" ht="15.75" customHeight="1" x14ac:dyDescent="0.25">
      <c r="A37" s="64">
        <v>45627</v>
      </c>
      <c r="B37" s="62">
        <f>('Projeção de Dados'!B37*(VER_EP+VER_TEP)
+'Projeção de Dados'!C37*(VER_EFP+VER_TEFP)
+IF((MAX('Projeção de Dados'!D37:E37))&lt;(VLOOKUP(YEAR('Custo Mensal'!A37),Variáveis!$B$2:$F$7,3,0)),(VLOOKUP(YEAR('Custo Mensal'!A37),Variáveis!$B$2:$F$7,3,0)),MAX('Projeção de Dados'!D37:E37))*(VER_D)
+IF(MAX('Projeção de Dados'!D37:E37)&gt;VLOOKUP(YEAR('Custo Mensal'!A37),Variáveis!$B$2:$F$7,3,0)*(1+ULTR),(MAX('Projeção de Dados'!D37:E37)-VLOOKUP(YEAR('Custo Mensal'!A37),Variáveis!$B$2:$F$7,3,0)),0)*2*(VER_D))/(1-PISCOFINS-ICMS)</f>
        <v>208219.20167671063</v>
      </c>
      <c r="C37" s="62">
        <f>(('Projeção de Dados'!B37)*(AZUL_E+AZUL_TEP)
+('Projeção de Dados'!C37)*(AZUL_E+AZUL_TEFP)
+IF(('Projeção de Dados'!D37)&lt;(VLOOKUP(YEAR('Custo Mensal'!A37),Variáveis!$B$2:$F$7,4,0)),(VLOOKUP(YEAR('Custo Mensal'!A37),Variáveis!$B$2:$F$7,4,0)),'Projeção de Dados'!D37)*(AZUL_DP)
+IF(('Projeção de Dados'!E37)&lt;(VLOOKUP(YEAR('Custo Mensal'!A37),Variáveis!$B$2:$F$7,5,0)),(VLOOKUP(YEAR('Custo Mensal'!A37),Variáveis!$B$2:$F$7,5,0)),'Projeção de Dados'!E37)*(AZUL_DFP)
+(IF(('Projeção de Dados'!D37)&gt;((VLOOKUP(YEAR('Custo Mensal'!A37),Variáveis!$B$2:$F$7,4,0))*(1+ULTR)),(('Projeção de Dados'!D37)-(VLOOKUP(YEAR('Custo Mensal'!A37),Variáveis!$B$2:$F$7,4,0))),0))*2*(AZUL_DP)
+(IF(('Projeção de Dados'!E37)&gt;((VLOOKUP(YEAR('Custo Mensal'!A37),Variáveis!$B$2:$F$7,5,0))*(1+ULTR)),(('Projeção de Dados'!E37)-(VLOOKUP(YEAR('Custo Mensal'!A37),Variáveis!$B$2:$F$7,5,0))),0))*2*(AZUL_DFP))/(1-PISCOFINS-ICMS)</f>
        <v>215256.29679307801</v>
      </c>
      <c r="D37" s="59">
        <f>(('Projeção de Dados'!B37*((VER_EP-VER_EFP)*(1-DESC)+VER_EFP)
+'Projeção de Dados'!C37*(VER_EFP)
+IF((MAX('Projeção de Dados'!D37:E37))&lt;(VLOOKUP(YEAR('Custo Mensal'!A37),Variáveis!$B$2:$F$7,3,0)),(VLOOKUP(YEAR('Custo Mensal'!A37),Variáveis!$B$2:$F$7,3,0)),MAX('Projeção de Dados'!D37:E37))*(VER_D)*(1-DESC)
+IF(MAX('Projeção de Dados'!D37:E37)&gt;VLOOKUP(YEAR('Custo Mensal'!A37),Variáveis!$B$2:$F$7,3,0)*(1+ULTR),(MAX('Projeção de Dados'!D37:E37)-VLOOKUP(YEAR('Custo Mensal'!A37),Variáveis!$B$2:$F$7,3,0)),0)*2*(VER_D))/(1-PISCOFINS-ICMS))
+(SUM('Projeção de Dados'!B37:C37)*(VLOOKUP(YEAR('Custo Mensal'!A37),Variáveis!$B$2:$F$7,2,0)))/(1-ICMS)
+SUM('Projeção de Dados'!B37:C37)*ENC</f>
        <v>138282.37314719733</v>
      </c>
      <c r="E37" s="59">
        <f>(((SUM('Projeção de Dados'!B37:C37))*(AZUL_E)
+IF(('Projeção de Dados'!D37)&lt;(VLOOKUP(YEAR('Custo Mensal'!A37),Variáveis!$B$2:$F$7,4,0)),(VLOOKUP(YEAR('Custo Mensal'!A37),Variáveis!$B$2:$F$7,4,0)),'Projeção de Dados'!D37)*(AZUL_DP)*(1-DESC)
+IF(('Projeção de Dados'!E37)&lt;(VLOOKUP(YEAR('Custo Mensal'!A37),Variáveis!$B$2:$F$7,5,0)),(VLOOKUP(YEAR('Custo Mensal'!A37),Variáveis!$B$2:$F$7,5,0)),'Projeção de Dados'!E37)*(AZUL_DFP)*(1-DESC)
+(IF(('Projeção de Dados'!D37)&gt;((VLOOKUP(YEAR('Custo Mensal'!A37),Variáveis!$B$2:$F$7,4,0))*(1+ULTR)),(('Projeção de Dados'!D37)-(VLOOKUP(YEAR('Custo Mensal'!A37),Variáveis!$B$2:$F$7,4,0))),0))*2*(AZUL_DP)
+(IF(('Projeção de Dados'!E37)&gt;((VLOOKUP(YEAR('Custo Mensal'!A37),Variáveis!$B$2:$F$7,5,0))*(1+ULTR)),(('Projeção de Dados'!E37)-(VLOOKUP(YEAR('Custo Mensal'!A37),Variáveis!$B$2:$F$7,5,0))),0))*2*(AZUL_DFP))/(1-PISCOFINS-ICMS))
+(SUM('Projeção de Dados'!B37:C37)*(VLOOKUP(YEAR('Custo Mensal'!A37),Variáveis!$B$2:$F$7,2,0)))/(1-ICMS)
+SUM('Projeção de Dados'!B37:C37)*ENC</f>
        <v>141800.920705381</v>
      </c>
    </row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16" sqref="E16"/>
    </sheetView>
  </sheetViews>
  <sheetFormatPr defaultColWidth="12.625" defaultRowHeight="15" customHeight="1" x14ac:dyDescent="0.2"/>
  <cols>
    <col min="1" max="1" width="7.625" customWidth="1"/>
    <col min="2" max="3" width="29.5" customWidth="1"/>
    <col min="4" max="4" width="15.625" customWidth="1"/>
    <col min="5" max="5" width="19.75" customWidth="1"/>
    <col min="6" max="6" width="34.625" bestFit="1" customWidth="1"/>
    <col min="7" max="26" width="8.625" customWidth="1"/>
  </cols>
  <sheetData>
    <row r="1" spans="1:6" ht="14.25" customHeight="1" x14ac:dyDescent="0.25">
      <c r="A1" s="72" t="s">
        <v>11</v>
      </c>
      <c r="B1" s="65" t="s">
        <v>32</v>
      </c>
      <c r="C1" s="65" t="s">
        <v>33</v>
      </c>
      <c r="D1" s="66" t="s">
        <v>34</v>
      </c>
      <c r="E1" s="66" t="s">
        <v>35</v>
      </c>
    </row>
    <row r="2" spans="1:6" ht="14.25" customHeight="1" x14ac:dyDescent="0.2">
      <c r="A2" s="73">
        <v>2022</v>
      </c>
      <c r="B2" s="70">
        <f>SUM('Custo Mensal'!B2:B13)</f>
        <v>2163629.3799551325</v>
      </c>
      <c r="C2" s="70">
        <f>SUM('Custo Mensal'!C2:C13)</f>
        <v>2280718.1759848697</v>
      </c>
      <c r="D2" s="68">
        <f>SUM('Custo Mensal'!D2:D13)</f>
        <v>1625451.7982538766</v>
      </c>
      <c r="E2" s="68">
        <f>SUM('Custo Mensal'!E2:E13)</f>
        <v>1695241.9447723567</v>
      </c>
    </row>
    <row r="3" spans="1:6" ht="14.25" customHeight="1" x14ac:dyDescent="0.2">
      <c r="A3" s="73">
        <v>2023</v>
      </c>
      <c r="B3" s="71">
        <f>SUM('Custo Mensal'!B14:B25)</f>
        <v>2240740.4784051743</v>
      </c>
      <c r="C3" s="71">
        <f>SUM('Custo Mensal'!C14:C25)</f>
        <v>2358974.3430724894</v>
      </c>
      <c r="D3" s="69">
        <f>SUM('Custo Mensal'!D14:D25)</f>
        <v>1557321.1578088563</v>
      </c>
      <c r="E3" s="69">
        <f>SUM('Custo Mensal'!E14:E25)</f>
        <v>1625548.7212943058</v>
      </c>
    </row>
    <row r="4" spans="1:6" ht="14.25" customHeight="1" x14ac:dyDescent="0.2">
      <c r="A4" s="73">
        <v>2024</v>
      </c>
      <c r="B4" s="70">
        <f>SUM('Custo Mensal'!B26:B37)</f>
        <v>2312179.6768948524</v>
      </c>
      <c r="C4" s="70">
        <f>SUM('Custo Mensal'!C26:C37)</f>
        <v>2437258.092063664</v>
      </c>
      <c r="D4" s="68">
        <f>SUM('Custo Mensal'!D26:D37)</f>
        <v>1529647.0945749485</v>
      </c>
      <c r="E4" s="68">
        <f>SUM('Custo Mensal'!E26:E37)</f>
        <v>1603773.7044999935</v>
      </c>
    </row>
    <row r="5" spans="1:6" ht="14.25" customHeight="1" x14ac:dyDescent="0.2"/>
    <row r="6" spans="1:6" ht="14.25" customHeight="1" x14ac:dyDescent="0.2">
      <c r="A6" s="49"/>
      <c r="B6" s="49"/>
      <c r="C6" s="49"/>
      <c r="D6" s="49"/>
      <c r="E6" s="49"/>
    </row>
    <row r="7" spans="1:6" ht="14.25" customHeight="1" x14ac:dyDescent="0.2">
      <c r="A7" s="49"/>
      <c r="B7" s="49"/>
      <c r="C7" s="49"/>
      <c r="D7" s="49"/>
      <c r="E7" s="49"/>
    </row>
    <row r="8" spans="1:6" ht="14.25" customHeight="1" x14ac:dyDescent="0.2">
      <c r="A8" s="49"/>
      <c r="B8" s="49"/>
      <c r="C8" s="49"/>
      <c r="D8" s="49"/>
      <c r="E8" s="49"/>
    </row>
    <row r="9" spans="1:6" ht="46.5" customHeight="1" x14ac:dyDescent="0.2">
      <c r="A9" s="74" t="s">
        <v>11</v>
      </c>
      <c r="B9" s="50" t="s">
        <v>36</v>
      </c>
      <c r="C9" s="50" t="s">
        <v>37</v>
      </c>
      <c r="E9" s="74" t="s">
        <v>11</v>
      </c>
      <c r="F9" s="50" t="s">
        <v>39</v>
      </c>
    </row>
    <row r="10" spans="1:6" ht="14.25" customHeight="1" x14ac:dyDescent="0.2">
      <c r="A10" s="73">
        <v>2022</v>
      </c>
      <c r="B10" s="47">
        <f t="shared" ref="B10:B12" si="0">B2-D2</f>
        <v>538177.58170125587</v>
      </c>
      <c r="C10" s="47">
        <f t="shared" ref="C10:C12" si="1">B2-E2</f>
        <v>468387.43518277584</v>
      </c>
      <c r="E10" s="73">
        <v>2022</v>
      </c>
      <c r="F10" s="76">
        <f>B10/B2</f>
        <v>0.24873834062671868</v>
      </c>
    </row>
    <row r="11" spans="1:6" ht="14.25" customHeight="1" x14ac:dyDescent="0.2">
      <c r="A11" s="73">
        <v>2023</v>
      </c>
      <c r="B11" s="48">
        <f t="shared" si="0"/>
        <v>683419.32059631799</v>
      </c>
      <c r="C11" s="48">
        <f t="shared" si="1"/>
        <v>615191.75711086858</v>
      </c>
      <c r="E11" s="73">
        <v>2023</v>
      </c>
      <c r="F11" s="77">
        <f>B11/B3</f>
        <v>0.30499708787460078</v>
      </c>
    </row>
    <row r="12" spans="1:6" ht="14.25" customHeight="1" x14ac:dyDescent="0.2">
      <c r="A12" s="73">
        <v>2024</v>
      </c>
      <c r="B12" s="47">
        <f t="shared" si="0"/>
        <v>782532.58231990389</v>
      </c>
      <c r="C12" s="47">
        <f t="shared" si="1"/>
        <v>708405.97239485895</v>
      </c>
      <c r="E12" s="73">
        <v>2024</v>
      </c>
      <c r="F12" s="76">
        <f>B12/B4</f>
        <v>0.33843934800551834</v>
      </c>
    </row>
    <row r="13" spans="1:6" ht="14.25" customHeight="1" x14ac:dyDescent="0.2">
      <c r="A13" s="75" t="s">
        <v>38</v>
      </c>
      <c r="B13" s="51">
        <f t="shared" ref="B13:C13" si="2">SUM(B10:B12)</f>
        <v>2004129.4846174777</v>
      </c>
      <c r="C13" s="51">
        <f t="shared" si="2"/>
        <v>1791985.1646885034</v>
      </c>
      <c r="E13" s="75" t="s">
        <v>38</v>
      </c>
      <c r="F13" s="78">
        <f>B13/SUM(B2:B4)</f>
        <v>0.29838676452809654</v>
      </c>
    </row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19</vt:i4>
      </vt:variant>
    </vt:vector>
  </HeadingPairs>
  <TitlesOfParts>
    <vt:vector size="25" baseType="lpstr">
      <vt:lpstr>Tarifas</vt:lpstr>
      <vt:lpstr>Variáveis</vt:lpstr>
      <vt:lpstr>Massa de Dados</vt:lpstr>
      <vt:lpstr>Projeção de Dados</vt:lpstr>
      <vt:lpstr>Custo Mensal</vt:lpstr>
      <vt:lpstr>Custo Anual</vt:lpstr>
      <vt:lpstr>AZUL_DFP</vt:lpstr>
      <vt:lpstr>AZUL_DP</vt:lpstr>
      <vt:lpstr>AZUL_E</vt:lpstr>
      <vt:lpstr>AZUL_TEFP</vt:lpstr>
      <vt:lpstr>AZUL_TEP</vt:lpstr>
      <vt:lpstr>DESC</vt:lpstr>
      <vt:lpstr>ENC</vt:lpstr>
      <vt:lpstr>ICMS</vt:lpstr>
      <vt:lpstr>PISCOFINS</vt:lpstr>
      <vt:lpstr>'Custo Anual'!solver_adj</vt:lpstr>
      <vt:lpstr>'Custo Anual'!solver_lhs1</vt:lpstr>
      <vt:lpstr>'Custo Anual'!solver_lhs2</vt:lpstr>
      <vt:lpstr>'Custo Anual'!solver_opt</vt:lpstr>
      <vt:lpstr>ULTR</vt:lpstr>
      <vt:lpstr>VER_D</vt:lpstr>
      <vt:lpstr>VER_EFP</vt:lpstr>
      <vt:lpstr>VER_EP</vt:lpstr>
      <vt:lpstr>VER_TEFP</vt:lpstr>
      <vt:lpstr>VER_TEP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Martinelli</dc:creator>
  <cp:lastModifiedBy>Guilherme Martinelli</cp:lastModifiedBy>
  <dcterms:created xsi:type="dcterms:W3CDTF">2021-01-22T02:45:12Z</dcterms:created>
  <dcterms:modified xsi:type="dcterms:W3CDTF">2021-01-22T02:45:13Z</dcterms:modified>
</cp:coreProperties>
</file>