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utoradoICOMP\PhDThesis_Gabriel\chapters\results\Fase 1\"/>
    </mc:Choice>
  </mc:AlternateContent>
  <xr:revisionPtr revIDLastSave="0" documentId="13_ncr:40009_{532AC4B8-0C7C-4AE3-9178-400F6F54750D}" xr6:coauthVersionLast="47" xr6:coauthVersionMax="47" xr10:uidLastSave="{00000000-0000-0000-0000-000000000000}"/>
  <bookViews>
    <workbookView xWindow="-120" yWindow="-120" windowWidth="29040" windowHeight="15840" tabRatio="756" activeTab="3"/>
  </bookViews>
  <sheets>
    <sheet name="A_media_tradicional_preteste" sheetId="2" r:id="rId1"/>
    <sheet name="B_media_tradicional_preteste" sheetId="3" r:id="rId2"/>
    <sheet name="A_media_tradicional_posteste" sheetId="4" r:id="rId3"/>
    <sheet name="B_media_tradicional_posteste" sheetId="5" r:id="rId4"/>
    <sheet name="A_media_tradicional_posteste2" sheetId="6" r:id="rId5"/>
  </sheets>
  <definedNames>
    <definedName name="_xlchart.v1.0" hidden="1">A_media_tradicional_preteste!$D$2:$D$14</definedName>
    <definedName name="_xlchart.v1.1" hidden="1">B_media_tradicional_preteste!$D$20</definedName>
    <definedName name="_xlchart.v1.2" hidden="1">B_media_tradicional_preteste!$D$21:$D$24</definedName>
    <definedName name="_xlchart.v1.3" hidden="1">B_media_tradicional_preteste!$D$2:$D$11</definedName>
    <definedName name="_xlchart.v1.4" hidden="1">A_media_tradicional_posteste!$D$2:$D$13</definedName>
    <definedName name="_xlchart.v1.5" hidden="1">B_media_tradicional_posteste!$D$20</definedName>
    <definedName name="_xlchart.v1.6" hidden="1">B_media_tradicional_posteste!$D$21:$D$24</definedName>
    <definedName name="_xlchart.v1.7" hidden="1">B_media_tradicional_posteste!$D$2:$D$10</definedName>
    <definedName name="_xlchart.v1.8" hidden="1">A_media_tradicional_posteste2!$D$2:$D$10</definedName>
    <definedName name="_xlchart.v1.9" hidden="1">A_media_tradicional_posteste2!$D$2:$D$10</definedName>
    <definedName name="DadosExternos_1" localSheetId="0" hidden="1">A_media_tradicional_preteste!$A$1:$D$14</definedName>
    <definedName name="DadosExternos_2" localSheetId="1" hidden="1">B_media_tradicional_preteste!$A$1:$D$11</definedName>
    <definedName name="DadosExternos_3" localSheetId="2" hidden="1">A_media_tradicional_posteste!$A$1:$D$13</definedName>
    <definedName name="DadosExternos_4" localSheetId="3" hidden="1">B_media_tradicional_posteste!$A$1:$D$10</definedName>
    <definedName name="DadosExternos_5" localSheetId="4" hidden="1">A_media_tradicional_posteste2!$A$1:$D$10</definedName>
  </definedNames>
  <calcPr calcId="0"/>
</workbook>
</file>

<file path=xl/calcChain.xml><?xml version="1.0" encoding="utf-8"?>
<calcChain xmlns="http://schemas.openxmlformats.org/spreadsheetml/2006/main">
  <c r="F4" i="5" l="1"/>
  <c r="F5" i="5" s="1"/>
  <c r="F6" i="5" s="1"/>
  <c r="F7" i="5" s="1"/>
  <c r="F8" i="5" s="1"/>
  <c r="F9" i="5" s="1"/>
  <c r="F10" i="5" s="1"/>
  <c r="F3" i="5"/>
  <c r="F2" i="5"/>
  <c r="D11" i="5"/>
  <c r="D14" i="6"/>
  <c r="D16" i="6"/>
  <c r="D18" i="4"/>
  <c r="D15" i="6"/>
  <c r="D13" i="6"/>
  <c r="D12" i="6"/>
  <c r="D11" i="6"/>
  <c r="D21" i="3"/>
  <c r="D22" i="3"/>
  <c r="D23" i="3"/>
  <c r="D24" i="3"/>
  <c r="D12" i="3"/>
  <c r="H1" i="3"/>
  <c r="D24" i="5"/>
  <c r="D23" i="5"/>
  <c r="D22" i="5"/>
  <c r="D21" i="5"/>
  <c r="D16" i="3"/>
  <c r="H4" i="3" s="1"/>
  <c r="D18" i="2"/>
  <c r="D15" i="5"/>
  <c r="D17" i="4"/>
  <c r="D17" i="2"/>
  <c r="D14" i="3"/>
  <c r="D16" i="4"/>
  <c r="D15" i="4"/>
  <c r="D14" i="4"/>
  <c r="D13" i="5"/>
  <c r="D12" i="5"/>
  <c r="D16" i="2"/>
  <c r="D13" i="3"/>
  <c r="D15" i="2"/>
  <c r="E3" i="3" l="1"/>
  <c r="E6" i="3"/>
  <c r="D15" i="3"/>
  <c r="E9" i="3"/>
  <c r="E9" i="5"/>
  <c r="E8" i="5"/>
  <c r="E7" i="5"/>
  <c r="E6" i="5"/>
  <c r="E5" i="5"/>
  <c r="D14" i="5"/>
  <c r="E4" i="5"/>
  <c r="D16" i="5"/>
  <c r="E3" i="5"/>
  <c r="E10" i="5"/>
  <c r="E2" i="5"/>
  <c r="E10" i="3"/>
  <c r="E8" i="3"/>
  <c r="E7" i="3"/>
  <c r="E5" i="3"/>
  <c r="E2" i="3"/>
  <c r="E4" i="3"/>
  <c r="E11" i="3"/>
  <c r="H2" i="3"/>
  <c r="H6" i="3"/>
  <c r="H5" i="3"/>
  <c r="H7" i="3" s="1"/>
  <c r="H8" i="3" s="1"/>
  <c r="D28" i="5" l="1"/>
  <c r="D27" i="5"/>
  <c r="D26" i="5" l="1"/>
</calcChain>
</file>

<file path=xl/connections.xml><?xml version="1.0" encoding="utf-8"?>
<connections xmlns="http://schemas.openxmlformats.org/spreadsheetml/2006/main">
  <connection id="1" keepAlive="1" name="Consulta - A_media_tradicional" description="Conexão com a consulta 'A_media_tradicional' na pasta de trabalho." type="5" refreshedVersion="8" background="1" saveData="1">
    <dbPr connection="Provider=Microsoft.Mashup.OleDb.1;Data Source=$Workbook$;Location=A_media_tradicional;Extended Properties=&quot;&quot;" command="SELECT * FROM [A_media_tradicional]"/>
  </connection>
  <connection id="2" keepAlive="1" name="Consulta - A_media_tradicional (2)" description="Conexão com a consulta 'A_media_tradicional (2)' na pasta de trabalho." type="5" refreshedVersion="8" background="1" saveData="1">
    <dbPr connection="Provider=Microsoft.Mashup.OleDb.1;Data Source=$Workbook$;Location=&quot;A_media_tradicional (2)&quot;;Extended Properties=&quot;&quot;" command="SELECT * FROM [A_media_tradicional (2)]"/>
  </connection>
  <connection id="3" keepAlive="1" name="Consulta - A_media_tradicional_2" description="Conexão com a consulta 'A_media_tradicional_2' na pasta de trabalho." type="5" refreshedVersion="8" background="1" saveData="1">
    <dbPr connection="Provider=Microsoft.Mashup.OleDb.1;Data Source=$Workbook$;Location=A_media_tradicional_2;Extended Properties=&quot;&quot;" command="SELECT * FROM [A_media_tradicional_2]"/>
  </connection>
  <connection id="4" keepAlive="1" name="Consulta - B_media_tradicional" description="Conexão com a consulta 'B_media_tradicional' na pasta de trabalho." type="5" refreshedVersion="8" background="1" saveData="1">
    <dbPr connection="Provider=Microsoft.Mashup.OleDb.1;Data Source=$Workbook$;Location=B_media_tradicional;Extended Properties=&quot;&quot;" command="SELECT * FROM [B_media_tradicional]"/>
  </connection>
  <connection id="5" keepAlive="1" name="Consulta - B_media_tradicional (2)" description="Conexão com a consulta 'B_media_tradicional (2)' na pasta de trabalho." type="5" refreshedVersion="8" background="1" saveData="1">
    <dbPr connection="Provider=Microsoft.Mashup.OleDb.1;Data Source=$Workbook$;Location=&quot;B_media_tradicional (2)&quot;;Extended Properties=&quot;&quot;" command="SELECT * FROM [B_media_tradicional (2)]"/>
  </connection>
</connections>
</file>

<file path=xl/sharedStrings.xml><?xml version="1.0" encoding="utf-8"?>
<sst xmlns="http://schemas.openxmlformats.org/spreadsheetml/2006/main" count="123" uniqueCount="83">
  <si>
    <t>_id</t>
  </si>
  <si>
    <t>idAluno</t>
  </si>
  <si>
    <t>idQuestionario</t>
  </si>
  <si>
    <t>mediaTradicional</t>
  </si>
  <si>
    <t>61da74527ee7d38bc683bf0f</t>
  </si>
  <si>
    <t>61da74577ee7d38bc683bf12</t>
  </si>
  <si>
    <t>61da745c7ee7d38bc683bf15</t>
  </si>
  <si>
    <t>61da74627ee7d38bc683bf18</t>
  </si>
  <si>
    <t>61da74677ee7d38bc683bf1b</t>
  </si>
  <si>
    <t>61da746d7ee7d38bc683bf1e</t>
  </si>
  <si>
    <t>61da74727ee7d38bc683bf21</t>
  </si>
  <si>
    <t>61da74777ee7d38bc683bf24</t>
  </si>
  <si>
    <t>61da747c7ee7d38bc683bf27</t>
  </si>
  <si>
    <t>61da74817ee7d38bc683bf2a</t>
  </si>
  <si>
    <t>61da74857ee7d38bc683bf2c</t>
  </si>
  <si>
    <t>61da74877ee7d38bc683bf2d</t>
  </si>
  <si>
    <t>61da748a7ee7d38bc683bf2f</t>
  </si>
  <si>
    <t>61da74987ee7d38bc683bf36</t>
  </si>
  <si>
    <t>61da749b7ee7d38bc683bf38</t>
  </si>
  <si>
    <t>61da748e7ee7d38bc683bf31</t>
  </si>
  <si>
    <t>61da74927ee7d38bc683bf33</t>
  </si>
  <si>
    <t>61da74967ee7d38bc683bf35</t>
  </si>
  <si>
    <t>61da749f7ee7d38bc683bf3a</t>
  </si>
  <si>
    <t>61da74a37ee7d38bc683bf3c</t>
  </si>
  <si>
    <t>61da74a77ee7d38bc683bf3e</t>
  </si>
  <si>
    <t>61da74ab7ee7d38bc683bf40</t>
  </si>
  <si>
    <t>61da74b07ee7d38bc683bf42</t>
  </si>
  <si>
    <t>média</t>
  </si>
  <si>
    <t>desvio padrão</t>
  </si>
  <si>
    <t>61da74537ee7d38bc683bf10</t>
  </si>
  <si>
    <t>61da74587ee7d38bc683bf13</t>
  </si>
  <si>
    <t>61da745d7ee7d38bc683bf16</t>
  </si>
  <si>
    <t>61da74637ee7d38bc683bf19</t>
  </si>
  <si>
    <t>61da74687ee7d38bc683bf1c</t>
  </si>
  <si>
    <t>61da746e7ee7d38bc683bf1f</t>
  </si>
  <si>
    <t>61da74737ee7d38bc683bf22</t>
  </si>
  <si>
    <t>61da74797ee7d38bc683bf25</t>
  </si>
  <si>
    <t>61da747e7ee7d38bc683bf28</t>
  </si>
  <si>
    <t>61da74837ee7d38bc683bf2b</t>
  </si>
  <si>
    <t>61da74887ee7d38bc683bf2e</t>
  </si>
  <si>
    <t>61da748c7ee7d38bc683bf30</t>
  </si>
  <si>
    <t>61da748f7ee7d38bc683bf32</t>
  </si>
  <si>
    <t>61da74947ee7d38bc683bf34</t>
  </si>
  <si>
    <t>61da74997ee7d38bc683bf37</t>
  </si>
  <si>
    <t>61da749d7ee7d38bc683bf39</t>
  </si>
  <si>
    <t>61da74a17ee7d38bc683bf3b</t>
  </si>
  <si>
    <t>61da74a57ee7d38bc683bf3d</t>
  </si>
  <si>
    <t>61da74a97ee7d38bc683bf3f</t>
  </si>
  <si>
    <t>61da74ad7ee7d38bc683bf41</t>
  </si>
  <si>
    <t>61da74b27ee7d38bc683bf43</t>
  </si>
  <si>
    <t>mediana</t>
  </si>
  <si>
    <t>%</t>
  </si>
  <si>
    <t>Participantes</t>
  </si>
  <si>
    <t>1º quartil</t>
  </si>
  <si>
    <t>Máximo</t>
  </si>
  <si>
    <t>Mínimo</t>
  </si>
  <si>
    <t>3º Quartil</t>
  </si>
  <si>
    <t>Grupo B</t>
  </si>
  <si>
    <t>G</t>
  </si>
  <si>
    <t>Alfa</t>
  </si>
  <si>
    <t>Tam. Am.</t>
  </si>
  <si>
    <t>N. Sign.</t>
  </si>
  <si>
    <t>Graus Lib.</t>
  </si>
  <si>
    <t>t-crítico</t>
  </si>
  <si>
    <t>G-crítico</t>
  </si>
  <si>
    <t>Z-Score</t>
  </si>
  <si>
    <t>61da74557ee7d38bc683bf11</t>
  </si>
  <si>
    <t>61da745a7ee7d38bc683bf14</t>
  </si>
  <si>
    <t>61da745f7ee7d38bc683bf17</t>
  </si>
  <si>
    <t>61da74657ee7d38bc683bf1a</t>
  </si>
  <si>
    <t>61da746a7ee7d38bc683bf1d</t>
  </si>
  <si>
    <t>61da74707ee7d38bc683bf20</t>
  </si>
  <si>
    <t>61da74757ee7d38bc683bf23</t>
  </si>
  <si>
    <t>61da747a7ee7d38bc683bf26</t>
  </si>
  <si>
    <t>61da74807ee7d38bc683bf29</t>
  </si>
  <si>
    <t>% do A</t>
  </si>
  <si>
    <t>% do B</t>
  </si>
  <si>
    <t>% do pós A 1</t>
  </si>
  <si>
    <t>352, 383</t>
  </si>
  <si>
    <t>Intervalo</t>
  </si>
  <si>
    <t>minimo zscore</t>
  </si>
  <si>
    <t>média zscore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</si>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</sst>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165" fontId="0" fillId="33" borderId="11" xfId="0" applyNumberFormat="1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65" formatCode="0.0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Pré-Teste : Grupo A - Média Tradicional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Pré-Teste : Grupo A - Média Tradicional</a:t>
          </a:r>
        </a:p>
      </cx:txPr>
    </cx:title>
    <cx:plotArea>
      <cx:plotAreaRegion>
        <cx:series layoutId="boxWhisker" uniqueId="{9D251553-0362-4EE9-A151-FB3FED14C63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400" b="1" i="0" baseline="0">
                <a:effectLst/>
                <a:latin typeface="+mn-lt"/>
              </a:rPr>
              <a:t>Pré-Teste : Grupo B - Média Tradicional</a:t>
            </a:r>
            <a:endParaRPr lang="pt-BR" sz="1400" b="1">
              <a:effectLst/>
              <a:latin typeface="+mn-lt"/>
            </a:endParaRPr>
          </a:p>
        </cx:rich>
      </cx:tx>
    </cx:title>
    <cx:plotArea>
      <cx:plotAreaRegion>
        <cx:series layoutId="boxWhisker" uniqueId="{12B2FA9E-2A9B-4685-889A-4741537D89F6}"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3E98846C-45F0-4BCD-96E4-3D4CBE457228}">
          <cx:tx>
            <cx:txData>
              <cx:f>_xlchart.v1.1</cx:f>
              <cx:v>Grupo 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400" b="1" i="0" baseline="0">
                <a:effectLst/>
                <a:latin typeface="+mn-lt"/>
              </a:rPr>
              <a:t>Pós-Teste : Grupo A - Média Tradicional</a:t>
            </a:r>
            <a:endParaRPr lang="pt-BR" sz="1400" b="1">
              <a:effectLst/>
              <a:latin typeface="+mn-lt"/>
            </a:endParaRPr>
          </a:p>
        </cx:rich>
      </cx:tx>
    </cx:title>
    <cx:plotArea>
      <cx:plotAreaRegion>
        <cx:series layoutId="boxWhisker" uniqueId="{EEFDA926-5283-44DA-AC9E-EBB541635D5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400" b="1" i="0" baseline="0">
                <a:effectLst/>
                <a:latin typeface="+mn-lt"/>
              </a:rPr>
              <a:t>Pré-Teste : Grupo A - Média Tradicional</a:t>
            </a:r>
            <a:endParaRPr lang="pt-BR" sz="1400" b="1">
              <a:effectLst/>
              <a:latin typeface="+mn-lt"/>
            </a:endParaRPr>
          </a:p>
        </cx:rich>
      </cx:tx>
    </cx:title>
    <cx:plotArea>
      <cx:plotAreaRegion>
        <cx:series layoutId="boxWhisker" uniqueId="{F51A26C4-3E94-4EFF-9F02-4D2E45330BA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boxWhisker" uniqueId="{EEA542F0-EB96-43F3-AAD5-4F8C3F70BA8D}">
          <cx:tx>
            <cx:txData>
              <cx:f>_xlchart.v1.5</cx:f>
              <cx:v>Grupo 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E89DC86F-2D93-4ACA-BC5E-FA10F3D6A27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4</xdr:row>
      <xdr:rowOff>40957</xdr:rowOff>
    </xdr:from>
    <xdr:to>
      <xdr:col>12</xdr:col>
      <xdr:colOff>491490</xdr:colOff>
      <xdr:row>19</xdr:row>
      <xdr:rowOff>67627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4F08B54-92AE-2519-061C-6CB30FA83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3540" y="764857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40957</xdr:rowOff>
    </xdr:from>
    <xdr:to>
      <xdr:col>16</xdr:col>
      <xdr:colOff>457200</xdr:colOff>
      <xdr:row>18</xdr:row>
      <xdr:rowOff>69532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FD169C0-D238-57F2-56E8-B0ACAC84F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7650" y="5838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174307</xdr:colOff>
      <xdr:row>25</xdr:row>
      <xdr:rowOff>113347</xdr:rowOff>
    </xdr:from>
    <xdr:to>
      <xdr:col>6</xdr:col>
      <xdr:colOff>564832</xdr:colOff>
      <xdr:row>40</xdr:row>
      <xdr:rowOff>132397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8E7FE32A-69C5-5757-90E3-DDCEF0FC05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282" y="4637722"/>
              <a:ext cx="4572000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155257</xdr:colOff>
      <xdr:row>10</xdr:row>
      <xdr:rowOff>145732</xdr:rowOff>
    </xdr:from>
    <xdr:to>
      <xdr:col>15</xdr:col>
      <xdr:colOff>460057</xdr:colOff>
      <xdr:row>25</xdr:row>
      <xdr:rowOff>172402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5F4FB92-9B96-FE9C-CA31-459DA0769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0907" y="1955482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132397</xdr:colOff>
      <xdr:row>14</xdr:row>
      <xdr:rowOff>134302</xdr:rowOff>
    </xdr:from>
    <xdr:to>
      <xdr:col>13</xdr:col>
      <xdr:colOff>437197</xdr:colOff>
      <xdr:row>28</xdr:row>
      <xdr:rowOff>153352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3810548-5B2C-1E23-1B8C-D9B086F4B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6472" y="2667952"/>
              <a:ext cx="4572000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317182</xdr:colOff>
      <xdr:row>8</xdr:row>
      <xdr:rowOff>60007</xdr:rowOff>
    </xdr:from>
    <xdr:to>
      <xdr:col>21</xdr:col>
      <xdr:colOff>12382</xdr:colOff>
      <xdr:row>22</xdr:row>
      <xdr:rowOff>86677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D9D73D6-6883-84EC-CD50-876CC9BD5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0832" y="1507807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3</xdr:row>
      <xdr:rowOff>79057</xdr:rowOff>
    </xdr:from>
    <xdr:to>
      <xdr:col>13</xdr:col>
      <xdr:colOff>331470</xdr:colOff>
      <xdr:row>18</xdr:row>
      <xdr:rowOff>103822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6AF8334-CE80-D4A7-5C34-8A320AB0B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6945" y="621982"/>
              <a:ext cx="4572000" cy="2739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idAluno" tableColumnId="2"/>
      <queryTableField id="3" name="idQuestionario" tableColumnId="3"/>
      <queryTableField id="4" name="mediaTradicional" tableColumnId="4"/>
    </queryTableFields>
  </queryTableRefresh>
</queryTable>
</file>

<file path=xl/queryTables/queryTable2.xml><?xml version="1.0" encoding="utf-8"?>
<queryTable xmlns="http://schemas.openxmlformats.org/spreadsheetml/2006/main" name="DadosExternos_2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idAluno" tableColumnId="2"/>
      <queryTableField id="3" name="idQuestionario" tableColumnId="3"/>
      <queryTableField id="4" name="mediaTradicional" tableColumnId="4"/>
    </queryTableFields>
  </queryTableRefresh>
</queryTable>
</file>

<file path=xl/queryTables/queryTable3.xml><?xml version="1.0" encoding="utf-8"?>
<queryTable xmlns="http://schemas.openxmlformats.org/spreadsheetml/2006/main" name="DadosExternos_3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idAluno" tableColumnId="2"/>
      <queryTableField id="3" name="idQuestionario" tableColumnId="3"/>
      <queryTableField id="4" name="mediaTradicional" tableColumnId="4"/>
    </queryTableFields>
  </queryTableRefresh>
</queryTable>
</file>

<file path=xl/queryTables/queryTable4.xml><?xml version="1.0" encoding="utf-8"?>
<queryTable xmlns="http://schemas.openxmlformats.org/spreadsheetml/2006/main" name="DadosExternos_4" connectionId="5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_id" tableColumnId="1"/>
      <queryTableField id="2" name="idAluno" tableColumnId="2"/>
      <queryTableField id="3" name="idQuestionario" tableColumnId="3"/>
      <queryTableField id="4" name="mediaTradicional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name="DadosExternos_5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_id" tableColumnId="1"/>
      <queryTableField id="2" name="idAluno" tableColumnId="2"/>
      <queryTableField id="3" name="idQuestionario" tableColumnId="3"/>
      <queryTableField id="4" name="mediaTradiciona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A_media_tradicional" displayName="A_media_tradicional" ref="A1:D15" tableType="queryTable" totalsRowCount="1">
  <autoFilter ref="A1:D14"/>
  <sortState xmlns:xlrd2="http://schemas.microsoft.com/office/spreadsheetml/2017/richdata2" ref="A2:D14">
    <sortCondition ref="B1:B14"/>
  </sortState>
  <tableColumns count="4">
    <tableColumn id="1" uniqueName="1" name="_id" queryTableFieldId="1" dataDxfId="13" totalsRowDxfId="12"/>
    <tableColumn id="2" uniqueName="2" name="idAluno" queryTableFieldId="2"/>
    <tableColumn id="3" uniqueName="3" name="idQuestionario" totalsRowLabel="média" queryTableFieldId="3"/>
    <tableColumn id="4" uniqueName="4" name="mediaTradicional" totalsRowFunction="custom" queryTableFieldId="4" dataDxfId="11" totalsRowDxfId="10">
      <totalsRowFormula>AVERAGE(A_media_tradicional[mediaTradicional])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B_media_tradicional" displayName="B_media_tradicional" ref="A1:D12" tableType="queryTable" totalsRowCount="1">
  <autoFilter ref="A1:D11"/>
  <sortState xmlns:xlrd2="http://schemas.microsoft.com/office/spreadsheetml/2017/richdata2" ref="A2:D11">
    <sortCondition ref="B1:B11"/>
  </sortState>
  <tableColumns count="4">
    <tableColumn id="1" uniqueName="1" name="_id" queryTableFieldId="1" dataDxfId="3" totalsRowDxfId="2"/>
    <tableColumn id="2" uniqueName="2" name="idAluno" queryTableFieldId="2"/>
    <tableColumn id="3" uniqueName="3" name="idQuestionario" totalsRowLabel="média" queryTableFieldId="3"/>
    <tableColumn id="4" uniqueName="4" name="mediaTradicional" totalsRowFunction="custom" queryTableFieldId="4" dataDxfId="1" totalsRowDxfId="0">
      <totalsRowFormula>AVERAGE(D2:D11)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A_media_tradicional__2" displayName="A_media_tradicional__2" ref="A1:D14" tableType="queryTable" totalsRowCount="1">
  <autoFilter ref="A1:D13"/>
  <sortState xmlns:xlrd2="http://schemas.microsoft.com/office/spreadsheetml/2017/richdata2" ref="A2:D13">
    <sortCondition ref="B1:B13"/>
  </sortState>
  <tableColumns count="4">
    <tableColumn id="1" uniqueName="1" name="_id" queryTableFieldId="1" dataDxfId="19" totalsRowDxfId="18"/>
    <tableColumn id="2" uniqueName="2" name="idAluno" queryTableFieldId="2"/>
    <tableColumn id="3" uniqueName="3" name="idQuestionario" totalsRowLabel="média" queryTableFieldId="3"/>
    <tableColumn id="4" uniqueName="4" name="mediaTradicional" totalsRowFunction="custom" queryTableFieldId="4" dataDxfId="17" totalsRowDxfId="16">
      <totalsRowFormula>AVERAGE(A_media_tradicional__2[mediaTradicional])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B_media_tradicional__2" displayName="B_media_tradicional__2" ref="A1:F10" tableType="queryTable" totalsRowShown="0">
  <autoFilter ref="A1:F10"/>
  <sortState xmlns:xlrd2="http://schemas.microsoft.com/office/spreadsheetml/2017/richdata2" ref="A2:F10">
    <sortCondition ref="B1:B10"/>
  </sortState>
  <tableColumns count="6">
    <tableColumn id="1" uniqueName="1" name="_id" queryTableFieldId="1" dataDxfId="9" totalsRowDxfId="8"/>
    <tableColumn id="2" uniqueName="2" name="idAluno" queryTableFieldId="2"/>
    <tableColumn id="3" uniqueName="3" name="idQuestionario" queryTableFieldId="3"/>
    <tableColumn id="4" uniqueName="4" name="mediaTradicional" queryTableFieldId="4" dataDxfId="7" totalsRowDxfId="6"/>
    <tableColumn id="5" uniqueName="5" name="Z-Score" queryTableFieldId="5" dataDxfId="5">
      <calculatedColumnFormula>(B_media_tradicional__2[[#This Row],[mediaTradicional]]-$D$11)/$D$12</calculatedColumnFormula>
    </tableColumn>
    <tableColumn id="6" uniqueName="6" name="X" queryTableFieldId="6" dataDxfId="4">
      <calculatedColumnFormula>D27+$D$26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A_media_tradicional_2" displayName="A_media_tradicional_2" ref="A1:D10" tableType="queryTable" totalsRowShown="0">
  <autoFilter ref="A1:D10"/>
  <sortState xmlns:xlrd2="http://schemas.microsoft.com/office/spreadsheetml/2017/richdata2" ref="A2:D10">
    <sortCondition ref="B1:B10"/>
  </sortState>
  <tableColumns count="4">
    <tableColumn id="1" uniqueName="1" name="_id" queryTableFieldId="1" dataDxfId="15"/>
    <tableColumn id="2" uniqueName="2" name="idAluno" queryTableFieldId="2"/>
    <tableColumn id="3" uniqueName="3" name="idQuestionario" queryTableFieldId="3"/>
    <tableColumn id="4" uniqueName="4" name="mediaTradicional" queryTableFieldId="4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40" sqref="D40"/>
    </sheetView>
  </sheetViews>
  <sheetFormatPr defaultRowHeight="14.4" x14ac:dyDescent="0.3"/>
  <cols>
    <col min="1" max="1" width="24.88671875" bestFit="1" customWidth="1"/>
    <col min="2" max="2" width="9.77734375" bestFit="1" customWidth="1"/>
    <col min="3" max="3" width="15.6640625" bestFit="1" customWidth="1"/>
    <col min="4" max="4" width="17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14</v>
      </c>
      <c r="B2">
        <v>344</v>
      </c>
      <c r="C2">
        <v>396</v>
      </c>
      <c r="D2" s="4">
        <v>2</v>
      </c>
    </row>
    <row r="3" spans="1:4" x14ac:dyDescent="0.3">
      <c r="A3" s="1" t="s">
        <v>9</v>
      </c>
      <c r="B3">
        <v>345</v>
      </c>
      <c r="C3">
        <v>396</v>
      </c>
      <c r="D3" s="4">
        <v>3.3333333333333299</v>
      </c>
    </row>
    <row r="4" spans="1:4" x14ac:dyDescent="0.3">
      <c r="A4" s="1" t="s">
        <v>15</v>
      </c>
      <c r="B4">
        <v>349</v>
      </c>
      <c r="C4">
        <v>396</v>
      </c>
      <c r="D4" s="4">
        <v>2.6666666666666701</v>
      </c>
    </row>
    <row r="5" spans="1:4" x14ac:dyDescent="0.3">
      <c r="A5" s="1" t="s">
        <v>4</v>
      </c>
      <c r="B5">
        <v>350</v>
      </c>
      <c r="C5">
        <v>396</v>
      </c>
      <c r="D5" s="4">
        <v>2.6666666666666701</v>
      </c>
    </row>
    <row r="6" spans="1:4" x14ac:dyDescent="0.3">
      <c r="A6" s="1" t="s">
        <v>12</v>
      </c>
      <c r="B6">
        <v>354</v>
      </c>
      <c r="C6">
        <v>396</v>
      </c>
      <c r="D6" s="4">
        <v>2.6666666666666701</v>
      </c>
    </row>
    <row r="7" spans="1:4" x14ac:dyDescent="0.3">
      <c r="A7" s="1" t="s">
        <v>11</v>
      </c>
      <c r="B7">
        <v>355</v>
      </c>
      <c r="C7">
        <v>396</v>
      </c>
      <c r="D7" s="4">
        <v>1.3333333333333299</v>
      </c>
    </row>
    <row r="8" spans="1:4" x14ac:dyDescent="0.3">
      <c r="A8" s="1" t="s">
        <v>16</v>
      </c>
      <c r="B8">
        <v>357</v>
      </c>
      <c r="C8">
        <v>396</v>
      </c>
      <c r="D8" s="4">
        <v>1.3333333333333299</v>
      </c>
    </row>
    <row r="9" spans="1:4" x14ac:dyDescent="0.3">
      <c r="A9" s="1" t="s">
        <v>13</v>
      </c>
      <c r="B9">
        <v>359</v>
      </c>
      <c r="C9">
        <v>396</v>
      </c>
      <c r="D9" s="4">
        <v>1.3333333333333299</v>
      </c>
    </row>
    <row r="10" spans="1:4" x14ac:dyDescent="0.3">
      <c r="A10" s="1" t="s">
        <v>7</v>
      </c>
      <c r="B10">
        <v>360</v>
      </c>
      <c r="C10">
        <v>396</v>
      </c>
      <c r="D10" s="4">
        <v>2</v>
      </c>
    </row>
    <row r="11" spans="1:4" x14ac:dyDescent="0.3">
      <c r="A11" s="1" t="s">
        <v>8</v>
      </c>
      <c r="B11">
        <v>361</v>
      </c>
      <c r="C11">
        <v>396</v>
      </c>
      <c r="D11" s="4">
        <v>2</v>
      </c>
    </row>
    <row r="12" spans="1:4" x14ac:dyDescent="0.3">
      <c r="A12" s="1" t="s">
        <v>6</v>
      </c>
      <c r="B12">
        <v>363</v>
      </c>
      <c r="C12">
        <v>396</v>
      </c>
      <c r="D12" s="4">
        <v>2</v>
      </c>
    </row>
    <row r="13" spans="1:4" x14ac:dyDescent="0.3">
      <c r="A13" s="1" t="s">
        <v>5</v>
      </c>
      <c r="B13">
        <v>372</v>
      </c>
      <c r="C13">
        <v>396</v>
      </c>
      <c r="D13" s="4">
        <v>1.3333333333333299</v>
      </c>
    </row>
    <row r="14" spans="1:4" x14ac:dyDescent="0.3">
      <c r="A14" s="1" t="s">
        <v>10</v>
      </c>
      <c r="B14">
        <v>374</v>
      </c>
      <c r="C14">
        <v>396</v>
      </c>
      <c r="D14" s="4">
        <v>1.3333333333333299</v>
      </c>
    </row>
    <row r="15" spans="1:4" x14ac:dyDescent="0.3">
      <c r="A15" s="1"/>
      <c r="C15" t="s">
        <v>27</v>
      </c>
      <c r="D15" s="4">
        <f>AVERAGE(A_media_tradicional[mediaTradicional])</f>
        <v>1.9999999999999989</v>
      </c>
    </row>
    <row r="16" spans="1:4" x14ac:dyDescent="0.3">
      <c r="C16" t="s">
        <v>28</v>
      </c>
      <c r="D16" s="4">
        <f>_xlfn.STDEV.S(A_media_tradicional[mediaTradicional])</f>
        <v>0.66666666666666996</v>
      </c>
    </row>
    <row r="17" spans="1:4" x14ac:dyDescent="0.3">
      <c r="C17" t="s">
        <v>50</v>
      </c>
      <c r="D17" s="4">
        <f>MEDIAN(A_media_tradicional[mediaTradicional])</f>
        <v>2</v>
      </c>
    </row>
    <row r="18" spans="1:4" x14ac:dyDescent="0.3">
      <c r="C18" t="s">
        <v>52</v>
      </c>
      <c r="D18">
        <f>COUNTA(A_media_tradicional[mediaTradicional])</f>
        <v>13</v>
      </c>
    </row>
    <row r="22" spans="1:4" x14ac:dyDescent="0.3">
      <c r="A22" t="s">
        <v>78</v>
      </c>
    </row>
    <row r="26" spans="1:4" x14ac:dyDescent="0.3">
      <c r="C26" s="2">
        <v>345</v>
      </c>
    </row>
    <row r="27" spans="1:4" x14ac:dyDescent="0.3">
      <c r="C27" s="3">
        <v>350</v>
      </c>
    </row>
    <row r="28" spans="1:4" x14ac:dyDescent="0.3">
      <c r="C28" s="2">
        <v>354</v>
      </c>
    </row>
    <row r="29" spans="1:4" x14ac:dyDescent="0.3">
      <c r="C29" s="3">
        <v>355</v>
      </c>
    </row>
    <row r="30" spans="1:4" x14ac:dyDescent="0.3">
      <c r="C30" s="2">
        <v>360</v>
      </c>
    </row>
    <row r="31" spans="1:4" x14ac:dyDescent="0.3">
      <c r="C31" s="3">
        <v>361</v>
      </c>
    </row>
    <row r="32" spans="1:4" x14ac:dyDescent="0.3">
      <c r="C32" s="2">
        <v>363</v>
      </c>
    </row>
    <row r="33" spans="3:3" x14ac:dyDescent="0.3">
      <c r="C33" s="3">
        <v>372</v>
      </c>
    </row>
    <row r="34" spans="3:3" x14ac:dyDescent="0.3">
      <c r="C34" s="2">
        <v>374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13" sqref="D13"/>
    </sheetView>
  </sheetViews>
  <sheetFormatPr defaultRowHeight="14.4" x14ac:dyDescent="0.3"/>
  <cols>
    <col min="1" max="1" width="24.88671875" bestFit="1" customWidth="1"/>
    <col min="2" max="2" width="9.77734375" bestFit="1" customWidth="1"/>
    <col min="3" max="3" width="15.6640625" bestFit="1" customWidth="1"/>
    <col min="4" max="4" width="17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65</v>
      </c>
      <c r="H1">
        <f>MAX(B_media_tradicional[mediaTradicional])</f>
        <v>6.6666666666666696</v>
      </c>
    </row>
    <row r="2" spans="1:8" x14ac:dyDescent="0.3">
      <c r="A2" s="1" t="s">
        <v>21</v>
      </c>
      <c r="B2">
        <v>342</v>
      </c>
      <c r="C2">
        <v>544</v>
      </c>
      <c r="D2" s="4">
        <v>2.6666666666666701</v>
      </c>
      <c r="E2" s="4">
        <f>(B_media_tradicional[[#This Row],[mediaTradicional]]-$D$12)/$D$13</f>
        <v>8.0466267117874024E-2</v>
      </c>
      <c r="F2" s="4"/>
      <c r="G2" t="s">
        <v>58</v>
      </c>
      <c r="H2">
        <f>(H1-B_media_tradicional[[#Totals],[mediaTradicional]])/D13</f>
        <v>2.4944542806540628</v>
      </c>
    </row>
    <row r="3" spans="1:8" x14ac:dyDescent="0.3">
      <c r="A3" s="1" t="s">
        <v>17</v>
      </c>
      <c r="B3">
        <v>352</v>
      </c>
      <c r="C3">
        <v>396</v>
      </c>
      <c r="D3" s="4">
        <v>2</v>
      </c>
      <c r="E3" s="4">
        <f>(B_media_tradicional[[#This Row],[mediaTradicional]]-$D$12)/$D$13</f>
        <v>-0.32186506847149288</v>
      </c>
      <c r="F3" s="4"/>
      <c r="G3" t="s">
        <v>59</v>
      </c>
      <c r="H3">
        <v>0.05</v>
      </c>
    </row>
    <row r="4" spans="1:8" x14ac:dyDescent="0.3">
      <c r="A4" s="1" t="s">
        <v>23</v>
      </c>
      <c r="B4">
        <v>364</v>
      </c>
      <c r="C4">
        <v>544</v>
      </c>
      <c r="D4" s="4">
        <v>0</v>
      </c>
      <c r="E4" s="4">
        <f>(B_media_tradicional[[#This Row],[mediaTradicional]]-$D$12)/$D$13</f>
        <v>-1.5288590752395874</v>
      </c>
      <c r="F4" s="4"/>
      <c r="G4" t="s">
        <v>60</v>
      </c>
      <c r="H4">
        <f>D16</f>
        <v>10</v>
      </c>
    </row>
    <row r="5" spans="1:8" x14ac:dyDescent="0.3">
      <c r="A5" s="1" t="s">
        <v>20</v>
      </c>
      <c r="B5">
        <v>368</v>
      </c>
      <c r="C5">
        <v>544</v>
      </c>
      <c r="D5" s="4">
        <v>2.6666666666666701</v>
      </c>
      <c r="E5" s="4">
        <f>(B_media_tradicional[[#This Row],[mediaTradicional]]-$D$12)/$D$13</f>
        <v>8.0466267117874024E-2</v>
      </c>
      <c r="F5" s="4"/>
      <c r="G5" t="s">
        <v>61</v>
      </c>
      <c r="H5">
        <f>H3/H4</f>
        <v>5.0000000000000001E-3</v>
      </c>
    </row>
    <row r="6" spans="1:8" x14ac:dyDescent="0.3">
      <c r="A6" s="1" t="s">
        <v>22</v>
      </c>
      <c r="B6">
        <v>370</v>
      </c>
      <c r="C6">
        <v>544</v>
      </c>
      <c r="D6" s="4">
        <v>2</v>
      </c>
      <c r="E6" s="4">
        <f>(B_media_tradicional[[#This Row],[mediaTradicional]]-$D$12)/$D$13</f>
        <v>-0.32186506847149288</v>
      </c>
      <c r="F6" s="4"/>
      <c r="G6" t="s">
        <v>62</v>
      </c>
      <c r="H6">
        <f>H4-2</f>
        <v>8</v>
      </c>
    </row>
    <row r="7" spans="1:8" x14ac:dyDescent="0.3">
      <c r="A7" s="1" t="s">
        <v>19</v>
      </c>
      <c r="B7">
        <v>373</v>
      </c>
      <c r="C7">
        <v>544</v>
      </c>
      <c r="D7" s="4">
        <v>2.6666666666666701</v>
      </c>
      <c r="E7" s="4">
        <f>(B_media_tradicional[[#This Row],[mediaTradicional]]-$D$12)/$D$13</f>
        <v>8.0466267117874024E-2</v>
      </c>
      <c r="F7" s="4"/>
      <c r="G7" t="s">
        <v>63</v>
      </c>
      <c r="H7">
        <f>_xlfn.T.INV(1-H5,H6)</f>
        <v>3.3553873313333948</v>
      </c>
    </row>
    <row r="8" spans="1:8" x14ac:dyDescent="0.3">
      <c r="A8" s="1" t="s">
        <v>24</v>
      </c>
      <c r="B8">
        <v>376</v>
      </c>
      <c r="C8">
        <v>544</v>
      </c>
      <c r="D8" s="4">
        <v>2</v>
      </c>
      <c r="E8" s="4">
        <f>(B_media_tradicional[[#This Row],[mediaTradicional]]-$D$12)/$D$13</f>
        <v>-0.32186506847149288</v>
      </c>
      <c r="F8" s="4"/>
      <c r="G8" t="s">
        <v>64</v>
      </c>
      <c r="H8">
        <f>(H4-1)*H7/SQRT(H4*(H6+H7^2))</f>
        <v>2.1760683941942212</v>
      </c>
    </row>
    <row r="9" spans="1:8" x14ac:dyDescent="0.3">
      <c r="A9" s="1" t="s">
        <v>26</v>
      </c>
      <c r="B9">
        <v>377</v>
      </c>
      <c r="C9">
        <v>544</v>
      </c>
      <c r="D9" s="4">
        <v>6.6666666666666696</v>
      </c>
      <c r="E9" s="4">
        <f>(B_media_tradicional[[#This Row],[mediaTradicional]]-$D$12)/$D$13</f>
        <v>2.4944542806540628</v>
      </c>
      <c r="F9" s="4"/>
    </row>
    <row r="10" spans="1:8" x14ac:dyDescent="0.3">
      <c r="A10" s="1" t="s">
        <v>25</v>
      </c>
      <c r="B10">
        <v>382</v>
      </c>
      <c r="C10">
        <v>544</v>
      </c>
      <c r="D10" s="4">
        <v>2</v>
      </c>
      <c r="E10" s="4">
        <f>(B_media_tradicional[[#This Row],[mediaTradicional]]-$D$12)/$D$13</f>
        <v>-0.32186506847149288</v>
      </c>
      <c r="F10" s="4"/>
    </row>
    <row r="11" spans="1:8" x14ac:dyDescent="0.3">
      <c r="A11" s="1" t="s">
        <v>18</v>
      </c>
      <c r="B11">
        <v>383</v>
      </c>
      <c r="C11">
        <v>396</v>
      </c>
      <c r="D11" s="4">
        <v>2.6666666666666701</v>
      </c>
      <c r="E11" s="4">
        <f>(B_media_tradicional[[#This Row],[mediaTradicional]]-$D$12)/$D$13</f>
        <v>8.0466267117874024E-2</v>
      </c>
      <c r="F11" s="4"/>
    </row>
    <row r="12" spans="1:8" x14ac:dyDescent="0.3">
      <c r="A12" s="1"/>
      <c r="C12" t="s">
        <v>27</v>
      </c>
      <c r="D12" s="4">
        <f>AVERAGE(D2:D11)</f>
        <v>2.533333333333335</v>
      </c>
    </row>
    <row r="13" spans="1:8" x14ac:dyDescent="0.3">
      <c r="C13" t="s">
        <v>28</v>
      </c>
      <c r="D13" s="4">
        <f>_xlfn.STDEV.S(B_media_tradicional[mediaTradicional])</f>
        <v>1.6570090562050896</v>
      </c>
    </row>
    <row r="14" spans="1:8" x14ac:dyDescent="0.3">
      <c r="C14" t="s">
        <v>50</v>
      </c>
      <c r="D14" s="4">
        <f>MEDIAN(B_media_tradicional[mediaTradicional])</f>
        <v>2.3333333333333348</v>
      </c>
      <c r="F14" s="7"/>
    </row>
    <row r="15" spans="1:8" x14ac:dyDescent="0.3">
      <c r="C15" t="s">
        <v>75</v>
      </c>
      <c r="D15" s="5">
        <f>B_media_tradicional[[#Totals],[mediaTradicional]]/A_media_tradicional[[#Totals],[mediaTradicional]]</f>
        <v>1.2666666666666682</v>
      </c>
    </row>
    <row r="16" spans="1:8" x14ac:dyDescent="0.3">
      <c r="C16" t="s">
        <v>52</v>
      </c>
      <c r="D16" s="7">
        <f>COUNTA(B_media_tradicional[mediaTradicional])</f>
        <v>10</v>
      </c>
    </row>
    <row r="20" spans="3:4" x14ac:dyDescent="0.3">
      <c r="D20" t="s">
        <v>57</v>
      </c>
    </row>
    <row r="21" spans="3:4" x14ac:dyDescent="0.3">
      <c r="C21" t="s">
        <v>53</v>
      </c>
      <c r="D21" s="6">
        <f>_xlfn.QUARTILE.INC(B_media_tradicional[mediaTradicional],1)</f>
        <v>2</v>
      </c>
    </row>
    <row r="22" spans="3:4" x14ac:dyDescent="0.3">
      <c r="C22" t="s">
        <v>56</v>
      </c>
      <c r="D22" s="6">
        <f>_xlfn.QUARTILE.INC(B_media_tradicional[mediaTradicional],3)</f>
        <v>2.6666666666666701</v>
      </c>
    </row>
    <row r="23" spans="3:4" x14ac:dyDescent="0.3">
      <c r="C23" t="s">
        <v>54</v>
      </c>
      <c r="D23" s="6">
        <f>MAX(B_media_tradicional[mediaTradicional])</f>
        <v>6.6666666666666696</v>
      </c>
    </row>
    <row r="24" spans="3:4" x14ac:dyDescent="0.3">
      <c r="C24" t="s">
        <v>55</v>
      </c>
      <c r="D24" s="6">
        <f>MIN(B_media_tradicional[mediaTradicional])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2" sqref="D22"/>
    </sheetView>
  </sheetViews>
  <sheetFormatPr defaultRowHeight="14.4" x14ac:dyDescent="0.3"/>
  <cols>
    <col min="1" max="1" width="24.88671875" bestFit="1" customWidth="1"/>
    <col min="2" max="2" width="9.77734375" bestFit="1" customWidth="1"/>
    <col min="3" max="3" width="15.6640625" bestFit="1" customWidth="1"/>
    <col min="4" max="4" width="17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34</v>
      </c>
      <c r="B2">
        <v>345</v>
      </c>
      <c r="C2">
        <v>470</v>
      </c>
      <c r="D2" s="4">
        <v>8.6666666666666696</v>
      </c>
    </row>
    <row r="3" spans="1:4" x14ac:dyDescent="0.3">
      <c r="A3" s="1" t="s">
        <v>39</v>
      </c>
      <c r="B3">
        <v>349</v>
      </c>
      <c r="C3">
        <v>470</v>
      </c>
      <c r="D3" s="4">
        <v>3.3333333333333299</v>
      </c>
    </row>
    <row r="4" spans="1:4" x14ac:dyDescent="0.3">
      <c r="A4" s="1" t="s">
        <v>29</v>
      </c>
      <c r="B4">
        <v>350</v>
      </c>
      <c r="C4">
        <v>470</v>
      </c>
      <c r="D4" s="4">
        <v>7.3333333333333304</v>
      </c>
    </row>
    <row r="5" spans="1:4" x14ac:dyDescent="0.3">
      <c r="A5" s="1" t="s">
        <v>37</v>
      </c>
      <c r="B5">
        <v>354</v>
      </c>
      <c r="C5">
        <v>470</v>
      </c>
      <c r="D5" s="4">
        <v>7.3333333333333304</v>
      </c>
    </row>
    <row r="6" spans="1:4" x14ac:dyDescent="0.3">
      <c r="A6" s="1" t="s">
        <v>36</v>
      </c>
      <c r="B6">
        <v>355</v>
      </c>
      <c r="C6">
        <v>470</v>
      </c>
      <c r="D6" s="4">
        <v>1.3333333333333299</v>
      </c>
    </row>
    <row r="7" spans="1:4" x14ac:dyDescent="0.3">
      <c r="A7" s="1" t="s">
        <v>40</v>
      </c>
      <c r="B7">
        <v>357</v>
      </c>
      <c r="C7">
        <v>470</v>
      </c>
      <c r="D7" s="4">
        <v>8</v>
      </c>
    </row>
    <row r="8" spans="1:4" x14ac:dyDescent="0.3">
      <c r="A8" s="1" t="s">
        <v>38</v>
      </c>
      <c r="B8">
        <v>359</v>
      </c>
      <c r="C8">
        <v>470</v>
      </c>
      <c r="D8" s="4">
        <v>2</v>
      </c>
    </row>
    <row r="9" spans="1:4" x14ac:dyDescent="0.3">
      <c r="A9" s="1" t="s">
        <v>32</v>
      </c>
      <c r="B9">
        <v>360</v>
      </c>
      <c r="C9">
        <v>470</v>
      </c>
      <c r="D9" s="4">
        <v>1.3333333333333299</v>
      </c>
    </row>
    <row r="10" spans="1:4" x14ac:dyDescent="0.3">
      <c r="A10" s="1" t="s">
        <v>33</v>
      </c>
      <c r="B10">
        <v>361</v>
      </c>
      <c r="C10">
        <v>470</v>
      </c>
      <c r="D10" s="4">
        <v>9.3333333333333304</v>
      </c>
    </row>
    <row r="11" spans="1:4" x14ac:dyDescent="0.3">
      <c r="A11" s="1" t="s">
        <v>31</v>
      </c>
      <c r="B11">
        <v>363</v>
      </c>
      <c r="C11">
        <v>470</v>
      </c>
      <c r="D11" s="4">
        <v>7.3333333333333304</v>
      </c>
    </row>
    <row r="12" spans="1:4" x14ac:dyDescent="0.3">
      <c r="A12" s="1" t="s">
        <v>30</v>
      </c>
      <c r="B12">
        <v>372</v>
      </c>
      <c r="C12">
        <v>470</v>
      </c>
      <c r="D12" s="4">
        <v>6</v>
      </c>
    </row>
    <row r="13" spans="1:4" x14ac:dyDescent="0.3">
      <c r="A13" s="1" t="s">
        <v>35</v>
      </c>
      <c r="B13">
        <v>374</v>
      </c>
      <c r="C13">
        <v>470</v>
      </c>
      <c r="D13" s="4">
        <v>8</v>
      </c>
    </row>
    <row r="14" spans="1:4" x14ac:dyDescent="0.3">
      <c r="A14" s="1"/>
      <c r="C14" t="s">
        <v>27</v>
      </c>
      <c r="D14" s="4">
        <f>AVERAGE(A_media_tradicional__2[mediaTradicional])</f>
        <v>5.8333333333333313</v>
      </c>
    </row>
    <row r="15" spans="1:4" x14ac:dyDescent="0.3">
      <c r="C15" t="s">
        <v>28</v>
      </c>
      <c r="D15" s="4">
        <f>_xlfn.STDEV.S(A_media_tradicional__2[mediaTradicional])</f>
        <v>2.9831174799175963</v>
      </c>
    </row>
    <row r="16" spans="1:4" x14ac:dyDescent="0.3">
      <c r="C16" t="s">
        <v>50</v>
      </c>
      <c r="D16" s="4">
        <f>MEDIAN(A_media_tradicional__2[mediaTradicional])</f>
        <v>7.3333333333333304</v>
      </c>
    </row>
    <row r="17" spans="3:4" x14ac:dyDescent="0.3">
      <c r="C17" t="s">
        <v>52</v>
      </c>
      <c r="D17">
        <f>COUNTA(A_media_tradicional__2[mediaTradicional])</f>
        <v>12</v>
      </c>
    </row>
    <row r="18" spans="3:4" x14ac:dyDescent="0.3">
      <c r="C18" t="s">
        <v>75</v>
      </c>
      <c r="D18" s="5">
        <f>A_media_tradicional__2[[#Totals],[mediaTradicional]]/A_media_tradicional[[#Totals],[mediaTradicional]]-1</f>
        <v>1.9166666666666674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12" sqref="D12"/>
    </sheetView>
  </sheetViews>
  <sheetFormatPr defaultRowHeight="14.4" x14ac:dyDescent="0.3"/>
  <cols>
    <col min="1" max="1" width="24.88671875" bestFit="1" customWidth="1"/>
    <col min="2" max="2" width="9.77734375" bestFit="1" customWidth="1"/>
    <col min="3" max="3" width="15.6640625" bestFit="1" customWidth="1"/>
    <col min="4" max="4" width="17.77734375" bestFit="1" customWidth="1"/>
    <col min="5" max="5" width="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65</v>
      </c>
      <c r="F1" t="s">
        <v>82</v>
      </c>
    </row>
    <row r="2" spans="1:6" x14ac:dyDescent="0.3">
      <c r="A2" s="1" t="s">
        <v>43</v>
      </c>
      <c r="B2">
        <v>352</v>
      </c>
      <c r="C2">
        <v>576</v>
      </c>
      <c r="D2" s="4">
        <v>6.6666666666666696</v>
      </c>
      <c r="E2" s="8">
        <f>(B_media_tradicional__2[[#This Row],[mediaTradicional]]-$D$11)/$D$12</f>
        <v>-3.7864122283136473E-2</v>
      </c>
      <c r="F2" s="8">
        <f>D27+$D$26</f>
        <v>-1.3933997000194678</v>
      </c>
    </row>
    <row r="3" spans="1:6" x14ac:dyDescent="0.3">
      <c r="A3" s="1" t="s">
        <v>46</v>
      </c>
      <c r="B3">
        <v>364</v>
      </c>
      <c r="C3">
        <v>576</v>
      </c>
      <c r="D3" s="4">
        <v>3.3333333333333299</v>
      </c>
      <c r="E3" s="8">
        <f>(B_media_tradicional__2[[#This Row],[mediaTradicional]]-$D$11)/$D$12</f>
        <v>-1.7417496250243347</v>
      </c>
      <c r="F3" s="8">
        <f>F2+$D$26</f>
        <v>-1.0450497750146008</v>
      </c>
    </row>
    <row r="4" spans="1:6" x14ac:dyDescent="0.3">
      <c r="A4" s="1" t="s">
        <v>42</v>
      </c>
      <c r="B4">
        <v>368</v>
      </c>
      <c r="C4">
        <v>576</v>
      </c>
      <c r="D4" s="4">
        <v>8</v>
      </c>
      <c r="E4" s="8">
        <f>(B_media_tradicional__2[[#This Row],[mediaTradicional]]-$D$11)/$D$12</f>
        <v>0.64369007881334006</v>
      </c>
      <c r="F4" s="8">
        <f t="shared" ref="F4:F10" si="0">F3+$D$26</f>
        <v>-0.69669985000973389</v>
      </c>
    </row>
    <row r="5" spans="1:6" x14ac:dyDescent="0.3">
      <c r="A5" s="1" t="s">
        <v>45</v>
      </c>
      <c r="B5">
        <v>370</v>
      </c>
      <c r="C5">
        <v>576</v>
      </c>
      <c r="D5" s="4">
        <v>8</v>
      </c>
      <c r="E5" s="8">
        <f>(B_media_tradicional__2[[#This Row],[mediaTradicional]]-$D$11)/$D$12</f>
        <v>0.64369007881334006</v>
      </c>
      <c r="F5" s="8">
        <f t="shared" si="0"/>
        <v>-0.348349925004867</v>
      </c>
    </row>
    <row r="6" spans="1:6" x14ac:dyDescent="0.3">
      <c r="A6" s="1" t="s">
        <v>41</v>
      </c>
      <c r="B6">
        <v>373</v>
      </c>
      <c r="C6">
        <v>576</v>
      </c>
      <c r="D6" s="4">
        <v>6</v>
      </c>
      <c r="E6" s="8">
        <f>(B_media_tradicional__2[[#This Row],[mediaTradicional]]-$D$11)/$D$12</f>
        <v>-0.37864122283137697</v>
      </c>
      <c r="F6" s="8">
        <f t="shared" si="0"/>
        <v>0</v>
      </c>
    </row>
    <row r="7" spans="1:6" x14ac:dyDescent="0.3">
      <c r="A7" s="1" t="s">
        <v>47</v>
      </c>
      <c r="B7">
        <v>376</v>
      </c>
      <c r="C7">
        <v>576</v>
      </c>
      <c r="D7" s="4">
        <v>6.6666666666666696</v>
      </c>
      <c r="E7" s="8">
        <f>(B_media_tradicional__2[[#This Row],[mediaTradicional]]-$D$11)/$D$12</f>
        <v>-3.7864122283136473E-2</v>
      </c>
      <c r="F7" s="8">
        <f t="shared" si="0"/>
        <v>0.34834992500486689</v>
      </c>
    </row>
    <row r="8" spans="1:6" x14ac:dyDescent="0.3">
      <c r="A8" s="1" t="s">
        <v>49</v>
      </c>
      <c r="B8">
        <v>377</v>
      </c>
      <c r="C8">
        <v>576</v>
      </c>
      <c r="D8" s="4">
        <v>10</v>
      </c>
      <c r="E8" s="8">
        <f>(B_media_tradicional__2[[#This Row],[mediaTradicional]]-$D$11)/$D$12</f>
        <v>1.666021380458057</v>
      </c>
      <c r="F8" s="8">
        <f t="shared" si="0"/>
        <v>0.69669985000973378</v>
      </c>
    </row>
    <row r="9" spans="1:6" x14ac:dyDescent="0.3">
      <c r="A9" s="1" t="s">
        <v>48</v>
      </c>
      <c r="B9">
        <v>382</v>
      </c>
      <c r="C9">
        <v>576</v>
      </c>
      <c r="D9" s="4">
        <v>4.6666666666666696</v>
      </c>
      <c r="E9" s="8">
        <f>(B_media_tradicional__2[[#This Row],[mediaTradicional]]-$D$11)/$D$12</f>
        <v>-1.0601954239278535</v>
      </c>
      <c r="F9" s="8">
        <f t="shared" si="0"/>
        <v>1.0450497750146006</v>
      </c>
    </row>
    <row r="10" spans="1:6" x14ac:dyDescent="0.3">
      <c r="A10" s="1" t="s">
        <v>44</v>
      </c>
      <c r="B10">
        <v>383</v>
      </c>
      <c r="C10">
        <v>576</v>
      </c>
      <c r="D10" s="4">
        <v>7.3333333333333304</v>
      </c>
      <c r="E10" s="8">
        <f>(B_media_tradicional__2[[#This Row],[mediaTradicional]]-$D$11)/$D$12</f>
        <v>0.3029129782650995</v>
      </c>
      <c r="F10" s="8">
        <f t="shared" si="0"/>
        <v>1.3933997000194676</v>
      </c>
    </row>
    <row r="11" spans="1:6" x14ac:dyDescent="0.3">
      <c r="C11" t="s">
        <v>27</v>
      </c>
      <c r="D11" s="4">
        <f>AVERAGE(B_media_tradicional__2[mediaTradicional])</f>
        <v>6.7407407407407414</v>
      </c>
    </row>
    <row r="12" spans="1:6" x14ac:dyDescent="0.3">
      <c r="C12" t="s">
        <v>28</v>
      </c>
      <c r="D12" s="4">
        <f>_xlfn.STDEV.S(B_media_tradicional__2[mediaTradicional])</f>
        <v>1.9563129846287781</v>
      </c>
    </row>
    <row r="13" spans="1:6" x14ac:dyDescent="0.3">
      <c r="C13" t="s">
        <v>50</v>
      </c>
      <c r="D13" s="4">
        <f>MEDIAN(B_media_tradicional__2[mediaTradicional])</f>
        <v>6.6666666666666696</v>
      </c>
    </row>
    <row r="14" spans="1:6" x14ac:dyDescent="0.3">
      <c r="C14" t="s">
        <v>76</v>
      </c>
      <c r="D14" s="5">
        <f>D11/B_media_tradicional[[#Totals],[mediaTradicional]]-1</f>
        <v>1.6608187134502908</v>
      </c>
    </row>
    <row r="15" spans="1:6" x14ac:dyDescent="0.3">
      <c r="C15" t="s">
        <v>52</v>
      </c>
      <c r="D15">
        <f>COUNTA(B_media_tradicional__2[mediaTradicional])</f>
        <v>9</v>
      </c>
    </row>
    <row r="16" spans="1:6" x14ac:dyDescent="0.3">
      <c r="C16" t="s">
        <v>75</v>
      </c>
      <c r="D16" s="5">
        <f>D11/A_media_tradicional__2[[#Totals],[mediaTradicional]]-1</f>
        <v>0.15555555555555611</v>
      </c>
    </row>
    <row r="18" spans="3:5" x14ac:dyDescent="0.3">
      <c r="E18" s="8"/>
    </row>
    <row r="20" spans="3:5" x14ac:dyDescent="0.3">
      <c r="D20" t="s">
        <v>57</v>
      </c>
    </row>
    <row r="21" spans="3:5" x14ac:dyDescent="0.3">
      <c r="C21" t="s">
        <v>53</v>
      </c>
      <c r="D21" s="6">
        <f>_xlfn.QUARTILE.INC(B_media_tradicional__2[mediaTradicional],1)</f>
        <v>6</v>
      </c>
    </row>
    <row r="22" spans="3:5" x14ac:dyDescent="0.3">
      <c r="C22" t="s">
        <v>54</v>
      </c>
      <c r="D22" s="6">
        <f>MAX(B_media_tradicional__2[mediaTradicional])</f>
        <v>10</v>
      </c>
    </row>
    <row r="23" spans="3:5" x14ac:dyDescent="0.3">
      <c r="C23" t="s">
        <v>55</v>
      </c>
      <c r="D23" s="6">
        <f>MIN(B_media_tradicional__2[mediaTradicional])</f>
        <v>3.3333333333333299</v>
      </c>
    </row>
    <row r="24" spans="3:5" x14ac:dyDescent="0.3">
      <c r="C24" t="s">
        <v>56</v>
      </c>
      <c r="D24" s="6">
        <f>_xlfn.QUARTILE.INC(B_media_tradicional__2[mediaTradicional],3)</f>
        <v>8</v>
      </c>
    </row>
    <row r="26" spans="3:5" x14ac:dyDescent="0.3">
      <c r="C26" t="s">
        <v>79</v>
      </c>
      <c r="D26" s="9">
        <f>(D28-D27)/5</f>
        <v>0.34834992500486689</v>
      </c>
    </row>
    <row r="27" spans="3:5" x14ac:dyDescent="0.3">
      <c r="C27" t="s">
        <v>80</v>
      </c>
      <c r="D27" s="9">
        <f>MIN(B_media_tradicional__2[Z-Score])</f>
        <v>-1.7417496250243347</v>
      </c>
    </row>
    <row r="28" spans="3:5" x14ac:dyDescent="0.3">
      <c r="C28" t="s">
        <v>81</v>
      </c>
      <c r="D28" s="9">
        <f>AVERAGE(B_media_tradicional__2[Z-Score])</f>
        <v>-1.7886926507849745E-16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4" sqref="D14"/>
    </sheetView>
  </sheetViews>
  <sheetFormatPr defaultRowHeight="14.4" x14ac:dyDescent="0.3"/>
  <cols>
    <col min="1" max="1" width="25.44140625" bestFit="1" customWidth="1"/>
    <col min="2" max="2" width="10" bestFit="1" customWidth="1"/>
    <col min="3" max="3" width="16.21875" bestFit="1" customWidth="1"/>
    <col min="4" max="4" width="18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71</v>
      </c>
      <c r="B2">
        <v>345</v>
      </c>
      <c r="C2">
        <v>594</v>
      </c>
      <c r="D2" s="4">
        <v>10</v>
      </c>
    </row>
    <row r="3" spans="1:4" x14ac:dyDescent="0.3">
      <c r="A3" s="1" t="s">
        <v>66</v>
      </c>
      <c r="B3">
        <v>350</v>
      </c>
      <c r="C3">
        <v>594</v>
      </c>
      <c r="D3" s="4">
        <v>7.3333333333333304</v>
      </c>
    </row>
    <row r="4" spans="1:4" x14ac:dyDescent="0.3">
      <c r="A4" s="1" t="s">
        <v>74</v>
      </c>
      <c r="B4">
        <v>354</v>
      </c>
      <c r="C4">
        <v>594</v>
      </c>
      <c r="D4" s="4">
        <v>7.3333333333333304</v>
      </c>
    </row>
    <row r="5" spans="1:4" x14ac:dyDescent="0.3">
      <c r="A5" s="1" t="s">
        <v>73</v>
      </c>
      <c r="B5">
        <v>355</v>
      </c>
      <c r="C5">
        <v>594</v>
      </c>
      <c r="D5" s="4">
        <v>8</v>
      </c>
    </row>
    <row r="6" spans="1:4" x14ac:dyDescent="0.3">
      <c r="A6" s="1" t="s">
        <v>69</v>
      </c>
      <c r="B6">
        <v>360</v>
      </c>
      <c r="C6">
        <v>594</v>
      </c>
      <c r="D6" s="4">
        <v>5.3333333333333304</v>
      </c>
    </row>
    <row r="7" spans="1:4" x14ac:dyDescent="0.3">
      <c r="A7" s="1" t="s">
        <v>70</v>
      </c>
      <c r="B7">
        <v>361</v>
      </c>
      <c r="C7">
        <v>594</v>
      </c>
      <c r="D7" s="4">
        <v>8.6666666666666696</v>
      </c>
    </row>
    <row r="8" spans="1:4" x14ac:dyDescent="0.3">
      <c r="A8" s="1" t="s">
        <v>68</v>
      </c>
      <c r="B8">
        <v>363</v>
      </c>
      <c r="C8">
        <v>594</v>
      </c>
      <c r="D8" s="4">
        <v>9.3333333333333304</v>
      </c>
    </row>
    <row r="9" spans="1:4" x14ac:dyDescent="0.3">
      <c r="A9" s="1" t="s">
        <v>67</v>
      </c>
      <c r="B9">
        <v>372</v>
      </c>
      <c r="C9">
        <v>594</v>
      </c>
      <c r="D9" s="4">
        <v>9.3333333333333304</v>
      </c>
    </row>
    <row r="10" spans="1:4" x14ac:dyDescent="0.3">
      <c r="A10" s="1" t="s">
        <v>72</v>
      </c>
      <c r="B10">
        <v>374</v>
      </c>
      <c r="C10">
        <v>594</v>
      </c>
      <c r="D10" s="4">
        <v>6.6666666666666696</v>
      </c>
    </row>
    <row r="11" spans="1:4" x14ac:dyDescent="0.3">
      <c r="C11" t="s">
        <v>27</v>
      </c>
      <c r="D11" s="4">
        <f>AVERAGE(D2:D10)</f>
        <v>7.9999999999999982</v>
      </c>
    </row>
    <row r="12" spans="1:4" x14ac:dyDescent="0.3">
      <c r="C12" t="s">
        <v>28</v>
      </c>
      <c r="D12" s="4">
        <f>_xlfn.STDEV.S(D2:D11)</f>
        <v>1.405456737852615</v>
      </c>
    </row>
    <row r="13" spans="1:4" x14ac:dyDescent="0.3">
      <c r="C13" t="s">
        <v>50</v>
      </c>
      <c r="D13">
        <f>MEDIAN(A_media_tradicional_2[mediaTradicional])</f>
        <v>8</v>
      </c>
    </row>
    <row r="14" spans="1:4" x14ac:dyDescent="0.3">
      <c r="C14" t="s">
        <v>51</v>
      </c>
      <c r="D14" s="5">
        <f>D11/A_media_tradicional[[#Totals],[mediaTradicional]]-1</f>
        <v>3.0000000000000018</v>
      </c>
    </row>
    <row r="15" spans="1:4" x14ac:dyDescent="0.3">
      <c r="C15" t="s">
        <v>52</v>
      </c>
      <c r="D15">
        <f>COUNTA(A_media_tradicional_2[mediaTradicional])</f>
        <v>9</v>
      </c>
    </row>
    <row r="16" spans="1:4" x14ac:dyDescent="0.3">
      <c r="C16" t="s">
        <v>77</v>
      </c>
      <c r="D16" s="5">
        <f>D13/A_media_tradicional__2[[#Totals],[mediaTradicional]]</f>
        <v>1.3714285714285719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+ 7 n w V I L R + E i k A A A A 9 w A A A B I A H A B D b 2 5 m a W c v U G F j a 2 F n Z S 5 4 b W w g o h g A K K A U A A A A A A A A A A A A A A A A A A A A A A A A A A A A h Y 9 N C s I w G E S v U r J v / k S Q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N G 5 5 h x z j E F M l H I j f 0 a f B z 8 b H 8 g r P r K 9 5 0 W r Y + X W y B T B P I + I R 5 Q S w M E F A A C A A g A + 7 n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5 8 F R 1 P L 9 Z o A E A A A k L A A A T A B w A R m 9 y b X V s Y X M v U 2 V j d G l v b j E u b S C i G A A o o B Q A A A A A A A A A A A A A A A A A A A A A A A A A A A D t l M F q 2 0 A Q h u 8 G v 8 O y u c i w C C y S H F p 0 c K W 6 z a G J g 3 W L i l h L 0 2 p h t W N 2 R i b B 5 H n 6 I H 2 x r u 2 A U 1 D P d s G 6 r J i Z H f 7 5 + X Y I a j b o x P J w T j + O R + M R t d p D I 2 Z V B 4 3 R F X v d m D p k t R W p s M D j k Q j f H B 1 D C G S 0 i X O s + w 4 c R 3 N j I c 5 2 G c c U y f x D + e A g 9 2 Y D Z Y 4 9 Y 2 i F d 9 n D t 0 W 5 a P O i B T J U f d E r b 8 C W d a v X D J 5 K D 9 R b p n K u C c S 0 X H t g I I Z y Q F B c 0 0 Z O 1 F M O 1 n Q m 3 E 6 l k k p k a P v O U X q t x G d X Y 2 P c z 3 S a 3 C R K P P b I s O Q X C + n x N 7 5 H B 9 8 n 6 j D Y l c z 0 C n 7 / 0 r Z F E g u P H W 5 M g y T D s I V e h f J 9 j O E r 6 C b o j f Z O K P H 0 F p 5 Z u 6 y 1 1 Z 5 S 9 v 3 7 v o V Z o 5 j Z I D P Y c G x X e O 3 o B / r u I L t 4 W Q N F / 1 S h t l t Z m S Z M y a F Q M D z z q x J b a Z q Z 7 R 2 G + J 3 j 2 + t 4 1 + Y t 8 d g H / 3 Z + e T O Q 3 5 t a H D 3 9 u + J 1 M h 4 Z N z z B e 1 o + n R s t A 4 I u t J w L L V d y a L t E y U S e B h q k y 4 r 5 D 6 A Z W j K n h + a y a c 4 Y m o E X X S V n t 2 S q 5 E L M S Y n 5 A 1 B L A Q I t A B Q A A g A I A P u 5 8 F S C 0 f h I p A A A A P c A A A A S A A A A A A A A A A A A A A A A A A A A A A B D b 2 5 m a W c v U G F j a 2 F n Z S 5 4 b W x Q S w E C L Q A U A A I A C A D 7 u f B U D 8 r p q 6 Q A A A D p A A A A E w A A A A A A A A A A A A A A A A D w A A A A W 0 N v b n R l b n R f V H l w Z X N d L n h t b F B L A Q I t A B Q A A g A I A P u 5 8 F R 1 P L 9 Z o A E A A A k L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x A A A A A A A A 8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f b W V k a W F f d H J h Z G l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X 2 1 l Z G l h X 3 R y Y W R p Y 2 l v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2 V D E y O j U 3 O j I 2 L j c y M D A w N j B a I i A v P j x F b n R y e S B U e X B l P S J G a W x s Q 2 9 s d W 1 u V H l w Z X M i I F Z h b H V l P S J z Q m d N R E F 3 P T 0 i I C 8 + P E V u d H J 5 I F R 5 c G U 9 I k Z p b G x D b 2 x 1 b W 5 O Y W 1 l c y I g V m F s d W U 9 I n N b J n F 1 b 3 Q 7 X 2 l k J n F 1 b 3 Q 7 L C Z x d W 9 0 O 2 l k Q W x 1 b m 8 m c X V v d D s s J n F 1 b 3 Q 7 a W R R d W V z d G l v b m F y a W 8 m c X V v d D s s J n F 1 b 3 Q 7 b W V k a W F U c m F k a W N p b 2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f b W V k a W F f d H J h Z G l j a W 9 u Y W w v Q X V 0 b 1 J l b W 9 2 Z W R D b 2 x 1 b W 5 z M S 5 7 X 2 l k L D B 9 J n F 1 b 3 Q 7 L C Z x d W 9 0 O 1 N l Y 3 R p b 2 4 x L 0 F f b W V k a W F f d H J h Z G l j a W 9 u Y W w v Q X V 0 b 1 J l b W 9 2 Z W R D b 2 x 1 b W 5 z M S 5 7 a W R B b H V u b y w x f S Z x d W 9 0 O y w m c X V v d D t T Z W N 0 a W 9 u M S 9 B X 2 1 l Z G l h X 3 R y Y W R p Y 2 l v b m F s L 0 F 1 d G 9 S Z W 1 v d m V k Q 2 9 s d W 1 u c z E u e 2 l k U X V l c 3 R p b 2 5 h c m l v L D J 9 J n F 1 b 3 Q 7 L C Z x d W 9 0 O 1 N l Y 3 R p b 2 4 x L 0 F f b W V k a W F f d H J h Z G l j a W 9 u Y W w v Q X V 0 b 1 J l b W 9 2 Z W R D b 2 x 1 b W 5 z M S 5 7 b W V k a W F U c m F k a W N p b 2 5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X 2 1 l Z G l h X 3 R y Y W R p Y 2 l v b m F s L 0 F 1 d G 9 S Z W 1 v d m V k Q 2 9 s d W 1 u c z E u e 1 9 p Z C w w f S Z x d W 9 0 O y w m c X V v d D t T Z W N 0 a W 9 u M S 9 B X 2 1 l Z G l h X 3 R y Y W R p Y 2 l v b m F s L 0 F 1 d G 9 S Z W 1 v d m V k Q 2 9 s d W 1 u c z E u e 2 l k Q W x 1 b m 8 s M X 0 m c X V v d D s s J n F 1 b 3 Q 7 U 2 V j d G l v b j E v Q V 9 t Z W R p Y V 9 0 c m F k a W N p b 2 5 h b C 9 B d X R v U m V t b 3 Z l Z E N v b H V t b n M x L n t p Z F F 1 Z X N 0 a W 9 u Y X J p b y w y f S Z x d W 9 0 O y w m c X V v d D t T Z W N 0 a W 9 u M S 9 B X 2 1 l Z G l h X 3 R y Y W R p Y 2 l v b m F s L 0 F 1 d G 9 S Z W 1 v d m V k Q 2 9 s d W 1 u c z E u e 2 1 l Z G l h V H J h Z G l j a W 9 u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f b W V k a W F f d H J h Z G l j a W 9 u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2 1 l Z G l h X 3 R y Y W R p Y 2 l v b m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2 1 l Z G l h X 3 R y Y W R p Y 2 l v b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b W V k a W F f d H J h Z G l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2 1 l Z G l h X 3 R y Y W R p Y 2 l v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Z U M T M 6 M D I 6 N T c u M j g 0 N T Q 5 M 1 o i I C 8 + P E V u d H J 5 I F R 5 c G U 9 I k Z p b G x D b 2 x 1 b W 5 U e X B l c y I g V m F s d W U 9 I n N C Z 0 1 E Q X c 9 P S I g L z 4 8 R W 5 0 c n k g V H l w Z T 0 i R m l s b E N v b H V t b k 5 h b W V z I i B W Y W x 1 Z T 0 i c 1 s m c X V v d D t f a W Q m c X V v d D s s J n F 1 b 3 Q 7 a W R B b H V u b y Z x d W 9 0 O y w m c X V v d D t p Z F F 1 Z X N 0 a W 9 u Y X J p b y Z x d W 9 0 O y w m c X V v d D t t Z W R p Y V R y Y W R p Y 2 l v b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9 t Z W R p Y V 9 0 c m F k a W N p b 2 5 h b C 9 B d X R v U m V t b 3 Z l Z E N v b H V t b n M x L n t f a W Q s M H 0 m c X V v d D s s J n F 1 b 3 Q 7 U 2 V j d G l v b j E v Q l 9 t Z W R p Y V 9 0 c m F k a W N p b 2 5 h b C 9 B d X R v U m V t b 3 Z l Z E N v b H V t b n M x L n t p Z E F s d W 5 v L D F 9 J n F 1 b 3 Q 7 L C Z x d W 9 0 O 1 N l Y 3 R p b 2 4 x L 0 J f b W V k a W F f d H J h Z G l j a W 9 u Y W w v Q X V 0 b 1 J l b W 9 2 Z W R D b 2 x 1 b W 5 z M S 5 7 a W R R d W V z d G l v b m F y a W 8 s M n 0 m c X V v d D s s J n F 1 b 3 Q 7 U 2 V j d G l v b j E v Q l 9 t Z W R p Y V 9 0 c m F k a W N p b 2 5 h b C 9 B d X R v U m V t b 3 Z l Z E N v b H V t b n M x L n t t Z W R p Y V R y Y W R p Y 2 l v b m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f b W V k a W F f d H J h Z G l j a W 9 u Y W w v Q X V 0 b 1 J l b W 9 2 Z W R D b 2 x 1 b W 5 z M S 5 7 X 2 l k L D B 9 J n F 1 b 3 Q 7 L C Z x d W 9 0 O 1 N l Y 3 R p b 2 4 x L 0 J f b W V k a W F f d H J h Z G l j a W 9 u Y W w v Q X V 0 b 1 J l b W 9 2 Z W R D b 2 x 1 b W 5 z M S 5 7 a W R B b H V u b y w x f S Z x d W 9 0 O y w m c X V v d D t T Z W N 0 a W 9 u M S 9 C X 2 1 l Z G l h X 3 R y Y W R p Y 2 l v b m F s L 0 F 1 d G 9 S Z W 1 v d m V k Q 2 9 s d W 1 u c z E u e 2 l k U X V l c 3 R p b 2 5 h c m l v L D J 9 J n F 1 b 3 Q 7 L C Z x d W 9 0 O 1 N l Y 3 R p b 2 4 x L 0 J f b W V k a W F f d H J h Z G l j a W 9 u Y W w v Q X V 0 b 1 J l b W 9 2 Z W R D b 2 x 1 b W 5 z M S 5 7 b W V k a W F U c m F k a W N p b 2 5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9 t Z W R p Y V 9 0 c m F k a W N p b 2 5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b W V k a W F f d H J h Z G l j a W 9 u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b W V k a W F f d H J h Z G l j a W 9 u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t Z W R p Y V 9 0 c m F k a W N p b 2 5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f b W V k a W F f d H J h Z G l j a W 9 u Y W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Z U M T M 6 M T I 6 M T E u O D c x O D Q x M 1 o i I C 8 + P E V u d H J 5 I F R 5 c G U 9 I k Z p b G x D b 2 x 1 b W 5 U e X B l c y I g V m F s d W U 9 I n N C Z 0 1 E Q X c 9 P S I g L z 4 8 R W 5 0 c n k g V H l w Z T 0 i R m l s b E N v b H V t b k 5 h b W V z I i B W Y W x 1 Z T 0 i c 1 s m c X V v d D t f a W Q m c X V v d D s s J n F 1 b 3 Q 7 a W R B b H V u b y Z x d W 9 0 O y w m c X V v d D t p Z F F 1 Z X N 0 a W 9 u Y X J p b y Z x d W 9 0 O y w m c X V v d D t t Z W R p Y V R y Y W R p Y 2 l v b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9 t Z W R p Y V 9 0 c m F k a W N p b 2 5 h b C A o M i k v Q X V 0 b 1 J l b W 9 2 Z W R D b 2 x 1 b W 5 z M S 5 7 X 2 l k L D B 9 J n F 1 b 3 Q 7 L C Z x d W 9 0 O 1 N l Y 3 R p b 2 4 x L 0 F f b W V k a W F f d H J h Z G l j a W 9 u Y W w g K D I p L 0 F 1 d G 9 S Z W 1 v d m V k Q 2 9 s d W 1 u c z E u e 2 l k Q W x 1 b m 8 s M X 0 m c X V v d D s s J n F 1 b 3 Q 7 U 2 V j d G l v b j E v Q V 9 t Z W R p Y V 9 0 c m F k a W N p b 2 5 h b C A o M i k v Q X V 0 b 1 J l b W 9 2 Z W R D b 2 x 1 b W 5 z M S 5 7 a W R R d W V z d G l v b m F y a W 8 s M n 0 m c X V v d D s s J n F 1 b 3 Q 7 U 2 V j d G l v b j E v Q V 9 t Z W R p Y V 9 0 c m F k a W N p b 2 5 h b C A o M i k v Q X V 0 b 1 J l b W 9 2 Z W R D b 2 x 1 b W 5 z M S 5 7 b W V k a W F U c m F k a W N p b 2 5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X 2 1 l Z G l h X 3 R y Y W R p Y 2 l v b m F s I C g y K S 9 B d X R v U m V t b 3 Z l Z E N v b H V t b n M x L n t f a W Q s M H 0 m c X V v d D s s J n F 1 b 3 Q 7 U 2 V j d G l v b j E v Q V 9 t Z W R p Y V 9 0 c m F k a W N p b 2 5 h b C A o M i k v Q X V 0 b 1 J l b W 9 2 Z W R D b 2 x 1 b W 5 z M S 5 7 a W R B b H V u b y w x f S Z x d W 9 0 O y w m c X V v d D t T Z W N 0 a W 9 u M S 9 B X 2 1 l Z G l h X 3 R y Y W R p Y 2 l v b m F s I C g y K S 9 B d X R v U m V t b 3 Z l Z E N v b H V t b n M x L n t p Z F F 1 Z X N 0 a W 9 u Y X J p b y w y f S Z x d W 9 0 O y w m c X V v d D t T Z W N 0 a W 9 u M S 9 B X 2 1 l Z G l h X 3 R y Y W R p Y 2 l v b m F s I C g y K S 9 B d X R v U m V t b 3 Z l Z E N v b H V t b n M x L n t t Z W R p Y V R y Y W R p Y 2 l v b m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X 2 1 l Z G l h X 3 R y Y W R p Y 2 l v b m F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t Z W R p Y V 9 0 c m F k a W N p b 2 5 h b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t Z W R p Y V 9 0 c m F k a W N p b 2 5 h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X 2 1 l Z G l h X 3 R y Y W R p Y 2 l v b m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l 9 t Z W R p Y V 9 0 c m F k a W N p b 2 5 h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2 V D E z O j E 0 O j Q y L j I 3 M z A 3 N z h a I i A v P j x F b n R y e S B U e X B l P S J G a W x s Q 2 9 s d W 1 u V H l w Z X M i I F Z h b H V l P S J z Q m d N R E F 3 P T 0 i I C 8 + P E V u d H J 5 I F R 5 c G U 9 I k Z p b G x D b 2 x 1 b W 5 O Y W 1 l c y I g V m F s d W U 9 I n N b J n F 1 b 3 Q 7 X 2 l k J n F 1 b 3 Q 7 L C Z x d W 9 0 O 2 l k Q W x 1 b m 8 m c X V v d D s s J n F 1 b 3 Q 7 a W R R d W V z d G l v b m F y a W 8 m c X V v d D s s J n F 1 b 3 Q 7 b W V k a W F U c m F k a W N p b 2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f b W V k a W F f d H J h Z G l j a W 9 u Y W w g K D I p L 0 F 1 d G 9 S Z W 1 v d m V k Q 2 9 s d W 1 u c z E u e 1 9 p Z C w w f S Z x d W 9 0 O y w m c X V v d D t T Z W N 0 a W 9 u M S 9 C X 2 1 l Z G l h X 3 R y Y W R p Y 2 l v b m F s I C g y K S 9 B d X R v U m V t b 3 Z l Z E N v b H V t b n M x L n t p Z E F s d W 5 v L D F 9 J n F 1 b 3 Q 7 L C Z x d W 9 0 O 1 N l Y 3 R p b 2 4 x L 0 J f b W V k a W F f d H J h Z G l j a W 9 u Y W w g K D I p L 0 F 1 d G 9 S Z W 1 v d m V k Q 2 9 s d W 1 u c z E u e 2 l k U X V l c 3 R p b 2 5 h c m l v L D J 9 J n F 1 b 3 Q 7 L C Z x d W 9 0 O 1 N l Y 3 R p b 2 4 x L 0 J f b W V k a W F f d H J h Z G l j a W 9 u Y W w g K D I p L 0 F 1 d G 9 S Z W 1 v d m V k Q 2 9 s d W 1 u c z E u e 2 1 l Z G l h V H J h Z G l j a W 9 u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l 9 t Z W R p Y V 9 0 c m F k a W N p b 2 5 h b C A o M i k v Q X V 0 b 1 J l b W 9 2 Z W R D b 2 x 1 b W 5 z M S 5 7 X 2 l k L D B 9 J n F 1 b 3 Q 7 L C Z x d W 9 0 O 1 N l Y 3 R p b 2 4 x L 0 J f b W V k a W F f d H J h Z G l j a W 9 u Y W w g K D I p L 0 F 1 d G 9 S Z W 1 v d m V k Q 2 9 s d W 1 u c z E u e 2 l k Q W x 1 b m 8 s M X 0 m c X V v d D s s J n F 1 b 3 Q 7 U 2 V j d G l v b j E v Q l 9 t Z W R p Y V 9 0 c m F k a W N p b 2 5 h b C A o M i k v Q X V 0 b 1 J l b W 9 2 Z W R D b 2 x 1 b W 5 z M S 5 7 a W R R d W V z d G l v b m F y a W 8 s M n 0 m c X V v d D s s J n F 1 b 3 Q 7 U 2 V j d G l v b j E v Q l 9 t Z W R p Y V 9 0 c m F k a W N p b 2 5 h b C A o M i k v Q X V 0 b 1 J l b W 9 2 Z W R D b 2 x 1 b W 5 z M S 5 7 b W V k a W F U c m F k a W N p b 2 5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9 t Z W R p Y V 9 0 c m F k a W N p b 2 5 h b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b W V k a W F f d H J h Z G l j a W 9 u Y W w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f b W V k a W F f d H J h Z G l j a W 9 u Y W w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t Z W R p Y V 9 0 c m F k a W N p b 2 5 h b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9 t Z W R p Y V 9 0 c m F k a W N p b 2 5 h b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d U M D M 6 M T U 6 N T Q u O T Y y M D M 4 M l o i I C 8 + P E V u d H J 5 I F R 5 c G U 9 I k Z p b G x D b 2 x 1 b W 5 U e X B l c y I g V m F s d W U 9 I n N C Z 0 1 E Q X c 9 P S I g L z 4 8 R W 5 0 c n k g V H l w Z T 0 i R m l s b E N v b H V t b k 5 h b W V z I i B W Y W x 1 Z T 0 i c 1 s m c X V v d D t f a W Q m c X V v d D s s J n F 1 b 3 Q 7 a W R B b H V u b y Z x d W 9 0 O y w m c X V v d D t p Z F F 1 Z X N 0 a W 9 u Y X J p b y Z x d W 9 0 O y w m c X V v d D t t Z W R p Y V R y Y W R p Y 2 l v b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9 t Z W R p Y V 9 0 c m F k a W N p b 2 5 h b F 8 y L 0 F 1 d G 9 S Z W 1 v d m V k Q 2 9 s d W 1 u c z E u e 1 9 p Z C w w f S Z x d W 9 0 O y w m c X V v d D t T Z W N 0 a W 9 u M S 9 B X 2 1 l Z G l h X 3 R y Y W R p Y 2 l v b m F s X z I v Q X V 0 b 1 J l b W 9 2 Z W R D b 2 x 1 b W 5 z M S 5 7 a W R B b H V u b y w x f S Z x d W 9 0 O y w m c X V v d D t T Z W N 0 a W 9 u M S 9 B X 2 1 l Z G l h X 3 R y Y W R p Y 2 l v b m F s X z I v Q X V 0 b 1 J l b W 9 2 Z W R D b 2 x 1 b W 5 z M S 5 7 a W R R d W V z d G l v b m F y a W 8 s M n 0 m c X V v d D s s J n F 1 b 3 Q 7 U 2 V j d G l v b j E v Q V 9 t Z W R p Y V 9 0 c m F k a W N p b 2 5 h b F 8 y L 0 F 1 d G 9 S Z W 1 v d m V k Q 2 9 s d W 1 u c z E u e 2 1 l Z G l h V H J h Z G l j a W 9 u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V 9 t Z W R p Y V 9 0 c m F k a W N p b 2 5 h b F 8 y L 0 F 1 d G 9 S Z W 1 v d m V k Q 2 9 s d W 1 u c z E u e 1 9 p Z C w w f S Z x d W 9 0 O y w m c X V v d D t T Z W N 0 a W 9 u M S 9 B X 2 1 l Z G l h X 3 R y Y W R p Y 2 l v b m F s X z I v Q X V 0 b 1 J l b W 9 2 Z W R D b 2 x 1 b W 5 z M S 5 7 a W R B b H V u b y w x f S Z x d W 9 0 O y w m c X V v d D t T Z W N 0 a W 9 u M S 9 B X 2 1 l Z G l h X 3 R y Y W R p Y 2 l v b m F s X z I v Q X V 0 b 1 J l b W 9 2 Z W R D b 2 x 1 b W 5 z M S 5 7 a W R R d W V z d G l v b m F y a W 8 s M n 0 m c X V v d D s s J n F 1 b 3 Q 7 U 2 V j d G l v b j E v Q V 9 t Z W R p Y V 9 0 c m F k a W N p b 2 5 h b F 8 y L 0 F 1 d G 9 S Z W 1 v d m V k Q 2 9 s d W 1 u c z E u e 2 1 l Z G l h V H J h Z G l j a W 9 u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f b W V k a W F f d H J h Z G l j a W 9 u Y W x f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b W V k a W F f d H J h Z G l j a W 9 u Y W x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9 t Z W R p Y V 9 0 c m F k a W N p b 2 5 h b F 8 y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w 5 V Q 0 g V B T p m 0 H H q S G P 3 H A A A A A A I A A A A A A B B m A A A A A Q A A I A A A A P T t s H O r Q p Y z a G R i Z I T O B E n I i l W 9 3 j h 2 s E A H p r M a 2 o Q b A A A A A A 6 A A A A A A g A A I A A A A I g u Z k G / f G r F 7 L C A E n f r E J Z V v 8 I J c i J N S K m s B + e 3 M p U u U A A A A P b A g w E z + K R f I Q N Q g R 8 n 4 9 M K X W 3 9 E 2 K 4 2 c R p F d B o 0 9 G a s 3 I 3 3 d Y k k / d L L P n 7 8 D d W 7 N s L X q w n F Y K p x l Y 4 z R Y C E I e 7 Q g q q F O m P 9 P f y n 1 L f 8 S E I Q A A A A G Y I 6 6 s H m x a X 0 D b 3 g v C L W 3 e q I r + t + + f o / 5 g W t s a w g z y S O G i P o M U 2 p C 8 Z L o i u T D G e R x a Y B n i E w s Y T T w 6 9 3 F 7 s L + s = < / D a t a M a s h u p > 
</file>

<file path=customXml/itemProps1.xml><?xml version="1.0" encoding="utf-8"?>
<ds:datastoreItem xmlns:ds="http://schemas.openxmlformats.org/officeDocument/2006/customXml" ds:itemID="{1998282A-8FAE-4B6F-98D2-8C4CEE8B80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A_media_tradicional_preteste</vt:lpstr>
      <vt:lpstr>B_media_tradicional_preteste</vt:lpstr>
      <vt:lpstr>A_media_tradicional_posteste</vt:lpstr>
      <vt:lpstr>B_media_tradicional_posteste</vt:lpstr>
      <vt:lpstr>A_media_tradicional_posteste2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2022-07-16T13:14:07Z</dcterms:created>
  <dcterms:modified xsi:type="dcterms:W3CDTF">2022-07-18T01:19:35Z</dcterms:modified>
</cp:coreProperties>
</file>