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livemanchesterac-my.sharepoint.com/personal/gabriel_rogers_manchester_ac_uk/Documents/zTeaching/Liverpool MetaAnalysis Short Course/HPRU-meta/"/>
    </mc:Choice>
  </mc:AlternateContent>
  <xr:revisionPtr revIDLastSave="516" documentId="8_{CA0220AC-04C0-444D-9E23-01771EF6F3F0}" xr6:coauthVersionLast="47" xr6:coauthVersionMax="47" xr10:uidLastSave="{74743ACD-C498-49BD-A7BE-D26FB23AED1A}"/>
  <bookViews>
    <workbookView xWindow="-120" yWindow="-120" windowWidth="38640" windowHeight="16440" xr2:uid="{C600AEA8-D8FD-401E-99AE-4149BE399C74}"/>
  </bookViews>
  <sheets>
    <sheet name="PropLogit" sheetId="7" r:id="rId1"/>
    <sheet name="PropFT" sheetId="9" r:id="rId2"/>
    <sheet name="OR" sheetId="8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W29" i="9" l="1"/>
  <c r="AZ29" i="9" s="1"/>
  <c r="BC29" i="9" s="1"/>
  <c r="AV29" i="9"/>
  <c r="AW28" i="9"/>
  <c r="AV28" i="9"/>
  <c r="AY28" i="9" s="1"/>
  <c r="BB28" i="9" s="1"/>
  <c r="AW27" i="9"/>
  <c r="AV27" i="9"/>
  <c r="AW24" i="9"/>
  <c r="AZ24" i="9" s="1"/>
  <c r="BC24" i="9" s="1"/>
  <c r="AV24" i="9"/>
  <c r="AY24" i="9" s="1"/>
  <c r="BB24" i="9" s="1"/>
  <c r="AW23" i="9"/>
  <c r="AZ23" i="9" s="1"/>
  <c r="BC23" i="9" s="1"/>
  <c r="AV23" i="9"/>
  <c r="AW22" i="9"/>
  <c r="AV22" i="9"/>
  <c r="AV20" i="9"/>
  <c r="AY20" i="9" s="1"/>
  <c r="BB20" i="9" s="1"/>
  <c r="AW20" i="9"/>
  <c r="AZ20" i="9" s="1"/>
  <c r="BC20" i="9" s="1"/>
  <c r="AW19" i="9"/>
  <c r="AZ19" i="9" s="1"/>
  <c r="BC19" i="9" s="1"/>
  <c r="AV19" i="9"/>
  <c r="AY19" i="9" s="1"/>
  <c r="BB19" i="9" s="1"/>
  <c r="BE29" i="9"/>
  <c r="BD29" i="9"/>
  <c r="BA29" i="9"/>
  <c r="BH29" i="9" s="1"/>
  <c r="AX29" i="9"/>
  <c r="AY29" i="9"/>
  <c r="BB29" i="9" s="1"/>
  <c r="BE28" i="9"/>
  <c r="BD28" i="9"/>
  <c r="AZ28" i="9"/>
  <c r="BC28" i="9" s="1"/>
  <c r="AX28" i="9"/>
  <c r="BA28" i="9" s="1"/>
  <c r="BE27" i="9"/>
  <c r="BD27" i="9"/>
  <c r="AY27" i="9"/>
  <c r="BB27" i="9" s="1"/>
  <c r="AX27" i="9"/>
  <c r="BA27" i="9" s="1"/>
  <c r="AZ27" i="9"/>
  <c r="BC27" i="9" s="1"/>
  <c r="BE24" i="9"/>
  <c r="BD24" i="9"/>
  <c r="AX24" i="9"/>
  <c r="BA24" i="9" s="1"/>
  <c r="BE23" i="9"/>
  <c r="BD23" i="9"/>
  <c r="BA23" i="9"/>
  <c r="BH23" i="9" s="1"/>
  <c r="AY23" i="9"/>
  <c r="BB23" i="9" s="1"/>
  <c r="AX23" i="9"/>
  <c r="BE22" i="9"/>
  <c r="BD22" i="9"/>
  <c r="AX22" i="9"/>
  <c r="BA22" i="9" s="1"/>
  <c r="AZ22" i="9"/>
  <c r="BC22" i="9" s="1"/>
  <c r="AY22" i="9"/>
  <c r="BB22" i="9" s="1"/>
  <c r="BE20" i="9"/>
  <c r="BD20" i="9"/>
  <c r="BA20" i="9"/>
  <c r="BF20" i="9" s="1"/>
  <c r="AX20" i="9"/>
  <c r="BE19" i="9"/>
  <c r="BD19" i="9"/>
  <c r="AX19" i="9"/>
  <c r="BA19" i="9" s="1"/>
  <c r="AT29" i="9"/>
  <c r="AS29" i="9"/>
  <c r="AR29" i="9"/>
  <c r="AQ29" i="9"/>
  <c r="AP29" i="9"/>
  <c r="AO29" i="9"/>
  <c r="AT28" i="9"/>
  <c r="AS28" i="9"/>
  <c r="AR28" i="9"/>
  <c r="AQ28" i="9"/>
  <c r="AP28" i="9"/>
  <c r="AO28" i="9"/>
  <c r="AT27" i="9"/>
  <c r="AS27" i="9"/>
  <c r="AR27" i="9"/>
  <c r="AQ27" i="9"/>
  <c r="AP27" i="9"/>
  <c r="AO27" i="9"/>
  <c r="AT24" i="9"/>
  <c r="AS24" i="9"/>
  <c r="AR24" i="9"/>
  <c r="AQ24" i="9"/>
  <c r="AP24" i="9"/>
  <c r="AO24" i="9"/>
  <c r="AT23" i="9"/>
  <c r="AS23" i="9"/>
  <c r="AR23" i="9"/>
  <c r="AQ23" i="9"/>
  <c r="AP23" i="9"/>
  <c r="AO23" i="9"/>
  <c r="AT22" i="9"/>
  <c r="AS22" i="9"/>
  <c r="AR22" i="9"/>
  <c r="AQ22" i="9"/>
  <c r="AP22" i="9"/>
  <c r="AO22" i="9"/>
  <c r="AT20" i="9"/>
  <c r="AS20" i="9"/>
  <c r="AR20" i="9"/>
  <c r="AQ20" i="9"/>
  <c r="AP20" i="9"/>
  <c r="AO20" i="9"/>
  <c r="AT19" i="9"/>
  <c r="AS19" i="9"/>
  <c r="AR19" i="9"/>
  <c r="AQ19" i="9"/>
  <c r="AP19" i="9"/>
  <c r="AO19" i="9"/>
  <c r="AH20" i="9"/>
  <c r="AG20" i="9" s="1"/>
  <c r="AK20" i="9" s="1"/>
  <c r="AN20" i="9" s="1"/>
  <c r="AE20" i="9"/>
  <c r="AF20" i="9" s="1"/>
  <c r="AJ20" i="9" s="1"/>
  <c r="AM20" i="9" s="1"/>
  <c r="AI19" i="9"/>
  <c r="AL19" i="9" s="1"/>
  <c r="AH19" i="9"/>
  <c r="AG19" i="9" s="1"/>
  <c r="AK19" i="9" s="1"/>
  <c r="AN19" i="9" s="1"/>
  <c r="AE19" i="9"/>
  <c r="AF19" i="9" s="1"/>
  <c r="AJ19" i="9" s="1"/>
  <c r="AM19" i="9" s="1"/>
  <c r="BE20" i="7"/>
  <c r="BD20" i="7"/>
  <c r="AX20" i="7"/>
  <c r="BA20" i="7" s="1"/>
  <c r="AW20" i="7"/>
  <c r="AZ20" i="7" s="1"/>
  <c r="BC20" i="7" s="1"/>
  <c r="AV20" i="7"/>
  <c r="AY20" i="7" s="1"/>
  <c r="BB20" i="7" s="1"/>
  <c r="BE19" i="7"/>
  <c r="BD19" i="7"/>
  <c r="AX19" i="7"/>
  <c r="BA19" i="7" s="1"/>
  <c r="AW19" i="7"/>
  <c r="AZ19" i="7" s="1"/>
  <c r="BC19" i="7" s="1"/>
  <c r="AV19" i="7"/>
  <c r="AY19" i="7" s="1"/>
  <c r="BB19" i="7" s="1"/>
  <c r="AP20" i="7"/>
  <c r="AO20" i="7"/>
  <c r="AH20" i="7"/>
  <c r="AG20" i="7"/>
  <c r="AK20" i="7" s="1"/>
  <c r="AN20" i="7" s="1"/>
  <c r="AE20" i="7"/>
  <c r="AI20" i="7" s="1"/>
  <c r="AL20" i="7" s="1"/>
  <c r="AP19" i="7"/>
  <c r="AO19" i="7"/>
  <c r="AH19" i="7"/>
  <c r="AG19" i="7"/>
  <c r="AK19" i="7" s="1"/>
  <c r="AN19" i="7" s="1"/>
  <c r="AE19" i="7"/>
  <c r="AI19" i="7" s="1"/>
  <c r="AL19" i="7" s="1"/>
  <c r="AI29" i="9"/>
  <c r="AL29" i="9" s="1"/>
  <c r="AH29" i="9"/>
  <c r="AG29" i="9"/>
  <c r="AK29" i="9" s="1"/>
  <c r="AN29" i="9" s="1"/>
  <c r="AE29" i="9"/>
  <c r="AF29" i="9" s="1"/>
  <c r="AJ29" i="9" s="1"/>
  <c r="AM29" i="9" s="1"/>
  <c r="AI28" i="9"/>
  <c r="AL28" i="9" s="1"/>
  <c r="AH28" i="9"/>
  <c r="AG28" i="9" s="1"/>
  <c r="AK28" i="9" s="1"/>
  <c r="AN28" i="9" s="1"/>
  <c r="AE28" i="9"/>
  <c r="AF28" i="9" s="1"/>
  <c r="AJ28" i="9" s="1"/>
  <c r="AM28" i="9" s="1"/>
  <c r="AH27" i="9"/>
  <c r="AE27" i="9"/>
  <c r="AF27" i="9" s="1"/>
  <c r="AJ27" i="9" s="1"/>
  <c r="AM27" i="9" s="1"/>
  <c r="AE23" i="9"/>
  <c r="AE24" i="9"/>
  <c r="AH23" i="9"/>
  <c r="AH24" i="9"/>
  <c r="AH22" i="9"/>
  <c r="AG22" i="9" s="1"/>
  <c r="AK22" i="9" s="1"/>
  <c r="AN22" i="9" s="1"/>
  <c r="AE22" i="9"/>
  <c r="AI22" i="9" s="1"/>
  <c r="AL22" i="9" s="1"/>
  <c r="AI23" i="9"/>
  <c r="AL23" i="9" s="1"/>
  <c r="L29" i="9"/>
  <c r="K29" i="9"/>
  <c r="J29" i="9"/>
  <c r="L28" i="9"/>
  <c r="K28" i="9"/>
  <c r="J28" i="9"/>
  <c r="L27" i="9"/>
  <c r="K27" i="9"/>
  <c r="J27" i="9"/>
  <c r="L24" i="9"/>
  <c r="K24" i="9"/>
  <c r="J24" i="9"/>
  <c r="L23" i="9"/>
  <c r="K23" i="9"/>
  <c r="J23" i="9"/>
  <c r="L22" i="9"/>
  <c r="K22" i="9"/>
  <c r="J22" i="9"/>
  <c r="L20" i="9"/>
  <c r="K20" i="9"/>
  <c r="J20" i="9"/>
  <c r="L19" i="9"/>
  <c r="K19" i="9"/>
  <c r="J19" i="9"/>
  <c r="J5" i="9"/>
  <c r="K5" i="9"/>
  <c r="L5" i="9"/>
  <c r="J6" i="9"/>
  <c r="K6" i="9"/>
  <c r="L6" i="9"/>
  <c r="J7" i="9"/>
  <c r="K7" i="9"/>
  <c r="L7" i="9"/>
  <c r="J8" i="9"/>
  <c r="K8" i="9"/>
  <c r="L8" i="9"/>
  <c r="J9" i="9"/>
  <c r="K9" i="9"/>
  <c r="L9" i="9"/>
  <c r="J10" i="9"/>
  <c r="K10" i="9"/>
  <c r="L10" i="9"/>
  <c r="J11" i="9"/>
  <c r="K11" i="9"/>
  <c r="L11" i="9"/>
  <c r="J12" i="9"/>
  <c r="K12" i="9"/>
  <c r="L12" i="9"/>
  <c r="J13" i="9"/>
  <c r="K13" i="9"/>
  <c r="L13" i="9"/>
  <c r="J14" i="9"/>
  <c r="K14" i="9"/>
  <c r="L14" i="9"/>
  <c r="J15" i="9"/>
  <c r="K15" i="9"/>
  <c r="L15" i="9"/>
  <c r="J16" i="9"/>
  <c r="K16" i="9"/>
  <c r="L16" i="9"/>
  <c r="K4" i="9"/>
  <c r="L4" i="9"/>
  <c r="J4" i="9"/>
  <c r="AC29" i="8"/>
  <c r="AC28" i="8"/>
  <c r="AC27" i="8"/>
  <c r="AC23" i="8"/>
  <c r="AC24" i="8"/>
  <c r="AC22" i="8"/>
  <c r="BH23" i="7"/>
  <c r="BI23" i="7"/>
  <c r="BH24" i="7"/>
  <c r="BI24" i="7"/>
  <c r="BH27" i="7"/>
  <c r="BI27" i="7"/>
  <c r="BH28" i="7"/>
  <c r="BI28" i="7"/>
  <c r="BH29" i="7"/>
  <c r="BI29" i="7"/>
  <c r="BI22" i="7"/>
  <c r="BH22" i="7"/>
  <c r="AT22" i="7"/>
  <c r="AS22" i="7"/>
  <c r="BE23" i="7"/>
  <c r="BE24" i="7"/>
  <c r="BE27" i="7"/>
  <c r="BE28" i="7"/>
  <c r="BE29" i="7"/>
  <c r="BE22" i="7"/>
  <c r="BD23" i="7"/>
  <c r="BF23" i="7"/>
  <c r="BG23" i="7"/>
  <c r="BD24" i="7"/>
  <c r="BF24" i="7"/>
  <c r="BG24" i="7"/>
  <c r="BD27" i="7"/>
  <c r="BF27" i="7"/>
  <c r="BG27" i="7"/>
  <c r="BD28" i="7"/>
  <c r="BF28" i="7"/>
  <c r="BG28" i="7"/>
  <c r="BD29" i="7"/>
  <c r="BF29" i="7"/>
  <c r="BG29" i="7"/>
  <c r="BD22" i="7"/>
  <c r="BG22" i="7"/>
  <c r="BF22" i="7"/>
  <c r="E33" i="7"/>
  <c r="F33" i="7"/>
  <c r="E34" i="7"/>
  <c r="F34" i="7"/>
  <c r="F32" i="7"/>
  <c r="E32" i="7"/>
  <c r="F31" i="7"/>
  <c r="E31" i="7"/>
  <c r="E29" i="9" a="1"/>
  <c r="E29" i="9" s="1"/>
  <c r="E28" i="9" a="1"/>
  <c r="E28" i="9" s="1"/>
  <c r="E27" i="9" a="1"/>
  <c r="E27" i="9" s="1"/>
  <c r="E23" i="9" a="1"/>
  <c r="E23" i="9" s="1"/>
  <c r="E24" i="9" a="1"/>
  <c r="E24" i="9" s="1"/>
  <c r="E22" i="9" a="1"/>
  <c r="E22" i="9" s="1"/>
  <c r="E19" i="9"/>
  <c r="E20" i="9" s="1"/>
  <c r="M16" i="9"/>
  <c r="M15" i="9"/>
  <c r="M14" i="9"/>
  <c r="M13" i="9"/>
  <c r="M12" i="9"/>
  <c r="M11" i="9"/>
  <c r="M10" i="9"/>
  <c r="N10" i="9" s="1"/>
  <c r="M9" i="9"/>
  <c r="M8" i="9"/>
  <c r="M7" i="9"/>
  <c r="M6" i="9"/>
  <c r="N6" i="9" s="1"/>
  <c r="M5" i="9"/>
  <c r="O5" i="9" s="1"/>
  <c r="M4" i="9"/>
  <c r="P5" i="9"/>
  <c r="P6" i="9"/>
  <c r="Q6" i="9" s="1"/>
  <c r="P7" i="9"/>
  <c r="Q7" i="9" s="1"/>
  <c r="P8" i="9"/>
  <c r="P9" i="9"/>
  <c r="O9" i="9" s="1"/>
  <c r="P10" i="9"/>
  <c r="P11" i="9"/>
  <c r="Q11" i="9" s="1"/>
  <c r="P12" i="9"/>
  <c r="Q12" i="9" s="1"/>
  <c r="P13" i="9"/>
  <c r="Q13" i="9" s="1"/>
  <c r="P14" i="9"/>
  <c r="P15" i="9"/>
  <c r="Q15" i="9" s="1"/>
  <c r="P16" i="9"/>
  <c r="P4" i="9"/>
  <c r="Q4" i="9" s="1"/>
  <c r="Y30" i="9"/>
  <c r="Y25" i="9"/>
  <c r="Y24" i="9"/>
  <c r="Y23" i="9"/>
  <c r="Y22" i="9"/>
  <c r="Y19" i="9"/>
  <c r="Q16" i="9"/>
  <c r="I16" i="9"/>
  <c r="H16" i="9"/>
  <c r="G16" i="9"/>
  <c r="I15" i="9"/>
  <c r="H15" i="9"/>
  <c r="G15" i="9"/>
  <c r="I14" i="9"/>
  <c r="H14" i="9"/>
  <c r="G14" i="9"/>
  <c r="I13" i="9"/>
  <c r="H13" i="9"/>
  <c r="G13" i="9"/>
  <c r="I12" i="9"/>
  <c r="H12" i="9"/>
  <c r="G12" i="9"/>
  <c r="I11" i="9"/>
  <c r="H11" i="9"/>
  <c r="G11" i="9"/>
  <c r="Q10" i="9"/>
  <c r="I10" i="9"/>
  <c r="H10" i="9"/>
  <c r="G10" i="9"/>
  <c r="Q9" i="9"/>
  <c r="I9" i="9"/>
  <c r="H9" i="9"/>
  <c r="G9" i="9"/>
  <c r="Q8" i="9"/>
  <c r="N8" i="9"/>
  <c r="I8" i="9"/>
  <c r="H8" i="9"/>
  <c r="G8" i="9"/>
  <c r="I7" i="9"/>
  <c r="H7" i="9"/>
  <c r="G7" i="9"/>
  <c r="I6" i="9"/>
  <c r="H6" i="9"/>
  <c r="G6" i="9"/>
  <c r="Q5" i="9"/>
  <c r="I5" i="9"/>
  <c r="H5" i="9"/>
  <c r="G5" i="9"/>
  <c r="I4" i="9"/>
  <c r="H4" i="9"/>
  <c r="G4" i="9"/>
  <c r="H5" i="7"/>
  <c r="I5" i="7"/>
  <c r="H6" i="7"/>
  <c r="I6" i="7"/>
  <c r="H7" i="7"/>
  <c r="I7" i="7"/>
  <c r="H8" i="7"/>
  <c r="I8" i="7"/>
  <c r="H9" i="7"/>
  <c r="I9" i="7"/>
  <c r="H10" i="7"/>
  <c r="I10" i="7"/>
  <c r="H11" i="7"/>
  <c r="I11" i="7"/>
  <c r="H12" i="7"/>
  <c r="I12" i="7"/>
  <c r="H13" i="7"/>
  <c r="I13" i="7"/>
  <c r="H14" i="7"/>
  <c r="I14" i="7"/>
  <c r="H15" i="7"/>
  <c r="I15" i="7"/>
  <c r="H16" i="7"/>
  <c r="I16" i="7"/>
  <c r="I4" i="7"/>
  <c r="H4" i="7"/>
  <c r="BG29" i="9" l="1"/>
  <c r="BH22" i="9"/>
  <c r="BF22" i="9"/>
  <c r="BG19" i="9"/>
  <c r="BG20" i="9"/>
  <c r="BG24" i="9"/>
  <c r="BH27" i="9"/>
  <c r="BF27" i="9"/>
  <c r="BF19" i="9"/>
  <c r="BH19" i="9"/>
  <c r="BF24" i="9"/>
  <c r="BH24" i="9"/>
  <c r="BH28" i="9"/>
  <c r="BF28" i="9"/>
  <c r="BG27" i="9"/>
  <c r="BG22" i="9"/>
  <c r="BG23" i="9"/>
  <c r="BG28" i="9"/>
  <c r="BH20" i="9"/>
  <c r="BF23" i="9"/>
  <c r="BF29" i="9"/>
  <c r="AI20" i="9"/>
  <c r="AL20" i="9" s="1"/>
  <c r="BI20" i="7"/>
  <c r="BG20" i="7"/>
  <c r="BF19" i="7"/>
  <c r="BH19" i="7"/>
  <c r="BH20" i="7"/>
  <c r="BF20" i="7"/>
  <c r="BG19" i="7"/>
  <c r="BI19" i="7"/>
  <c r="AS19" i="7"/>
  <c r="AQ19" i="7"/>
  <c r="AS20" i="7"/>
  <c r="AQ20" i="7"/>
  <c r="AF19" i="7"/>
  <c r="AJ19" i="7" s="1"/>
  <c r="AM19" i="7" s="1"/>
  <c r="AF20" i="7"/>
  <c r="AJ20" i="7" s="1"/>
  <c r="AM20" i="7" s="1"/>
  <c r="AG27" i="9"/>
  <c r="AK27" i="9" s="1"/>
  <c r="AN27" i="9" s="1"/>
  <c r="AI27" i="9"/>
  <c r="AL27" i="9" s="1"/>
  <c r="AF24" i="9"/>
  <c r="AJ24" i="9" s="1"/>
  <c r="AM24" i="9" s="1"/>
  <c r="AG23" i="9"/>
  <c r="AK23" i="9" s="1"/>
  <c r="AN23" i="9" s="1"/>
  <c r="AF23" i="9"/>
  <c r="AJ23" i="9" s="1"/>
  <c r="AM23" i="9" s="1"/>
  <c r="AG24" i="9"/>
  <c r="AK24" i="9" s="1"/>
  <c r="AN24" i="9" s="1"/>
  <c r="AI24" i="9"/>
  <c r="AL24" i="9" s="1"/>
  <c r="AF22" i="9"/>
  <c r="AJ22" i="9" s="1"/>
  <c r="AM22" i="9" s="1"/>
  <c r="O13" i="9"/>
  <c r="G31" i="7"/>
  <c r="G32" i="7"/>
  <c r="G34" i="7"/>
  <c r="G33" i="7"/>
  <c r="O7" i="9"/>
  <c r="O15" i="9"/>
  <c r="N12" i="9"/>
  <c r="O11" i="9"/>
  <c r="O16" i="9"/>
  <c r="N16" i="9"/>
  <c r="V16" i="9"/>
  <c r="V9" i="9"/>
  <c r="V5" i="9"/>
  <c r="P22" i="9"/>
  <c r="Q22" i="9" s="1"/>
  <c r="V4" i="9"/>
  <c r="V8" i="9"/>
  <c r="V12" i="9"/>
  <c r="V15" i="9"/>
  <c r="O14" i="9"/>
  <c r="N14" i="9"/>
  <c r="V11" i="9"/>
  <c r="V10" i="9"/>
  <c r="P24" i="9"/>
  <c r="Q24" i="9" s="1"/>
  <c r="Q14" i="9"/>
  <c r="Q17" i="9" s="1"/>
  <c r="N5" i="9"/>
  <c r="N7" i="9"/>
  <c r="N9" i="9"/>
  <c r="N11" i="9"/>
  <c r="N13" i="9"/>
  <c r="N15" i="9"/>
  <c r="N4" i="9"/>
  <c r="O4" i="9"/>
  <c r="O6" i="9"/>
  <c r="O8" i="9"/>
  <c r="O10" i="9"/>
  <c r="O12" i="9"/>
  <c r="M29" i="8"/>
  <c r="L29" i="8"/>
  <c r="M28" i="8"/>
  <c r="L28" i="8"/>
  <c r="M27" i="8"/>
  <c r="L27" i="8"/>
  <c r="M24" i="8"/>
  <c r="L24" i="8"/>
  <c r="M23" i="8"/>
  <c r="L23" i="8"/>
  <c r="M22" i="8"/>
  <c r="L22" i="8"/>
  <c r="M20" i="8"/>
  <c r="L20" i="8"/>
  <c r="M19" i="8"/>
  <c r="L19" i="8"/>
  <c r="M16" i="8"/>
  <c r="L16" i="8"/>
  <c r="M15" i="8"/>
  <c r="L15" i="8"/>
  <c r="M14" i="8"/>
  <c r="L14" i="8"/>
  <c r="M13" i="8"/>
  <c r="L13" i="8"/>
  <c r="M12" i="8"/>
  <c r="L12" i="8"/>
  <c r="M11" i="8"/>
  <c r="L11" i="8"/>
  <c r="M10" i="8"/>
  <c r="L10" i="8"/>
  <c r="M9" i="8"/>
  <c r="L9" i="8"/>
  <c r="M8" i="8"/>
  <c r="L8" i="8"/>
  <c r="M7" i="8"/>
  <c r="L7" i="8"/>
  <c r="M6" i="8"/>
  <c r="L6" i="8"/>
  <c r="M5" i="8"/>
  <c r="L5" i="8"/>
  <c r="M4" i="8"/>
  <c r="L4" i="8"/>
  <c r="Y30" i="7"/>
  <c r="Y25" i="7"/>
  <c r="Y24" i="7"/>
  <c r="Y23" i="7"/>
  <c r="Y22" i="7"/>
  <c r="Y19" i="7"/>
  <c r="W30" i="8"/>
  <c r="W25" i="8"/>
  <c r="W23" i="8"/>
  <c r="W24" i="8"/>
  <c r="W22" i="8"/>
  <c r="W19" i="8"/>
  <c r="N7" i="8"/>
  <c r="O7" i="8" s="1"/>
  <c r="N5" i="8"/>
  <c r="O5" i="8" s="1"/>
  <c r="N6" i="8"/>
  <c r="N8" i="8"/>
  <c r="N9" i="8"/>
  <c r="O9" i="8" s="1"/>
  <c r="N10" i="8"/>
  <c r="N11" i="8"/>
  <c r="O11" i="8" s="1"/>
  <c r="N12" i="8"/>
  <c r="O12" i="8" s="1"/>
  <c r="N13" i="8"/>
  <c r="O13" i="8" s="1"/>
  <c r="N14" i="8"/>
  <c r="O14" i="8" s="1"/>
  <c r="N15" i="8"/>
  <c r="N16" i="8"/>
  <c r="N4" i="8"/>
  <c r="O4" i="8" s="1"/>
  <c r="H7" i="8"/>
  <c r="K7" i="8" s="1"/>
  <c r="H5" i="8"/>
  <c r="K5" i="8" s="1"/>
  <c r="H6" i="8"/>
  <c r="K6" i="8" s="1"/>
  <c r="H8" i="8"/>
  <c r="K8" i="8" s="1"/>
  <c r="H9" i="8"/>
  <c r="K9" i="8" s="1"/>
  <c r="H10" i="8"/>
  <c r="K10" i="8" s="1"/>
  <c r="H11" i="8"/>
  <c r="K11" i="8" s="1"/>
  <c r="H12" i="8"/>
  <c r="K12" i="8" s="1"/>
  <c r="H13" i="8"/>
  <c r="K13" i="8" s="1"/>
  <c r="H14" i="8"/>
  <c r="K14" i="8" s="1"/>
  <c r="H15" i="8"/>
  <c r="K15" i="8" s="1"/>
  <c r="H16" i="8"/>
  <c r="K16" i="8" s="1"/>
  <c r="H4" i="8"/>
  <c r="K4" i="8" s="1"/>
  <c r="AT19" i="7" l="1"/>
  <c r="AR19" i="7"/>
  <c r="AT20" i="7"/>
  <c r="AR20" i="7"/>
  <c r="P19" i="9"/>
  <c r="R6" i="9"/>
  <c r="R5" i="9"/>
  <c r="R8" i="9"/>
  <c r="R7" i="9"/>
  <c r="R12" i="9"/>
  <c r="R11" i="9"/>
  <c r="R10" i="9"/>
  <c r="R13" i="9"/>
  <c r="R16" i="9"/>
  <c r="R4" i="9"/>
  <c r="R15" i="9"/>
  <c r="R9" i="9"/>
  <c r="V6" i="9"/>
  <c r="V14" i="9"/>
  <c r="R14" i="9"/>
  <c r="P23" i="9"/>
  <c r="Q23" i="9" s="1"/>
  <c r="V7" i="9"/>
  <c r="V13" i="9"/>
  <c r="J13" i="8"/>
  <c r="I13" i="8"/>
  <c r="J14" i="8"/>
  <c r="I14" i="8"/>
  <c r="J7" i="8"/>
  <c r="I7" i="8"/>
  <c r="J5" i="8"/>
  <c r="I5" i="8"/>
  <c r="J15" i="8"/>
  <c r="I15" i="8"/>
  <c r="J4" i="8"/>
  <c r="I4" i="8"/>
  <c r="J9" i="8"/>
  <c r="I9" i="8"/>
  <c r="J6" i="8"/>
  <c r="I6" i="8"/>
  <c r="J12" i="8"/>
  <c r="I12" i="8"/>
  <c r="I10" i="8"/>
  <c r="J10" i="8"/>
  <c r="O6" i="8"/>
  <c r="T4" i="8" s="1"/>
  <c r="I8" i="8"/>
  <c r="O15" i="8"/>
  <c r="I16" i="8"/>
  <c r="J8" i="8"/>
  <c r="O10" i="8"/>
  <c r="I11" i="8"/>
  <c r="J16" i="8"/>
  <c r="T5" i="8"/>
  <c r="J11" i="8"/>
  <c r="O8" i="8"/>
  <c r="O16" i="8"/>
  <c r="M19" i="9" l="1"/>
  <c r="M23" i="9" a="1"/>
  <c r="M23" i="9" s="1"/>
  <c r="G23" i="9" s="1"/>
  <c r="M24" i="9" a="1"/>
  <c r="M24" i="9" s="1"/>
  <c r="G24" i="9" s="1"/>
  <c r="M22" i="9" a="1"/>
  <c r="M22" i="9" s="1"/>
  <c r="G22" i="9" s="1"/>
  <c r="Q25" i="9"/>
  <c r="R23" i="9" s="1"/>
  <c r="T9" i="8"/>
  <c r="T11" i="8"/>
  <c r="T15" i="8"/>
  <c r="T13" i="8"/>
  <c r="T16" i="8"/>
  <c r="N23" i="8"/>
  <c r="O23" i="8" s="1"/>
  <c r="T8" i="8"/>
  <c r="T6" i="8"/>
  <c r="T7" i="8"/>
  <c r="O17" i="8"/>
  <c r="P8" i="8" s="1"/>
  <c r="T10" i="8"/>
  <c r="N22" i="8"/>
  <c r="O22" i="8" s="1"/>
  <c r="T12" i="8"/>
  <c r="T14" i="8"/>
  <c r="N24" i="8"/>
  <c r="O24" i="8" s="1"/>
  <c r="S15" i="9" l="1"/>
  <c r="G19" i="9"/>
  <c r="S6" i="9"/>
  <c r="S5" i="9"/>
  <c r="S12" i="9"/>
  <c r="S7" i="9"/>
  <c r="N19" i="9"/>
  <c r="H19" i="9" s="1"/>
  <c r="S8" i="9"/>
  <c r="O19" i="9"/>
  <c r="I19" i="9" s="1"/>
  <c r="S4" i="9"/>
  <c r="S9" i="9"/>
  <c r="S10" i="9"/>
  <c r="S11" i="9"/>
  <c r="S16" i="9"/>
  <c r="S13" i="9"/>
  <c r="S14" i="9"/>
  <c r="N24" i="9"/>
  <c r="H24" i="9" s="1"/>
  <c r="O24" i="9"/>
  <c r="I24" i="9" s="1"/>
  <c r="Z24" i="9" a="1"/>
  <c r="Z24" i="9" s="1"/>
  <c r="O22" i="9"/>
  <c r="I22" i="9" s="1"/>
  <c r="N22" i="9"/>
  <c r="H22" i="9" s="1"/>
  <c r="Z22" i="9" a="1"/>
  <c r="Z22" i="9" s="1"/>
  <c r="R22" i="9"/>
  <c r="R24" i="9"/>
  <c r="O23" i="9"/>
  <c r="I23" i="9" s="1"/>
  <c r="N23" i="9"/>
  <c r="H23" i="9" s="1"/>
  <c r="Z23" i="9" a="1"/>
  <c r="Z23" i="9" s="1"/>
  <c r="O25" i="8"/>
  <c r="P24" i="8" s="1"/>
  <c r="K22" i="8" a="1"/>
  <c r="K22" i="8" s="1"/>
  <c r="P10" i="8"/>
  <c r="K23" i="8" a="1"/>
  <c r="K23" i="8" s="1"/>
  <c r="N19" i="8"/>
  <c r="P7" i="8"/>
  <c r="P14" i="8"/>
  <c r="P4" i="8"/>
  <c r="P9" i="8"/>
  <c r="P5" i="8"/>
  <c r="P11" i="8"/>
  <c r="P12" i="8"/>
  <c r="P13" i="8"/>
  <c r="P16" i="8"/>
  <c r="K24" i="8" a="1"/>
  <c r="K24" i="8" s="1"/>
  <c r="P6" i="8"/>
  <c r="P15" i="8"/>
  <c r="Z19" i="9" l="1" a="1"/>
  <c r="Z19" i="9" s="1"/>
  <c r="AB19" i="9" s="1" a="1"/>
  <c r="AB19" i="9" s="1"/>
  <c r="M25" i="9"/>
  <c r="S22" i="9" s="1"/>
  <c r="AC24" i="9"/>
  <c r="AB24" i="9" a="1"/>
  <c r="AB24" i="9" s="1"/>
  <c r="AA24" i="9"/>
  <c r="AA23" i="9"/>
  <c r="AC23" i="9"/>
  <c r="AB23" i="9" a="1"/>
  <c r="AB23" i="9" s="1"/>
  <c r="AB22" i="9" a="1"/>
  <c r="AB22" i="9" s="1"/>
  <c r="AA22" i="9"/>
  <c r="AC22" i="9"/>
  <c r="P22" i="8"/>
  <c r="P23" i="8"/>
  <c r="H22" i="8"/>
  <c r="X22" i="8" a="1"/>
  <c r="X22" i="8" s="1"/>
  <c r="I22" i="8"/>
  <c r="J22" i="8"/>
  <c r="H24" i="8"/>
  <c r="J24" i="8"/>
  <c r="I24" i="8"/>
  <c r="X24" i="8" a="1"/>
  <c r="X24" i="8" s="1"/>
  <c r="H23" i="8"/>
  <c r="J23" i="8"/>
  <c r="I23" i="8"/>
  <c r="X23" i="8" a="1"/>
  <c r="X23" i="8" s="1"/>
  <c r="K19" i="8"/>
  <c r="AA19" i="9" l="1"/>
  <c r="AC19" i="9"/>
  <c r="S24" i="9"/>
  <c r="S23" i="9"/>
  <c r="W16" i="9" a="1"/>
  <c r="W16" i="9" s="1"/>
  <c r="W12" i="9" a="1"/>
  <c r="W12" i="9" s="1"/>
  <c r="W11" i="9" a="1"/>
  <c r="W11" i="9" s="1"/>
  <c r="W15" i="9" a="1"/>
  <c r="W15" i="9" s="1"/>
  <c r="W10" i="9" a="1"/>
  <c r="W10" i="9" s="1"/>
  <c r="T7" i="9"/>
  <c r="T15" i="9"/>
  <c r="T13" i="9"/>
  <c r="T11" i="9"/>
  <c r="T5" i="9"/>
  <c r="T16" i="9"/>
  <c r="T9" i="9"/>
  <c r="T6" i="9"/>
  <c r="T14" i="9"/>
  <c r="T12" i="9"/>
  <c r="T4" i="9"/>
  <c r="T10" i="9"/>
  <c r="T8" i="9"/>
  <c r="W13" i="9" a="1"/>
  <c r="W13" i="9" s="1"/>
  <c r="W6" i="9" a="1"/>
  <c r="W6" i="9" s="1"/>
  <c r="W14" i="9" a="1"/>
  <c r="W14" i="9" s="1"/>
  <c r="W7" i="9" a="1"/>
  <c r="W7" i="9" s="1"/>
  <c r="W9" i="9" a="1"/>
  <c r="W9" i="9" s="1"/>
  <c r="W4" i="9" a="1"/>
  <c r="W4" i="9" s="1"/>
  <c r="W5" i="9" a="1"/>
  <c r="W5" i="9" s="1"/>
  <c r="W8" i="9" a="1"/>
  <c r="W8" i="9" s="1"/>
  <c r="AA22" i="8"/>
  <c r="Y22" i="8"/>
  <c r="Z22" i="8" a="1"/>
  <c r="Z22" i="8" s="1"/>
  <c r="U4" i="8" s="1" a="1"/>
  <c r="U4" i="8" s="1"/>
  <c r="AA23" i="8"/>
  <c r="Y23" i="8"/>
  <c r="AA24" i="8"/>
  <c r="Y24" i="8"/>
  <c r="K25" i="8"/>
  <c r="Q23" i="8" s="1"/>
  <c r="Z23" i="8" a="1"/>
  <c r="Z23" i="8" s="1"/>
  <c r="Z24" i="8" a="1"/>
  <c r="Z24" i="8" s="1"/>
  <c r="J19" i="8"/>
  <c r="Q5" i="8"/>
  <c r="I19" i="8"/>
  <c r="Q14" i="8"/>
  <c r="H19" i="8"/>
  <c r="Q7" i="8"/>
  <c r="Q8" i="8"/>
  <c r="Q15" i="8"/>
  <c r="Q4" i="8"/>
  <c r="Q16" i="8"/>
  <c r="Q9" i="8"/>
  <c r="Q12" i="8"/>
  <c r="Q6" i="8"/>
  <c r="Q10" i="8"/>
  <c r="Q11" i="8"/>
  <c r="Q13" i="8"/>
  <c r="Z25" i="9" l="1" a="1"/>
  <c r="Z25" i="9" s="1"/>
  <c r="AB25" i="9" s="1" a="1"/>
  <c r="AB25" i="9" s="1"/>
  <c r="X11" i="9"/>
  <c r="X8" i="9"/>
  <c r="X5" i="9"/>
  <c r="X13" i="9"/>
  <c r="X15" i="9"/>
  <c r="X12" i="9"/>
  <c r="X16" i="9"/>
  <c r="X9" i="9"/>
  <c r="X4" i="9"/>
  <c r="P27" i="9" a="1"/>
  <c r="P27" i="9" s="1"/>
  <c r="Q27" i="9" s="1"/>
  <c r="T17" i="9"/>
  <c r="P20" i="9" s="1"/>
  <c r="X7" i="9"/>
  <c r="X14" i="9"/>
  <c r="X10" i="9"/>
  <c r="P29" i="9" a="1"/>
  <c r="P29" i="9" s="1"/>
  <c r="Q29" i="9" s="1"/>
  <c r="X6" i="9"/>
  <c r="P28" i="9" a="1"/>
  <c r="P28" i="9" s="1"/>
  <c r="Q28" i="9" s="1"/>
  <c r="Q22" i="8"/>
  <c r="X25" i="8" s="1" a="1"/>
  <c r="X25" i="8" s="1"/>
  <c r="Q24" i="8"/>
  <c r="U7" i="8" a="1"/>
  <c r="U7" i="8" s="1"/>
  <c r="U6" i="8" a="1"/>
  <c r="U6" i="8" s="1"/>
  <c r="U5" i="8" a="1"/>
  <c r="U5" i="8" s="1"/>
  <c r="X19" i="8" a="1"/>
  <c r="X19" i="8" s="1"/>
  <c r="U12" i="8" a="1"/>
  <c r="U12" i="8" s="1"/>
  <c r="U13" i="8" a="1"/>
  <c r="U13" i="8" s="1"/>
  <c r="U14" i="8" a="1"/>
  <c r="U14" i="8" s="1"/>
  <c r="U15" i="8" a="1"/>
  <c r="U15" i="8" s="1"/>
  <c r="U16" i="8" a="1"/>
  <c r="U16" i="8" s="1"/>
  <c r="U10" i="8" a="1"/>
  <c r="U10" i="8" s="1"/>
  <c r="U11" i="8" a="1"/>
  <c r="U11" i="8" s="1"/>
  <c r="U9" i="8" a="1"/>
  <c r="U9" i="8" s="1"/>
  <c r="U8" i="8" a="1"/>
  <c r="U8" i="8" s="1"/>
  <c r="U5" i="9" l="1"/>
  <c r="U16" i="9"/>
  <c r="U9" i="9"/>
  <c r="U7" i="9"/>
  <c r="AA25" i="9"/>
  <c r="AC25" i="9"/>
  <c r="U14" i="9"/>
  <c r="U10" i="9"/>
  <c r="U6" i="9"/>
  <c r="U12" i="9"/>
  <c r="U13" i="9"/>
  <c r="U11" i="9"/>
  <c r="U4" i="9"/>
  <c r="Q30" i="9"/>
  <c r="R27" i="9" s="1"/>
  <c r="M27" i="9" a="1"/>
  <c r="M27" i="9" s="1"/>
  <c r="G27" i="9" s="1"/>
  <c r="M29" i="9" a="1"/>
  <c r="M29" i="9" s="1"/>
  <c r="G29" i="9" s="1"/>
  <c r="M28" i="9" a="1"/>
  <c r="M28" i="9" s="1"/>
  <c r="G28" i="9" s="1"/>
  <c r="U8" i="9"/>
  <c r="U15" i="9"/>
  <c r="AA19" i="8"/>
  <c r="Y19" i="8"/>
  <c r="AA25" i="8"/>
  <c r="Z25" i="8" a="1"/>
  <c r="Z25" i="8" s="1"/>
  <c r="Y25" i="8"/>
  <c r="V7" i="8"/>
  <c r="N27" i="8" a="1"/>
  <c r="N27" i="8" s="1"/>
  <c r="O27" i="8" s="1"/>
  <c r="V5" i="8"/>
  <c r="V4" i="8"/>
  <c r="V6" i="8"/>
  <c r="V13" i="8"/>
  <c r="V9" i="8"/>
  <c r="V10" i="8"/>
  <c r="V14" i="8"/>
  <c r="V8" i="8"/>
  <c r="N28" i="8" a="1"/>
  <c r="N28" i="8" s="1"/>
  <c r="O28" i="8" s="1"/>
  <c r="N29" i="8" a="1"/>
  <c r="N29" i="8" s="1"/>
  <c r="O29" i="8" s="1"/>
  <c r="V12" i="8"/>
  <c r="Z19" i="8" a="1"/>
  <c r="Z19" i="8" s="1"/>
  <c r="V11" i="8"/>
  <c r="V16" i="8"/>
  <c r="V15" i="8"/>
  <c r="M20" i="9" l="1"/>
  <c r="R29" i="9"/>
  <c r="R28" i="9"/>
  <c r="M30" i="9" s="1"/>
  <c r="O27" i="9"/>
  <c r="I27" i="9" s="1"/>
  <c r="N27" i="9"/>
  <c r="H27" i="9" s="1"/>
  <c r="O28" i="9"/>
  <c r="I28" i="9" s="1"/>
  <c r="N28" i="9"/>
  <c r="H28" i="9" s="1"/>
  <c r="N29" i="9"/>
  <c r="H29" i="9" s="1"/>
  <c r="O29" i="9"/>
  <c r="I29" i="9" s="1"/>
  <c r="O30" i="8"/>
  <c r="P28" i="8" s="1"/>
  <c r="K29" i="8" a="1"/>
  <c r="K29" i="8" s="1"/>
  <c r="R11" i="8"/>
  <c r="R12" i="8"/>
  <c r="R4" i="8"/>
  <c r="R9" i="8"/>
  <c r="R14" i="8"/>
  <c r="R5" i="8"/>
  <c r="R13" i="8"/>
  <c r="R16" i="8"/>
  <c r="R10" i="8"/>
  <c r="R8" i="8"/>
  <c r="R6" i="8"/>
  <c r="R7" i="8"/>
  <c r="R15" i="8"/>
  <c r="K28" i="8" a="1"/>
  <c r="K28" i="8" s="1"/>
  <c r="K27" i="8" a="1"/>
  <c r="K27" i="8" s="1"/>
  <c r="O20" i="9" l="1"/>
  <c r="I20" i="9" s="1"/>
  <c r="G20" i="9"/>
  <c r="S28" i="9"/>
  <c r="S29" i="9"/>
  <c r="N20" i="9"/>
  <c r="H20" i="9" s="1"/>
  <c r="S27" i="9"/>
  <c r="P29" i="8"/>
  <c r="P27" i="8"/>
  <c r="H29" i="8"/>
  <c r="I29" i="8"/>
  <c r="J29" i="8"/>
  <c r="R17" i="8"/>
  <c r="N20" i="8" s="1"/>
  <c r="I28" i="8"/>
  <c r="H28" i="8"/>
  <c r="J28" i="8"/>
  <c r="J27" i="8"/>
  <c r="I27" i="8"/>
  <c r="H27" i="8"/>
  <c r="Z30" i="9" l="1" a="1"/>
  <c r="Z30" i="9" s="1"/>
  <c r="AC30" i="9" s="1"/>
  <c r="K30" i="8"/>
  <c r="Q28" i="8" s="1"/>
  <c r="S16" i="8"/>
  <c r="S11" i="8"/>
  <c r="S4" i="8"/>
  <c r="S10" i="8"/>
  <c r="S6" i="8"/>
  <c r="S12" i="8"/>
  <c r="S5" i="8"/>
  <c r="S13" i="8"/>
  <c r="S8" i="8"/>
  <c r="S9" i="8"/>
  <c r="S7" i="8"/>
  <c r="S14" i="8"/>
  <c r="S15" i="8"/>
  <c r="AA30" i="9" l="1"/>
  <c r="AB30" i="9" a="1"/>
  <c r="AB30" i="9" s="1"/>
  <c r="Q27" i="8"/>
  <c r="Q29" i="8"/>
  <c r="K20" i="8"/>
  <c r="X30" i="8" l="1" a="1"/>
  <c r="X30" i="8" s="1"/>
  <c r="Y30" i="8" s="1"/>
  <c r="J20" i="8"/>
  <c r="I20" i="8"/>
  <c r="H20" i="8"/>
  <c r="AA30" i="8" l="1"/>
  <c r="Z30" i="8" a="1"/>
  <c r="Z30" i="8" s="1"/>
  <c r="P8" i="7"/>
  <c r="J8" i="7"/>
  <c r="M8" i="7" s="1"/>
  <c r="G8" i="7"/>
  <c r="P5" i="7"/>
  <c r="J5" i="7"/>
  <c r="M5" i="7" s="1"/>
  <c r="G5" i="7"/>
  <c r="P9" i="7"/>
  <c r="J9" i="7"/>
  <c r="M9" i="7" s="1"/>
  <c r="G9" i="7"/>
  <c r="P7" i="7"/>
  <c r="J7" i="7"/>
  <c r="M7" i="7" s="1"/>
  <c r="G7" i="7"/>
  <c r="P14" i="7"/>
  <c r="J14" i="7"/>
  <c r="M14" i="7" s="1"/>
  <c r="G14" i="7"/>
  <c r="P15" i="7"/>
  <c r="J15" i="7"/>
  <c r="M15" i="7" s="1"/>
  <c r="G15" i="7"/>
  <c r="P13" i="7"/>
  <c r="J13" i="7"/>
  <c r="M13" i="7" s="1"/>
  <c r="G13" i="7"/>
  <c r="P6" i="7"/>
  <c r="J6" i="7"/>
  <c r="M6" i="7" s="1"/>
  <c r="G6" i="7"/>
  <c r="O5" i="7" l="1"/>
  <c r="N5" i="7"/>
  <c r="N13" i="7"/>
  <c r="O13" i="7"/>
  <c r="O7" i="7"/>
  <c r="N7" i="7"/>
  <c r="O8" i="7"/>
  <c r="N8" i="7"/>
  <c r="N15" i="7"/>
  <c r="O15" i="7"/>
  <c r="N14" i="7"/>
  <c r="O14" i="7"/>
  <c r="N9" i="7"/>
  <c r="O9" i="7"/>
  <c r="O6" i="7"/>
  <c r="N6" i="7"/>
  <c r="Q9" i="7"/>
  <c r="Q5" i="7"/>
  <c r="Q6" i="7"/>
  <c r="Q13" i="7"/>
  <c r="Q14" i="7"/>
  <c r="Q8" i="7"/>
  <c r="Q7" i="7"/>
  <c r="Q15" i="7"/>
  <c r="P12" i="7"/>
  <c r="J12" i="7"/>
  <c r="M12" i="7" s="1"/>
  <c r="G12" i="7"/>
  <c r="P16" i="7"/>
  <c r="J16" i="7"/>
  <c r="M16" i="7" s="1"/>
  <c r="G16" i="7"/>
  <c r="P11" i="7"/>
  <c r="J11" i="7"/>
  <c r="M11" i="7" s="1"/>
  <c r="G11" i="7"/>
  <c r="P10" i="7"/>
  <c r="J10" i="7"/>
  <c r="M10" i="7" s="1"/>
  <c r="G10" i="7"/>
  <c r="P4" i="7"/>
  <c r="J4" i="7"/>
  <c r="M4" i="7" s="1"/>
  <c r="G4" i="7"/>
  <c r="O11" i="7" l="1"/>
  <c r="N11" i="7"/>
  <c r="N4" i="7"/>
  <c r="O4" i="7"/>
  <c r="N12" i="7"/>
  <c r="O12" i="7"/>
  <c r="N16" i="7"/>
  <c r="O16" i="7"/>
  <c r="O10" i="7"/>
  <c r="N10" i="7"/>
  <c r="V6" i="7"/>
  <c r="Q4" i="7"/>
  <c r="P23" i="7"/>
  <c r="V14" i="7"/>
  <c r="Q12" i="7"/>
  <c r="Q11" i="7"/>
  <c r="V7" i="7"/>
  <c r="V13" i="7"/>
  <c r="Q10" i="7"/>
  <c r="K8" i="7"/>
  <c r="L13" i="7"/>
  <c r="L8" i="7"/>
  <c r="K13" i="7"/>
  <c r="K7" i="7"/>
  <c r="L9" i="7"/>
  <c r="K9" i="7"/>
  <c r="L14" i="7"/>
  <c r="K15" i="7"/>
  <c r="L15" i="7"/>
  <c r="K14" i="7"/>
  <c r="L7" i="7"/>
  <c r="K6" i="7"/>
  <c r="K5" i="7"/>
  <c r="L6" i="7"/>
  <c r="L5" i="7"/>
  <c r="Q16" i="7"/>
  <c r="Q23" i="7" l="1"/>
  <c r="AH23" i="7"/>
  <c r="V5" i="7"/>
  <c r="V8" i="7"/>
  <c r="V9" i="7"/>
  <c r="V10" i="7"/>
  <c r="P24" i="7"/>
  <c r="P22" i="7"/>
  <c r="V4" i="7"/>
  <c r="V12" i="7"/>
  <c r="Q17" i="7"/>
  <c r="R16" i="7" s="1"/>
  <c r="V16" i="7"/>
  <c r="V15" i="7"/>
  <c r="V11" i="7"/>
  <c r="L12" i="7"/>
  <c r="K10" i="7"/>
  <c r="L10" i="7"/>
  <c r="K16" i="7"/>
  <c r="L11" i="7"/>
  <c r="K11" i="7"/>
  <c r="L16" i="7"/>
  <c r="K12" i="7"/>
  <c r="L4" i="7"/>
  <c r="K4" i="7"/>
  <c r="Q24" i="7" l="1"/>
  <c r="AH24" i="7"/>
  <c r="Q22" i="7"/>
  <c r="AH22" i="7"/>
  <c r="R14" i="7"/>
  <c r="R13" i="7"/>
  <c r="R7" i="7"/>
  <c r="R8" i="7"/>
  <c r="R5" i="7"/>
  <c r="R11" i="7"/>
  <c r="R12" i="7"/>
  <c r="R15" i="7"/>
  <c r="R10" i="7"/>
  <c r="R6" i="7"/>
  <c r="R9" i="7"/>
  <c r="R4" i="7"/>
  <c r="P19" i="7"/>
  <c r="M22" i="7" a="1"/>
  <c r="M22" i="7" s="1"/>
  <c r="M23" i="7" a="1"/>
  <c r="M23" i="7" s="1"/>
  <c r="M24" i="7" a="1"/>
  <c r="M24" i="7" s="1"/>
  <c r="AV24" i="7" l="1"/>
  <c r="AY24" i="7" s="1"/>
  <c r="BB24" i="7" s="1"/>
  <c r="AW24" i="7"/>
  <c r="AZ24" i="7" s="1"/>
  <c r="BC24" i="7" s="1"/>
  <c r="AW23" i="7"/>
  <c r="AZ23" i="7" s="1"/>
  <c r="BC23" i="7" s="1"/>
  <c r="AV23" i="7"/>
  <c r="AY23" i="7" s="1"/>
  <c r="BB23" i="7" s="1"/>
  <c r="AV22" i="7"/>
  <c r="AY22" i="7" s="1"/>
  <c r="BB22" i="7" s="1"/>
  <c r="AW22" i="7"/>
  <c r="AZ22" i="7" s="1"/>
  <c r="BC22" i="7" s="1"/>
  <c r="Q25" i="7"/>
  <c r="R23" i="7" s="1"/>
  <c r="AE22" i="7"/>
  <c r="O22" i="7"/>
  <c r="L22" i="7" s="1"/>
  <c r="I22" i="7" s="1"/>
  <c r="N22" i="7"/>
  <c r="K22" i="7" s="1"/>
  <c r="H22" i="7" s="1"/>
  <c r="AP22" i="7" s="1"/>
  <c r="N24" i="7"/>
  <c r="K24" i="7" s="1"/>
  <c r="H24" i="7" s="1"/>
  <c r="O24" i="7"/>
  <c r="L24" i="7" s="1"/>
  <c r="I24" i="7" s="1"/>
  <c r="N23" i="7"/>
  <c r="K23" i="7" s="1"/>
  <c r="H23" i="7" s="1"/>
  <c r="O23" i="7"/>
  <c r="L23" i="7" s="1"/>
  <c r="I23" i="7" s="1"/>
  <c r="Z22" i="7" a="1"/>
  <c r="Z22" i="7" s="1"/>
  <c r="AB22" i="7" s="1" a="1"/>
  <c r="AB22" i="7" s="1"/>
  <c r="Z24" i="7" a="1"/>
  <c r="Z24" i="7" s="1"/>
  <c r="AA24" i="7" s="1"/>
  <c r="Z23" i="7" a="1"/>
  <c r="Z23" i="7" s="1"/>
  <c r="AC23" i="7" s="1"/>
  <c r="AE23" i="7"/>
  <c r="AE24" i="7"/>
  <c r="AX24" i="7" s="1"/>
  <c r="BA24" i="7" s="1"/>
  <c r="M19" i="7"/>
  <c r="J22" i="7"/>
  <c r="G22" i="7" s="1"/>
  <c r="AO22" i="7" s="1"/>
  <c r="J23" i="7"/>
  <c r="G23" i="7" s="1"/>
  <c r="AO23" i="7" s="1"/>
  <c r="J24" i="7"/>
  <c r="G24" i="7" s="1"/>
  <c r="AO24" i="7" s="1"/>
  <c r="AI22" i="7" l="1"/>
  <c r="AL22" i="7" s="1"/>
  <c r="AX22" i="7"/>
  <c r="BA22" i="7" s="1"/>
  <c r="AI23" i="7"/>
  <c r="AX23" i="7"/>
  <c r="BA23" i="7" s="1"/>
  <c r="R22" i="7"/>
  <c r="AF24" i="7"/>
  <c r="AI24" i="7"/>
  <c r="AL24" i="7" s="1"/>
  <c r="R24" i="7"/>
  <c r="M25" i="7" s="1"/>
  <c r="S23" i="7" s="1"/>
  <c r="AP23" i="7"/>
  <c r="AG24" i="7"/>
  <c r="AP24" i="7"/>
  <c r="AL23" i="7"/>
  <c r="AG23" i="7"/>
  <c r="AF23" i="7"/>
  <c r="AG22" i="7"/>
  <c r="AF22" i="7"/>
  <c r="S8" i="7"/>
  <c r="O19" i="7"/>
  <c r="L19" i="7" s="1"/>
  <c r="I19" i="7" s="1"/>
  <c r="N19" i="7"/>
  <c r="K19" i="7" s="1"/>
  <c r="H19" i="7" s="1"/>
  <c r="W5" i="7" a="1"/>
  <c r="W5" i="7" s="1"/>
  <c r="W9" i="7" a="1"/>
  <c r="W9" i="7" s="1"/>
  <c r="W8" i="7" a="1"/>
  <c r="W8" i="7" s="1"/>
  <c r="W4" i="7" a="1"/>
  <c r="W4" i="7" s="1"/>
  <c r="AB23" i="7" a="1"/>
  <c r="AB23" i="7" s="1"/>
  <c r="AC24" i="7"/>
  <c r="AB24" i="7" a="1"/>
  <c r="AB24" i="7" s="1"/>
  <c r="AA23" i="7"/>
  <c r="AA22" i="7"/>
  <c r="AC22" i="7"/>
  <c r="S6" i="7"/>
  <c r="S9" i="7"/>
  <c r="S5" i="7"/>
  <c r="S7" i="7"/>
  <c r="S11" i="7"/>
  <c r="S13" i="7"/>
  <c r="J19" i="7"/>
  <c r="G19" i="7" s="1"/>
  <c r="S12" i="7"/>
  <c r="S16" i="7"/>
  <c r="S15" i="7"/>
  <c r="S4" i="7"/>
  <c r="S14" i="7"/>
  <c r="S10" i="7"/>
  <c r="AQ24" i="7" l="1"/>
  <c r="AS24" i="7"/>
  <c r="AQ23" i="7"/>
  <c r="AS23" i="7"/>
  <c r="AQ22" i="7"/>
  <c r="AK22" i="7"/>
  <c r="AN22" i="7" s="1"/>
  <c r="AJ22" i="7"/>
  <c r="AM22" i="7" s="1"/>
  <c r="AK24" i="7"/>
  <c r="AN24" i="7" s="1"/>
  <c r="AJ23" i="7"/>
  <c r="AM23" i="7" s="1"/>
  <c r="AK23" i="7"/>
  <c r="AN23" i="7" s="1"/>
  <c r="AJ24" i="7"/>
  <c r="AM24" i="7" s="1"/>
  <c r="W6" i="7" a="1"/>
  <c r="W6" i="7" s="1"/>
  <c r="W13" i="7" a="1"/>
  <c r="W13" i="7" s="1"/>
  <c r="W14" i="7" a="1"/>
  <c r="W14" i="7" s="1"/>
  <c r="W7" i="7" a="1"/>
  <c r="W7" i="7" s="1"/>
  <c r="W15" i="7" a="1"/>
  <c r="W15" i="7" s="1"/>
  <c r="W11" i="7" a="1"/>
  <c r="W11" i="7" s="1"/>
  <c r="W16" i="7" a="1"/>
  <c r="W16" i="7" s="1"/>
  <c r="W10" i="7" a="1"/>
  <c r="W10" i="7" s="1"/>
  <c r="W12" i="7" a="1"/>
  <c r="W12" i="7" s="1"/>
  <c r="S24" i="7"/>
  <c r="S22" i="7"/>
  <c r="Z19" i="7" a="1"/>
  <c r="Z19" i="7" s="1"/>
  <c r="AR24" i="7" l="1"/>
  <c r="AT24" i="7"/>
  <c r="AR22" i="7"/>
  <c r="AR23" i="7"/>
  <c r="AT23" i="7"/>
  <c r="Z25" i="7" a="1"/>
  <c r="Z25" i="7" s="1"/>
  <c r="AB25" i="7" s="1" a="1"/>
  <c r="AB25" i="7" s="1"/>
  <c r="AA19" i="7"/>
  <c r="AB19" i="7" a="1"/>
  <c r="AB19" i="7" s="1"/>
  <c r="AC19" i="7"/>
  <c r="X16" i="7"/>
  <c r="X6" i="7"/>
  <c r="X9" i="7"/>
  <c r="P28" i="7" a="1"/>
  <c r="P28" i="7" s="1"/>
  <c r="X14" i="7"/>
  <c r="X13" i="7"/>
  <c r="X12" i="7"/>
  <c r="P27" i="7" a="1"/>
  <c r="P27" i="7" s="1"/>
  <c r="X4" i="7"/>
  <c r="X10" i="7"/>
  <c r="P29" i="7" a="1"/>
  <c r="P29" i="7" s="1"/>
  <c r="X15" i="7"/>
  <c r="X5" i="7"/>
  <c r="X11" i="7"/>
  <c r="X7" i="7"/>
  <c r="X8" i="7"/>
  <c r="Q29" i="7" l="1"/>
  <c r="AH29" i="7"/>
  <c r="Q28" i="7"/>
  <c r="AH28" i="7"/>
  <c r="Q27" i="7"/>
  <c r="AH27" i="7"/>
  <c r="AA25" i="7"/>
  <c r="AC25" i="7"/>
  <c r="T14" i="7"/>
  <c r="T9" i="7"/>
  <c r="T6" i="7"/>
  <c r="T5" i="7"/>
  <c r="T7" i="7"/>
  <c r="T8" i="7"/>
  <c r="T13" i="7"/>
  <c r="T15" i="7"/>
  <c r="T4" i="7"/>
  <c r="T11" i="7"/>
  <c r="T16" i="7"/>
  <c r="T10" i="7"/>
  <c r="T12" i="7"/>
  <c r="M29" i="7" a="1"/>
  <c r="M29" i="7" s="1"/>
  <c r="M28" i="7" a="1"/>
  <c r="M28" i="7" s="1"/>
  <c r="M27" i="7" a="1"/>
  <c r="M27" i="7" s="1"/>
  <c r="Q30" i="7" l="1"/>
  <c r="R28" i="7" s="1"/>
  <c r="AW29" i="7"/>
  <c r="AZ29" i="7" s="1"/>
  <c r="BC29" i="7" s="1"/>
  <c r="AV29" i="7"/>
  <c r="AY29" i="7" s="1"/>
  <c r="BB29" i="7" s="1"/>
  <c r="AV28" i="7"/>
  <c r="AY28" i="7" s="1"/>
  <c r="BB28" i="7" s="1"/>
  <c r="AW28" i="7"/>
  <c r="AZ28" i="7" s="1"/>
  <c r="BC28" i="7" s="1"/>
  <c r="AW27" i="7"/>
  <c r="AZ27" i="7" s="1"/>
  <c r="BC27" i="7" s="1"/>
  <c r="AV27" i="7"/>
  <c r="AY27" i="7" s="1"/>
  <c r="BB27" i="7" s="1"/>
  <c r="AE29" i="7"/>
  <c r="AE28" i="7"/>
  <c r="AX28" i="7" s="1"/>
  <c r="BA28" i="7" s="1"/>
  <c r="AE27" i="7"/>
  <c r="O27" i="7"/>
  <c r="L27" i="7" s="1"/>
  <c r="I27" i="7" s="1"/>
  <c r="N27" i="7"/>
  <c r="K27" i="7" s="1"/>
  <c r="H27" i="7" s="1"/>
  <c r="O28" i="7"/>
  <c r="L28" i="7" s="1"/>
  <c r="I28" i="7" s="1"/>
  <c r="N28" i="7"/>
  <c r="K28" i="7" s="1"/>
  <c r="H28" i="7" s="1"/>
  <c r="AP28" i="7" s="1"/>
  <c r="O29" i="7"/>
  <c r="L29" i="7" s="1"/>
  <c r="I29" i="7" s="1"/>
  <c r="N29" i="7"/>
  <c r="K29" i="7" s="1"/>
  <c r="H29" i="7" s="1"/>
  <c r="T17" i="7"/>
  <c r="P20" i="7" s="1"/>
  <c r="R29" i="7"/>
  <c r="R27" i="7"/>
  <c r="J27" i="7"/>
  <c r="G27" i="7" s="1"/>
  <c r="J28" i="7"/>
  <c r="G28" i="7" s="1"/>
  <c r="J29" i="7"/>
  <c r="G29" i="7" s="1"/>
  <c r="AI29" i="7" l="1"/>
  <c r="AX29" i="7"/>
  <c r="BA29" i="7" s="1"/>
  <c r="AI27" i="7"/>
  <c r="AX27" i="7"/>
  <c r="BA27" i="7" s="1"/>
  <c r="AF28" i="7"/>
  <c r="AI28" i="7"/>
  <c r="AP29" i="7"/>
  <c r="AP27" i="7"/>
  <c r="AF27" i="7"/>
  <c r="AG27" i="7"/>
  <c r="AL27" i="7"/>
  <c r="AO29" i="7"/>
  <c r="AO28" i="7"/>
  <c r="AO27" i="7"/>
  <c r="AL28" i="7"/>
  <c r="AG28" i="7"/>
  <c r="AL29" i="7"/>
  <c r="AF29" i="7"/>
  <c r="AG29" i="7"/>
  <c r="U10" i="7"/>
  <c r="U11" i="7"/>
  <c r="U13" i="7"/>
  <c r="U9" i="7"/>
  <c r="U15" i="7"/>
  <c r="U16" i="7"/>
  <c r="U5" i="7"/>
  <c r="U12" i="7"/>
  <c r="U6" i="7"/>
  <c r="U8" i="7"/>
  <c r="U14" i="7"/>
  <c r="U4" i="7"/>
  <c r="U7" i="7"/>
  <c r="M30" i="7"/>
  <c r="S29" i="7" s="1"/>
  <c r="AQ27" i="7" l="1"/>
  <c r="AS27" i="7"/>
  <c r="AQ28" i="7"/>
  <c r="AS28" i="7"/>
  <c r="AQ29" i="7"/>
  <c r="AS29" i="7"/>
  <c r="AK28" i="7"/>
  <c r="AN28" i="7" s="1"/>
  <c r="AJ27" i="7"/>
  <c r="AM27" i="7" s="1"/>
  <c r="AK29" i="7"/>
  <c r="AN29" i="7" s="1"/>
  <c r="AJ29" i="7"/>
  <c r="AM29" i="7" s="1"/>
  <c r="AK27" i="7"/>
  <c r="AN27" i="7" s="1"/>
  <c r="AJ28" i="7"/>
  <c r="AM28" i="7" s="1"/>
  <c r="M20" i="7"/>
  <c r="J20" i="7" s="1"/>
  <c r="G20" i="7" s="1"/>
  <c r="S27" i="7"/>
  <c r="S28" i="7"/>
  <c r="AR27" i="7" l="1"/>
  <c r="AT27" i="7"/>
  <c r="AR28" i="7"/>
  <c r="AT28" i="7"/>
  <c r="AR29" i="7"/>
  <c r="AT29" i="7"/>
  <c r="N20" i="7"/>
  <c r="K20" i="7" s="1"/>
  <c r="H20" i="7" s="1"/>
  <c r="O20" i="7"/>
  <c r="L20" i="7" s="1"/>
  <c r="I20" i="7" s="1"/>
  <c r="Z30" i="7" a="1"/>
  <c r="Z30" i="7" s="1"/>
  <c r="AA30" i="7" s="1"/>
  <c r="AC30" i="7" l="1"/>
  <c r="AB30" i="7" a="1"/>
  <c r="AB30" i="7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<sst xmlns="http://schemas.openxmlformats.org/spreadsheetml/2006/main" count="220" uniqueCount="42">
  <si>
    <t>N</t>
  </si>
  <si>
    <t>k</t>
  </si>
  <si>
    <t>odds</t>
  </si>
  <si>
    <t>ln(odds)</t>
  </si>
  <si>
    <t>95%lo</t>
  </si>
  <si>
    <t>95%hi</t>
  </si>
  <si>
    <t>prob</t>
  </si>
  <si>
    <t>w</t>
  </si>
  <si>
    <t>w%</t>
  </si>
  <si>
    <t>res</t>
  </si>
  <si>
    <t>w(RE)</t>
  </si>
  <si>
    <t>w(RE)%</t>
  </si>
  <si>
    <t>OR</t>
  </si>
  <si>
    <t>FE</t>
  </si>
  <si>
    <t>RE</t>
  </si>
  <si>
    <t>RIX Bernstein 1999-USA</t>
  </si>
  <si>
    <t>RIX Phua 2009-AS</t>
  </si>
  <si>
    <t>RIX Vesikari 2004b-FIN</t>
  </si>
  <si>
    <t>RIX Vesikari 2007a-EU</t>
  </si>
  <si>
    <t>RIX Li 2014-CHN</t>
  </si>
  <si>
    <t>RIX Ruiz-Palac 06-LA/EU</t>
  </si>
  <si>
    <t>RIX Salinas 2005-LA</t>
  </si>
  <si>
    <t>RIX Tregnaghi 2011-LA</t>
  </si>
  <si>
    <t>RIX Colgate 2016-BGD</t>
  </si>
  <si>
    <t>RIX Madhi 2010-MWI</t>
  </si>
  <si>
    <t>RIX Madhi 2010-ZAF</t>
  </si>
  <si>
    <t>RIX Steele 2010b-ZAF</t>
  </si>
  <si>
    <t>RIX Zaman 2017-BGD</t>
  </si>
  <si>
    <t>Study</t>
  </si>
  <si>
    <t>SE</t>
  </si>
  <si>
    <t>est</t>
  </si>
  <si>
    <t>Stratum</t>
  </si>
  <si>
    <t>Stratified</t>
  </si>
  <si>
    <t>Overall weights</t>
  </si>
  <si>
    <t>Stratified weights</t>
  </si>
  <si>
    <t>Vaccine</t>
  </si>
  <si>
    <t>Placebo</t>
  </si>
  <si>
    <t>ln(OR)</t>
  </si>
  <si>
    <t>Overall</t>
  </si>
  <si>
    <t>FT</t>
  </si>
  <si>
    <t>Treating baseline risk and treatment effect as uncertain</t>
  </si>
  <si>
    <t>Fixing baseline risk at mean; only treatment effect is uncertain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</si>
</sst>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0.0%"/>
    <numFmt numFmtId="165" formatCode="0.000"/>
    <numFmt numFmtId="166" formatCode="0.0"/>
    <numFmt numFmtId="167" formatCode="&quot;τ2=&quot;0.000"/>
    <numFmt numFmtId="168" formatCode="&quot;Q=&quot;0.00"/>
    <numFmt numFmtId="169" formatCode="&quot;I2=&quot;0.0%"/>
    <numFmt numFmtId="170" formatCode="0.00000000000000"/>
    <numFmt numFmtId="171" formatCode="&quot;p=&quot;0.000"/>
  </numFmts>
  <fonts count="3" x14ac:knownFonts="1">
    <font>
      <sz val="9"/>
      <color theme="1"/>
      <name val="Courier New"/>
      <family val="2"/>
    </font>
    <font>
      <sz val="9"/>
      <color theme="1"/>
      <name val="Courier New"/>
      <family val="2"/>
    </font>
    <font>
      <b/>
      <sz val="9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/>
    </xf>
    <xf numFmtId="164" fontId="0" fillId="0" borderId="0" xfId="1" applyNumberFormat="1" applyFont="1" applyAlignment="1">
      <alignment horizontal="center"/>
    </xf>
    <xf numFmtId="165" fontId="0" fillId="0" borderId="0" xfId="0" applyNumberFormat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164" fontId="0" fillId="0" borderId="1" xfId="1" applyNumberFormat="1" applyFont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168" fontId="0" fillId="0" borderId="0" xfId="0" applyNumberFormat="1" applyAlignment="1">
      <alignment horizontal="center"/>
    </xf>
    <xf numFmtId="170" fontId="0" fillId="0" borderId="0" xfId="0" applyNumberFormat="1"/>
    <xf numFmtId="0" fontId="2" fillId="0" borderId="1" xfId="0" applyFont="1" applyBorder="1" applyAlignment="1">
      <alignment horizontal="center" wrapText="1"/>
    </xf>
    <xf numFmtId="164" fontId="0" fillId="0" borderId="1" xfId="1" applyNumberFormat="1" applyFont="1" applyBorder="1"/>
    <xf numFmtId="168" fontId="0" fillId="0" borderId="1" xfId="0" applyNumberFormat="1" applyBorder="1" applyAlignment="1">
      <alignment horizontal="center"/>
    </xf>
    <xf numFmtId="167" fontId="0" fillId="0" borderId="1" xfId="0" applyNumberFormat="1" applyBorder="1" applyAlignment="1">
      <alignment horizontal="center"/>
    </xf>
    <xf numFmtId="169" fontId="0" fillId="0" borderId="1" xfId="1" applyNumberFormat="1" applyFont="1" applyBorder="1" applyAlignment="1">
      <alignment horizontal="center"/>
    </xf>
    <xf numFmtId="171" fontId="0" fillId="0" borderId="1" xfId="0" applyNumberFormat="1" applyBorder="1" applyAlignment="1">
      <alignment horizontal="center"/>
    </xf>
    <xf numFmtId="0" fontId="2" fillId="0" borderId="0" xfId="0" applyFont="1" applyBorder="1" applyAlignment="1">
      <alignment horizontal="center"/>
    </xf>
    <xf numFmtId="164" fontId="0" fillId="0" borderId="0" xfId="1" applyNumberFormat="1" applyFont="1" applyBorder="1" applyAlignment="1">
      <alignment horizontal="center"/>
    </xf>
    <xf numFmtId="170" fontId="0" fillId="0" borderId="0" xfId="0" applyNumberFormat="1" applyAlignment="1">
      <alignment horizontal="center"/>
    </xf>
    <xf numFmtId="0" fontId="0" fillId="0" borderId="0" xfId="1" applyNumberFormat="1" applyFont="1" applyBorder="1" applyAlignment="1">
      <alignment horizontal="center"/>
    </xf>
    <xf numFmtId="166" fontId="0" fillId="0" borderId="1" xfId="0" applyNumberFormat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165" fontId="0" fillId="0" borderId="1" xfId="1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23</xdr:col>
      <xdr:colOff>0</xdr:colOff>
      <xdr:row>0</xdr:row>
      <xdr:rowOff>0</xdr:rowOff>
    </xdr:from>
    <xdr:to>
      <xdr:col>23</xdr:col>
      <xdr:colOff>304800</xdr:colOff>
      <xdr:row>2</xdr:row>
      <xdr:rowOff>0</xdr:rowOff>
    </xdr:to>
    <xdr:sp macro="" textlink="">
      <xdr:nvSpPr>
        <xdr:cNvPr id="5121" name="AutoShape 1">
          <a:extLst>
            <a:ext uri="{FF2B5EF4-FFF2-40B4-BE49-F238E27FC236}">
              <a16:creationId xmlns:a16="http://schemas.microsoft.com/office/drawing/2014/main" id="{CA98568A-06D8-46AA-83F8-6C88BF6EF3E2}"/>
            </a:ext>
          </a:extLst>
        </xdr:cNvPr>
        <xdr:cNvSpPr>
          <a:spLocks noChangeAspect="1" noChangeArrowheads="1"/>
        </xdr:cNvSpPr>
      </xdr:nvSpPr>
      <xdr:spPr bwMode="auto">
        <a:xfrm>
          <a:off x="14754225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23</xdr:col>
      <xdr:colOff>0</xdr:colOff>
      <xdr:row>0</xdr:row>
      <xdr:rowOff>0</xdr:rowOff>
    </xdr:from>
    <xdr:to>
      <xdr:col>23</xdr:col>
      <xdr:colOff>304800</xdr:colOff>
      <xdr:row>2</xdr:row>
      <xdr:rowOff>0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386BBD02-9D9F-426E-A818-1086245F4426}"/>
            </a:ext>
          </a:extLst>
        </xdr:cNvPr>
        <xdr:cNvSpPr>
          <a:spLocks noChangeAspect="1" noChangeArrowheads="1"/>
        </xdr:cNvSpPr>
      </xdr:nvSpPr>
      <xdr:spPr bwMode="auto">
        <a:xfrm>
          <a:off x="148018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0</xdr:colOff>
      <xdr:row>0</xdr:row>
      <xdr:rowOff>0</xdr:rowOff>
    </xdr:from>
    <xdr:to>
      <xdr:col>21</xdr:col>
      <xdr:colOff>304800</xdr:colOff>
      <xdr:row>2</xdr:row>
      <xdr:rowOff>0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9BF93F26-AE06-403D-85FE-0E4C753328E4}"/>
            </a:ext>
          </a:extLst>
        </xdr:cNvPr>
        <xdr:cNvSpPr>
          <a:spLocks noChangeAspect="1" noChangeArrowheads="1"/>
        </xdr:cNvSpPr>
      </xdr:nvSpPr>
      <xdr:spPr bwMode="auto">
        <a:xfrm>
          <a:off x="16192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FA1F7-E3FB-45C4-8D31-759E67FEF2E3}">
  <sheetPr codeName="Sheet5"/>
  <dimension ref="B2:BI34"/>
  <sheetViews>
    <sheetView tabSelected="1" workbookViewId="0">
      <pane xSplit="3" ySplit="3" topLeftCell="E4" activePane="bottomRight" state="frozen"/>
      <selection pane="topRight" activeCell="D1" sqref="D1"/>
      <selection pane="bottomLeft" activeCell="A4" sqref="A4"/>
      <selection pane="bottomRight" activeCell="E4" sqref="E4"/>
    </sheetView>
  </sheetViews>
  <sheetFormatPr defaultRowHeight="12" x14ac:dyDescent="0.2"/>
  <cols>
    <col min="1" max="1" width="2.7109375" customWidth="1"/>
    <col min="2" max="2" width="9.140625" style="1"/>
    <col min="3" max="3" width="24.42578125" bestFit="1" customWidth="1"/>
    <col min="4" max="4" width="24.42578125" hidden="1" customWidth="1"/>
    <col min="5" max="18" width="9.5703125" customWidth="1"/>
    <col min="19" max="19" width="10.85546875" style="1" customWidth="1"/>
    <col min="20" max="21" width="10.85546875" customWidth="1"/>
    <col min="22" max="30" width="9.5703125" customWidth="1"/>
    <col min="41" max="41" width="12" bestFit="1" customWidth="1"/>
    <col min="42" max="42" width="11" bestFit="1" customWidth="1"/>
    <col min="43" max="43" width="12" bestFit="1" customWidth="1"/>
    <col min="44" max="44" width="11" bestFit="1" customWidth="1"/>
    <col min="45" max="45" width="18.28515625" bestFit="1" customWidth="1"/>
    <col min="46" max="46" width="23.42578125" bestFit="1" customWidth="1"/>
    <col min="56" max="56" width="12" bestFit="1" customWidth="1"/>
    <col min="57" max="57" width="11" bestFit="1" customWidth="1"/>
    <col min="58" max="58" width="12" bestFit="1" customWidth="1"/>
    <col min="59" max="59" width="11" bestFit="1" customWidth="1"/>
    <col min="60" max="60" width="18.28515625" bestFit="1" customWidth="1"/>
    <col min="61" max="61" width="23.42578125" bestFit="1" customWidth="1"/>
  </cols>
  <sheetData>
    <row r="2" spans="2:55" ht="12" customHeight="1" x14ac:dyDescent="0.25">
      <c r="B2" s="24" t="s">
        <v>31</v>
      </c>
      <c r="C2" s="25" t="s">
        <v>28</v>
      </c>
      <c r="D2" s="8"/>
      <c r="E2" s="24" t="s">
        <v>0</v>
      </c>
      <c r="F2" s="24" t="s">
        <v>1</v>
      </c>
      <c r="G2" s="24" t="s">
        <v>6</v>
      </c>
      <c r="H2" s="24"/>
      <c r="I2" s="24"/>
      <c r="J2" s="29" t="s">
        <v>2</v>
      </c>
      <c r="K2" s="30"/>
      <c r="L2" s="31"/>
      <c r="M2" s="24" t="s">
        <v>3</v>
      </c>
      <c r="N2" s="24"/>
      <c r="O2" s="24"/>
      <c r="P2" s="24"/>
      <c r="Q2" s="26" t="s">
        <v>33</v>
      </c>
      <c r="R2" s="27"/>
      <c r="S2" s="27"/>
      <c r="T2" s="27"/>
      <c r="U2" s="28"/>
      <c r="V2" s="26" t="s">
        <v>34</v>
      </c>
      <c r="W2" s="27"/>
      <c r="X2" s="28"/>
      <c r="Y2" s="19"/>
      <c r="Z2" s="19"/>
      <c r="AA2" s="19"/>
      <c r="AB2" s="19"/>
      <c r="AC2" s="19"/>
      <c r="AD2" s="19"/>
    </row>
    <row r="3" spans="2:55" ht="12.75" x14ac:dyDescent="0.25">
      <c r="B3" s="24"/>
      <c r="C3" s="25"/>
      <c r="D3" s="8"/>
      <c r="E3" s="24"/>
      <c r="F3" s="24"/>
      <c r="G3" s="10" t="s">
        <v>30</v>
      </c>
      <c r="H3" s="9" t="s">
        <v>4</v>
      </c>
      <c r="I3" s="9" t="s">
        <v>5</v>
      </c>
      <c r="J3" s="10" t="s">
        <v>30</v>
      </c>
      <c r="K3" s="9" t="s">
        <v>4</v>
      </c>
      <c r="L3" s="9" t="s">
        <v>5</v>
      </c>
      <c r="M3" s="10" t="s">
        <v>30</v>
      </c>
      <c r="N3" s="9" t="s">
        <v>4</v>
      </c>
      <c r="O3" s="9" t="s">
        <v>5</v>
      </c>
      <c r="P3" s="10" t="s">
        <v>29</v>
      </c>
      <c r="Q3" s="9" t="s">
        <v>7</v>
      </c>
      <c r="R3" s="9" t="s">
        <v>8</v>
      </c>
      <c r="S3" s="9" t="s">
        <v>9</v>
      </c>
      <c r="T3" s="9" t="s">
        <v>10</v>
      </c>
      <c r="U3" s="9" t="s">
        <v>11</v>
      </c>
      <c r="V3" s="9" t="s">
        <v>7</v>
      </c>
      <c r="W3" s="9" t="s">
        <v>10</v>
      </c>
      <c r="X3" s="9" t="s">
        <v>11</v>
      </c>
      <c r="Y3" s="19"/>
      <c r="Z3" s="19"/>
      <c r="AA3" s="19"/>
      <c r="AB3" s="19"/>
      <c r="AC3" s="19"/>
      <c r="AD3" s="19"/>
    </row>
    <row r="4" spans="2:55" x14ac:dyDescent="0.2">
      <c r="B4" s="4">
        <v>1</v>
      </c>
      <c r="C4" s="5" t="s">
        <v>15</v>
      </c>
      <c r="D4" s="5">
        <v>1999</v>
      </c>
      <c r="E4" s="4">
        <v>107</v>
      </c>
      <c r="F4" s="4">
        <v>9</v>
      </c>
      <c r="G4" s="6">
        <f t="shared" ref="G4:G16" si="0">F4/E4</f>
        <v>8.4112149532710276E-2</v>
      </c>
      <c r="H4" s="6">
        <f>_xlfn.BETA.INV(0.025, F4, E4-F4+1)</f>
        <v>3.9184440626252579E-2</v>
      </c>
      <c r="I4" s="6">
        <f>_xlfn.BETA.INV(0.975, F4+1, E4-F4)</f>
        <v>0.15367206789956411</v>
      </c>
      <c r="J4" s="7">
        <f t="shared" ref="J4:J16" si="1">F4/(E4-F4)</f>
        <v>9.1836734693877556E-2</v>
      </c>
      <c r="K4" s="7">
        <f t="shared" ref="K4:K16" si="2">EXP(N4)</f>
        <v>4.6402365699223208E-2</v>
      </c>
      <c r="L4" s="7">
        <f t="shared" ref="L4:L16" si="3">EXP(O4)</f>
        <v>0.18175766929432319</v>
      </c>
      <c r="M4" s="7">
        <f t="shared" ref="M4:M16" si="4">LN(J4)</f>
        <v>-2.3877429013343523</v>
      </c>
      <c r="N4" s="7">
        <f t="shared" ref="N4:N16" si="5">M4-P4*_xlfn.NORM.S.INV(0.975)</f>
        <v>-3.0704048361525613</v>
      </c>
      <c r="O4" s="7">
        <f t="shared" ref="O4:O16" si="6">M4+P4*_xlfn.NORM.S.INV(0.975)</f>
        <v>-1.7050809665161433</v>
      </c>
      <c r="P4" s="7">
        <f t="shared" ref="P4:P16" si="7">SQRT(1/F4+1/(E4-F4))</f>
        <v>0.34830330567447126</v>
      </c>
      <c r="Q4" s="7">
        <f t="shared" ref="Q4:Q16" si="8">1/P4^2</f>
        <v>8.2429906542056077</v>
      </c>
      <c r="R4" s="6">
        <f t="shared" ref="R4:R16" si="9">Q4/$Q$17</f>
        <v>1.9615505020009347E-2</v>
      </c>
      <c r="S4" s="7">
        <f t="shared" ref="S4:S16" si="10">M4-$M$19</f>
        <v>1.1530560430786454</v>
      </c>
      <c r="T4" s="7">
        <f t="shared" ref="T4:T16" si="11">1/(P4^2+$AB$19)</f>
        <v>0.80803735115901776</v>
      </c>
      <c r="U4" s="6">
        <f t="shared" ref="U4:U16" si="12">T4/$T$17</f>
        <v>7.3704548506966339E-2</v>
      </c>
      <c r="V4" s="6">
        <f t="shared" ref="V4:V16" si="13">Q4 / SUMIF($B$4:$B$16, $B4, $Q$4:$Q$16)</f>
        <v>9.671244552224488E-2</v>
      </c>
      <c r="W4" s="7" cm="1">
        <f t="array" ref="W4">1/(P4^2+INDEX($AB$22:$AB$24, $B4))</f>
        <v>0.39698541586993369</v>
      </c>
      <c r="X4" s="6">
        <f t="shared" ref="X4:X16" si="14">W4 / SUMIF($B$4:$B$16, $B4, $W$4:$W$16)</f>
        <v>0.24803742674033752</v>
      </c>
      <c r="Y4" s="20"/>
      <c r="Z4" s="20"/>
      <c r="AA4" s="20"/>
      <c r="AB4" s="20"/>
      <c r="AC4" s="20"/>
      <c r="AD4" s="20"/>
    </row>
    <row r="5" spans="2:55" x14ac:dyDescent="0.2">
      <c r="B5" s="4">
        <v>1</v>
      </c>
      <c r="C5" s="5" t="s">
        <v>17</v>
      </c>
      <c r="D5" s="5">
        <v>2004</v>
      </c>
      <c r="E5" s="4">
        <v>123</v>
      </c>
      <c r="F5" s="4">
        <v>5</v>
      </c>
      <c r="G5" s="6">
        <f t="shared" si="0"/>
        <v>4.065040650406504E-2</v>
      </c>
      <c r="H5" s="6">
        <f t="shared" ref="H5:H16" si="15">_xlfn.BETA.INV(0.025, F5, E5-F5+1)</f>
        <v>1.3328781968417499E-2</v>
      </c>
      <c r="I5" s="6">
        <f t="shared" ref="I5:I16" si="16">_xlfn.BETA.INV(0.975, F5+1, E5-F5)</f>
        <v>9.2315636882895347E-2</v>
      </c>
      <c r="J5" s="7">
        <f t="shared" si="1"/>
        <v>4.2372881355932202E-2</v>
      </c>
      <c r="K5" s="7">
        <f t="shared" si="2"/>
        <v>1.731560803338247E-2</v>
      </c>
      <c r="L5" s="7">
        <f t="shared" si="3"/>
        <v>0.10369032787889786</v>
      </c>
      <c r="M5" s="7">
        <f t="shared" si="4"/>
        <v>-3.1612467120315646</v>
      </c>
      <c r="N5" s="7">
        <f t="shared" si="5"/>
        <v>-4.0561469857534016</v>
      </c>
      <c r="O5" s="7">
        <f t="shared" si="6"/>
        <v>-2.2663464383097276</v>
      </c>
      <c r="P5" s="7">
        <f t="shared" si="7"/>
        <v>0.45659016225843768</v>
      </c>
      <c r="Q5" s="7">
        <f t="shared" si="8"/>
        <v>4.796747967479674</v>
      </c>
      <c r="R5" s="6">
        <f t="shared" si="9"/>
        <v>1.1414623379175098E-2</v>
      </c>
      <c r="S5" s="7">
        <f t="shared" si="10"/>
        <v>0.3795522323814331</v>
      </c>
      <c r="T5" s="7">
        <f t="shared" si="11"/>
        <v>0.75487311891241471</v>
      </c>
      <c r="U5" s="6">
        <f t="shared" si="12"/>
        <v>6.8855211123199478E-2</v>
      </c>
      <c r="V5" s="6">
        <f t="shared" si="13"/>
        <v>5.6278751966330386E-2</v>
      </c>
      <c r="W5" s="7" cm="1">
        <f t="array" ref="W5">1/(P5^2+INDEX($AB$22:$AB$24, $B5))</f>
        <v>0.38370870924187978</v>
      </c>
      <c r="X5" s="6">
        <f t="shared" si="14"/>
        <v>0.23974210903857132</v>
      </c>
      <c r="Y5" s="20"/>
      <c r="Z5" s="20"/>
      <c r="AA5" s="20"/>
      <c r="AB5" s="20"/>
      <c r="AC5" s="20"/>
      <c r="AD5" s="20"/>
    </row>
    <row r="6" spans="2:55" x14ac:dyDescent="0.2">
      <c r="B6" s="4">
        <v>2</v>
      </c>
      <c r="C6" s="5" t="s">
        <v>21</v>
      </c>
      <c r="D6" s="5">
        <v>2005</v>
      </c>
      <c r="E6" s="4">
        <v>517</v>
      </c>
      <c r="F6" s="4">
        <v>40</v>
      </c>
      <c r="G6" s="6">
        <f t="shared" si="0"/>
        <v>7.7369439071566737E-2</v>
      </c>
      <c r="H6" s="6">
        <f t="shared" si="15"/>
        <v>5.5846609628230411E-2</v>
      </c>
      <c r="I6" s="6">
        <f t="shared" si="16"/>
        <v>0.10386685705043786</v>
      </c>
      <c r="J6" s="7">
        <f t="shared" si="1"/>
        <v>8.385744234800839E-2</v>
      </c>
      <c r="K6" s="7">
        <f t="shared" si="2"/>
        <v>6.0733088581799127E-2</v>
      </c>
      <c r="L6" s="7">
        <f t="shared" si="3"/>
        <v>0.11578648149399348</v>
      </c>
      <c r="M6" s="7">
        <f t="shared" si="4"/>
        <v>-2.4786370367744048</v>
      </c>
      <c r="N6" s="7">
        <f t="shared" si="5"/>
        <v>-2.8012666127699548</v>
      </c>
      <c r="O6" s="7">
        <f t="shared" si="6"/>
        <v>-2.1560074607788549</v>
      </c>
      <c r="P6" s="7">
        <f t="shared" si="7"/>
        <v>0.16460995127482486</v>
      </c>
      <c r="Q6" s="7">
        <f t="shared" si="8"/>
        <v>36.905222437137319</v>
      </c>
      <c r="R6" s="6">
        <f t="shared" si="9"/>
        <v>8.7821836315061741E-2</v>
      </c>
      <c r="S6" s="7">
        <f t="shared" si="10"/>
        <v>1.0621619076385929</v>
      </c>
      <c r="T6" s="7">
        <f t="shared" si="11"/>
        <v>0.8746245040574484</v>
      </c>
      <c r="U6" s="6">
        <f t="shared" si="12"/>
        <v>7.9778247988436649E-2</v>
      </c>
      <c r="V6" s="6">
        <f t="shared" si="13"/>
        <v>0.20480198699189484</v>
      </c>
      <c r="W6" s="7" cm="1">
        <f t="array" ref="W6">1/(P6^2+INDEX($AB$22:$AB$24, $B6))</f>
        <v>0.87098817773982617</v>
      </c>
      <c r="X6" s="6">
        <f t="shared" si="14"/>
        <v>0.25074408598477643</v>
      </c>
      <c r="Y6" s="20"/>
      <c r="Z6" s="20"/>
      <c r="AA6" s="20"/>
      <c r="AB6" s="20"/>
      <c r="AC6" s="20"/>
      <c r="AD6" s="20"/>
    </row>
    <row r="7" spans="2:55" x14ac:dyDescent="0.2">
      <c r="B7" s="4">
        <v>2</v>
      </c>
      <c r="C7" s="5" t="s">
        <v>20</v>
      </c>
      <c r="D7" s="5">
        <v>2006</v>
      </c>
      <c r="E7" s="4">
        <v>10010</v>
      </c>
      <c r="F7" s="4">
        <v>94</v>
      </c>
      <c r="G7" s="6">
        <f t="shared" si="0"/>
        <v>9.3906093906093915E-3</v>
      </c>
      <c r="H7" s="6">
        <f t="shared" si="15"/>
        <v>7.5950460229443541E-3</v>
      </c>
      <c r="I7" s="6">
        <f t="shared" si="16"/>
        <v>1.1479635821026291E-2</v>
      </c>
      <c r="J7" s="7">
        <f t="shared" si="1"/>
        <v>9.479628882613958E-3</v>
      </c>
      <c r="K7" s="7">
        <f t="shared" si="2"/>
        <v>7.7371577326418627E-3</v>
      </c>
      <c r="L7" s="7">
        <f t="shared" si="3"/>
        <v>1.1614518775152944E-2</v>
      </c>
      <c r="M7" s="7">
        <f t="shared" si="4"/>
        <v>-4.6586101108850775</v>
      </c>
      <c r="N7" s="7">
        <f t="shared" si="5"/>
        <v>-4.861720876826471</v>
      </c>
      <c r="O7" s="7">
        <f t="shared" si="6"/>
        <v>-4.4554993449436839</v>
      </c>
      <c r="P7" s="7">
        <f t="shared" si="7"/>
        <v>0.10362984602957255</v>
      </c>
      <c r="Q7" s="7">
        <f t="shared" si="8"/>
        <v>93.11728271728272</v>
      </c>
      <c r="R7" s="6">
        <f t="shared" si="9"/>
        <v>0.22158735866800713</v>
      </c>
      <c r="S7" s="7">
        <f t="shared" si="10"/>
        <v>-1.1178111664720798</v>
      </c>
      <c r="T7" s="7">
        <f t="shared" si="11"/>
        <v>0.88731892119215405</v>
      </c>
      <c r="U7" s="6">
        <f t="shared" si="12"/>
        <v>8.0936160159366041E-2</v>
      </c>
      <c r="V7" s="6">
        <f t="shared" si="13"/>
        <v>0.51674541607951374</v>
      </c>
      <c r="W7" s="7" cm="1">
        <f t="array" ref="W7">1/(P7^2+INDEX($AB$22:$AB$24, $B7))</f>
        <v>0.8835764984236637</v>
      </c>
      <c r="X7" s="6">
        <f t="shared" si="14"/>
        <v>0.25436806969043696</v>
      </c>
      <c r="Y7" s="20"/>
      <c r="Z7" s="20"/>
      <c r="AA7" s="20"/>
      <c r="AB7" s="20"/>
      <c r="AC7" s="20"/>
      <c r="AD7" s="20"/>
    </row>
    <row r="8" spans="2:55" x14ac:dyDescent="0.2">
      <c r="B8" s="4">
        <v>1</v>
      </c>
      <c r="C8" s="5" t="s">
        <v>18</v>
      </c>
      <c r="D8" s="5">
        <v>2007</v>
      </c>
      <c r="E8" s="4">
        <v>1302</v>
      </c>
      <c r="F8" s="4">
        <v>60</v>
      </c>
      <c r="G8" s="6">
        <f t="shared" si="0"/>
        <v>4.6082949308755762E-2</v>
      </c>
      <c r="H8" s="6">
        <f t="shared" si="15"/>
        <v>3.5347384920965653E-2</v>
      </c>
      <c r="I8" s="6">
        <f t="shared" si="16"/>
        <v>5.8922670113666586E-2</v>
      </c>
      <c r="J8" s="7">
        <f t="shared" si="1"/>
        <v>4.8309178743961352E-2</v>
      </c>
      <c r="K8" s="7">
        <f t="shared" si="2"/>
        <v>3.7283525664194316E-2</v>
      </c>
      <c r="L8" s="7">
        <f t="shared" si="3"/>
        <v>6.2595387891582324E-2</v>
      </c>
      <c r="M8" s="7">
        <f t="shared" si="4"/>
        <v>-3.0301337002713233</v>
      </c>
      <c r="N8" s="7">
        <f t="shared" si="5"/>
        <v>-3.2892037210990459</v>
      </c>
      <c r="O8" s="7">
        <f t="shared" si="6"/>
        <v>-2.7710636794436008</v>
      </c>
      <c r="P8" s="7">
        <f t="shared" si="7"/>
        <v>0.13218101091205456</v>
      </c>
      <c r="Q8" s="7">
        <f t="shared" si="8"/>
        <v>57.235023041474669</v>
      </c>
      <c r="R8" s="6">
        <f t="shared" si="9"/>
        <v>0.13619982466164679</v>
      </c>
      <c r="S8" s="7">
        <f t="shared" si="10"/>
        <v>0.51066524414167436</v>
      </c>
      <c r="T8" s="7">
        <f t="shared" si="11"/>
        <v>0.8820495311719736</v>
      </c>
      <c r="U8" s="6">
        <f t="shared" si="12"/>
        <v>8.0455516521064627E-2</v>
      </c>
      <c r="V8" s="6">
        <f t="shared" si="13"/>
        <v>0.67152072349358982</v>
      </c>
      <c r="W8" s="7" cm="1">
        <f t="array" ref="W8">1/(P8^2+INDEX($AB$22:$AB$24, $B8))</f>
        <v>0.41405452578451474</v>
      </c>
      <c r="X8" s="6">
        <f t="shared" si="14"/>
        <v>0.25870224698488725</v>
      </c>
      <c r="Y8" s="20"/>
      <c r="Z8" s="20"/>
      <c r="AA8" s="20"/>
      <c r="AB8" s="20"/>
      <c r="AC8" s="20"/>
      <c r="AD8" s="20"/>
    </row>
    <row r="9" spans="2:55" x14ac:dyDescent="0.2">
      <c r="B9" s="4">
        <v>1</v>
      </c>
      <c r="C9" s="5" t="s">
        <v>16</v>
      </c>
      <c r="D9" s="5">
        <v>2009</v>
      </c>
      <c r="E9" s="4">
        <v>5256</v>
      </c>
      <c r="F9" s="4">
        <v>15</v>
      </c>
      <c r="G9" s="6">
        <f t="shared" si="0"/>
        <v>2.8538812785388126E-3</v>
      </c>
      <c r="H9" s="6">
        <f t="shared" si="15"/>
        <v>1.5981482456538841E-3</v>
      </c>
      <c r="I9" s="6">
        <f t="shared" si="16"/>
        <v>4.7026815012304324E-3</v>
      </c>
      <c r="J9" s="7">
        <f t="shared" si="1"/>
        <v>2.8620492272467086E-3</v>
      </c>
      <c r="K9" s="7">
        <f t="shared" si="2"/>
        <v>1.7241836444751239E-3</v>
      </c>
      <c r="L9" s="7">
        <f t="shared" si="3"/>
        <v>4.750842989046611E-3</v>
      </c>
      <c r="M9" s="7">
        <f t="shared" si="4"/>
        <v>-5.8562173976999565</v>
      </c>
      <c r="N9" s="7">
        <f t="shared" si="5"/>
        <v>-6.3630015900963777</v>
      </c>
      <c r="O9" s="7">
        <f t="shared" si="6"/>
        <v>-5.3494332053035354</v>
      </c>
      <c r="P9" s="7">
        <f t="shared" si="7"/>
        <v>0.25856811471734698</v>
      </c>
      <c r="Q9" s="7">
        <f t="shared" si="8"/>
        <v>14.957191780821921</v>
      </c>
      <c r="R9" s="6">
        <f t="shared" si="9"/>
        <v>3.5593012629738296E-2</v>
      </c>
      <c r="S9" s="7">
        <f t="shared" si="10"/>
        <v>-2.3154184532869588</v>
      </c>
      <c r="T9" s="7">
        <f t="shared" si="11"/>
        <v>0.84523077996725127</v>
      </c>
      <c r="U9" s="6">
        <f t="shared" si="12"/>
        <v>7.7097120488700599E-2</v>
      </c>
      <c r="V9" s="6">
        <f t="shared" si="13"/>
        <v>0.17548807901783497</v>
      </c>
      <c r="W9" s="7" cm="1">
        <f t="array" ref="W9">1/(P9^2+INDEX($AB$22:$AB$24, $B9))</f>
        <v>0.40575745452108164</v>
      </c>
      <c r="X9" s="6">
        <f t="shared" si="14"/>
        <v>0.25351821723620399</v>
      </c>
      <c r="Y9" s="20"/>
      <c r="Z9" s="20"/>
      <c r="AA9" s="20"/>
      <c r="AB9" s="20"/>
      <c r="AC9" s="20"/>
      <c r="AD9" s="20"/>
    </row>
    <row r="10" spans="2:55" x14ac:dyDescent="0.2">
      <c r="B10" s="4">
        <v>3</v>
      </c>
      <c r="C10" s="5" t="s">
        <v>24</v>
      </c>
      <c r="D10" s="5">
        <v>2010</v>
      </c>
      <c r="E10" s="4">
        <v>591</v>
      </c>
      <c r="F10" s="4">
        <v>47</v>
      </c>
      <c r="G10" s="6">
        <f t="shared" si="0"/>
        <v>7.952622673434856E-2</v>
      </c>
      <c r="H10" s="6">
        <f t="shared" si="15"/>
        <v>5.9015713938736857E-2</v>
      </c>
      <c r="I10" s="6">
        <f t="shared" si="16"/>
        <v>0.10435126542472395</v>
      </c>
      <c r="J10" s="7">
        <f t="shared" si="1"/>
        <v>8.639705882352941E-2</v>
      </c>
      <c r="K10" s="7">
        <f t="shared" si="2"/>
        <v>6.4133656334653857E-2</v>
      </c>
      <c r="L10" s="7">
        <f t="shared" si="3"/>
        <v>0.11638899448374457</v>
      </c>
      <c r="M10" s="7">
        <f t="shared" si="4"/>
        <v>-2.4488016451458843</v>
      </c>
      <c r="N10" s="7">
        <f t="shared" si="5"/>
        <v>-2.7467859930281966</v>
      </c>
      <c r="O10" s="7">
        <f t="shared" si="6"/>
        <v>-2.150817297263572</v>
      </c>
      <c r="P10" s="7">
        <f t="shared" si="7"/>
        <v>0.15203562424247319</v>
      </c>
      <c r="Q10" s="7">
        <f t="shared" si="8"/>
        <v>43.262267343485611</v>
      </c>
      <c r="R10" s="6">
        <f t="shared" si="9"/>
        <v>0.10294943399215956</v>
      </c>
      <c r="S10" s="7">
        <f t="shared" si="10"/>
        <v>1.0919972992671134</v>
      </c>
      <c r="T10" s="7">
        <f t="shared" si="11"/>
        <v>0.8776809483684207</v>
      </c>
      <c r="U10" s="6">
        <f t="shared" si="12"/>
        <v>8.0057039368134353E-2</v>
      </c>
      <c r="V10" s="6">
        <f t="shared" si="13"/>
        <v>0.27947773430972322</v>
      </c>
      <c r="W10" s="7" cm="1">
        <f t="array" ref="W10">1/(P10^2+INDEX($AB$22:$AB$24, $B10))</f>
        <v>1.5112568360844398</v>
      </c>
      <c r="X10" s="6">
        <f t="shared" si="14"/>
        <v>0.214928843168084</v>
      </c>
      <c r="Y10" s="20"/>
      <c r="Z10" s="20"/>
      <c r="AA10" s="20"/>
      <c r="AB10" s="20"/>
      <c r="AC10" s="20"/>
      <c r="AD10" s="20"/>
    </row>
    <row r="11" spans="2:55" x14ac:dyDescent="0.2">
      <c r="B11" s="4">
        <v>3</v>
      </c>
      <c r="C11" s="5" t="s">
        <v>25</v>
      </c>
      <c r="D11" s="5">
        <v>2010</v>
      </c>
      <c r="E11" s="4">
        <v>1050</v>
      </c>
      <c r="F11" s="4">
        <v>36</v>
      </c>
      <c r="G11" s="6">
        <f t="shared" si="0"/>
        <v>3.4285714285714287E-2</v>
      </c>
      <c r="H11" s="6">
        <f t="shared" si="15"/>
        <v>2.4126563219279577E-2</v>
      </c>
      <c r="I11" s="6">
        <f t="shared" si="16"/>
        <v>4.7151871613940077E-2</v>
      </c>
      <c r="J11" s="7">
        <f t="shared" si="1"/>
        <v>3.5502958579881658E-2</v>
      </c>
      <c r="K11" s="7">
        <f t="shared" si="2"/>
        <v>2.5462511499450637E-2</v>
      </c>
      <c r="L11" s="7">
        <f t="shared" si="3"/>
        <v>4.9502582176624149E-2</v>
      </c>
      <c r="M11" s="7">
        <f t="shared" si="4"/>
        <v>-3.3381392456950185</v>
      </c>
      <c r="N11" s="7">
        <f t="shared" si="5"/>
        <v>-3.6705480458063149</v>
      </c>
      <c r="O11" s="7">
        <f t="shared" si="6"/>
        <v>-3.0057304455837222</v>
      </c>
      <c r="P11" s="7">
        <f t="shared" si="7"/>
        <v>0.16959944301696095</v>
      </c>
      <c r="Q11" s="7">
        <f t="shared" si="8"/>
        <v>34.765714285714282</v>
      </c>
      <c r="R11" s="6">
        <f t="shared" si="9"/>
        <v>8.2730536974187502E-2</v>
      </c>
      <c r="S11" s="7">
        <f t="shared" si="10"/>
        <v>0.20265969871797918</v>
      </c>
      <c r="T11" s="7">
        <f t="shared" si="11"/>
        <v>0.87335075082217473</v>
      </c>
      <c r="U11" s="6">
        <f t="shared" si="12"/>
        <v>7.966206349896908E-2</v>
      </c>
      <c r="V11" s="6">
        <f t="shared" si="13"/>
        <v>0.22458931666912893</v>
      </c>
      <c r="W11" s="7" cm="1">
        <f t="array" ref="W11">1/(P11^2+INDEX($AB$22:$AB$24, $B11))</f>
        <v>1.49846399716474</v>
      </c>
      <c r="X11" s="6">
        <f t="shared" si="14"/>
        <v>0.21310946342786022</v>
      </c>
      <c r="Y11" s="20"/>
      <c r="Z11" s="20"/>
      <c r="AA11" s="20"/>
      <c r="AB11" s="20"/>
      <c r="AC11" s="20"/>
      <c r="AD11" s="20"/>
    </row>
    <row r="12" spans="2:55" x14ac:dyDescent="0.2">
      <c r="B12" s="4">
        <v>3</v>
      </c>
      <c r="C12" s="5" t="s">
        <v>26</v>
      </c>
      <c r="D12" s="5">
        <v>2010</v>
      </c>
      <c r="E12" s="4">
        <v>96</v>
      </c>
      <c r="F12" s="4">
        <v>3</v>
      </c>
      <c r="G12" s="6">
        <f t="shared" si="0"/>
        <v>3.125E-2</v>
      </c>
      <c r="H12" s="6">
        <f t="shared" si="15"/>
        <v>6.4914547698643344E-3</v>
      </c>
      <c r="I12" s="6">
        <f t="shared" si="16"/>
        <v>8.8618099661560978E-2</v>
      </c>
      <c r="J12" s="7">
        <f t="shared" si="1"/>
        <v>3.2258064516129031E-2</v>
      </c>
      <c r="K12" s="7">
        <f t="shared" si="2"/>
        <v>1.0217233148199022E-2</v>
      </c>
      <c r="L12" s="7">
        <f t="shared" si="3"/>
        <v>0.10184584331523892</v>
      </c>
      <c r="M12" s="7">
        <f t="shared" si="4"/>
        <v>-3.4339872044851463</v>
      </c>
      <c r="N12" s="7">
        <f t="shared" si="5"/>
        <v>-4.5836794599993667</v>
      </c>
      <c r="O12" s="7">
        <f t="shared" si="6"/>
        <v>-2.2842949489709259</v>
      </c>
      <c r="P12" s="7">
        <f t="shared" si="7"/>
        <v>0.5865884600854131</v>
      </c>
      <c r="Q12" s="7">
        <f t="shared" si="8"/>
        <v>2.9062500000000009</v>
      </c>
      <c r="R12" s="6">
        <f t="shared" si="9"/>
        <v>6.9158833069059332E-3</v>
      </c>
      <c r="S12" s="7">
        <f t="shared" si="10"/>
        <v>0.10681173992785142</v>
      </c>
      <c r="T12" s="7">
        <f t="shared" si="11"/>
        <v>0.68477326674953087</v>
      </c>
      <c r="U12" s="6">
        <f t="shared" si="12"/>
        <v>6.246110329308549E-2</v>
      </c>
      <c r="V12" s="6">
        <f t="shared" si="13"/>
        <v>1.8774609266056844E-2</v>
      </c>
      <c r="W12" s="7" cm="1">
        <f t="array" ref="W12">1/(P12^2+INDEX($AB$22:$AB$24, $B12))</f>
        <v>1.0176334664137785</v>
      </c>
      <c r="X12" s="6">
        <f t="shared" si="14"/>
        <v>0.14472641478474677</v>
      </c>
      <c r="Y12" s="20"/>
      <c r="Z12" s="20"/>
      <c r="AA12" s="20"/>
      <c r="AB12" s="20"/>
      <c r="AC12" s="20"/>
      <c r="AD12" s="20"/>
    </row>
    <row r="13" spans="2:55" x14ac:dyDescent="0.2">
      <c r="B13" s="4">
        <v>2</v>
      </c>
      <c r="C13" s="5" t="s">
        <v>22</v>
      </c>
      <c r="D13" s="5">
        <v>2011</v>
      </c>
      <c r="E13" s="4">
        <v>2099</v>
      </c>
      <c r="F13" s="4">
        <v>19</v>
      </c>
      <c r="G13" s="6">
        <f t="shared" si="0"/>
        <v>9.0519294902334443E-3</v>
      </c>
      <c r="H13" s="6">
        <f t="shared" si="15"/>
        <v>5.4583991839776795E-3</v>
      </c>
      <c r="I13" s="6">
        <f t="shared" si="16"/>
        <v>1.4099762249063952E-2</v>
      </c>
      <c r="J13" s="7">
        <f t="shared" si="1"/>
        <v>9.1346153846153851E-3</v>
      </c>
      <c r="K13" s="7">
        <f t="shared" si="2"/>
        <v>5.814620397137267E-3</v>
      </c>
      <c r="L13" s="7">
        <f t="shared" si="3"/>
        <v>1.4350240002930014E-2</v>
      </c>
      <c r="M13" s="7">
        <f t="shared" si="4"/>
        <v>-4.6956841935289235</v>
      </c>
      <c r="N13" s="7">
        <f t="shared" si="5"/>
        <v>-5.147379775084338</v>
      </c>
      <c r="O13" s="7">
        <f t="shared" si="6"/>
        <v>-4.2439886119735091</v>
      </c>
      <c r="P13" s="7">
        <f t="shared" si="7"/>
        <v>0.23046116414298018</v>
      </c>
      <c r="Q13" s="7">
        <f t="shared" si="8"/>
        <v>18.828013339685565</v>
      </c>
      <c r="R13" s="6">
        <f t="shared" si="9"/>
        <v>4.4804247108174995E-2</v>
      </c>
      <c r="S13" s="7">
        <f t="shared" si="10"/>
        <v>-1.1548852491159258</v>
      </c>
      <c r="T13" s="7">
        <f t="shared" si="11"/>
        <v>0.85516592666552849</v>
      </c>
      <c r="U13" s="6">
        <f t="shared" si="12"/>
        <v>7.8003347782150165E-2</v>
      </c>
      <c r="V13" s="6">
        <f t="shared" si="13"/>
        <v>0.10448425150791776</v>
      </c>
      <c r="W13" s="7" cm="1">
        <f t="array" ref="W13">1/(P13^2+INDEX($AB$22:$AB$24, $B13))</f>
        <v>0.85168928029944946</v>
      </c>
      <c r="X13" s="6">
        <f t="shared" si="14"/>
        <v>0.2451882305519755</v>
      </c>
      <c r="Y13" s="20"/>
      <c r="Z13" s="20"/>
      <c r="AA13" s="20"/>
      <c r="AB13" s="20"/>
      <c r="AC13" s="20"/>
      <c r="AD13" s="20"/>
    </row>
    <row r="14" spans="2:55" x14ac:dyDescent="0.2">
      <c r="B14" s="4">
        <v>2</v>
      </c>
      <c r="C14" s="5" t="s">
        <v>19</v>
      </c>
      <c r="D14" s="5">
        <v>2014</v>
      </c>
      <c r="E14" s="4">
        <v>1573</v>
      </c>
      <c r="F14" s="4">
        <v>32</v>
      </c>
      <c r="G14" s="6">
        <f t="shared" si="0"/>
        <v>2.0343293070565798E-2</v>
      </c>
      <c r="H14" s="6">
        <f t="shared" si="15"/>
        <v>1.3955394013858717E-2</v>
      </c>
      <c r="I14" s="6">
        <f t="shared" si="16"/>
        <v>2.8598146840828287E-2</v>
      </c>
      <c r="J14" s="7">
        <f t="shared" si="1"/>
        <v>2.0765736534717714E-2</v>
      </c>
      <c r="K14" s="7">
        <f t="shared" si="2"/>
        <v>1.4632564065513127E-2</v>
      </c>
      <c r="L14" s="7">
        <f t="shared" si="3"/>
        <v>2.9469600262719792E-2</v>
      </c>
      <c r="M14" s="7">
        <f t="shared" si="4"/>
        <v>-3.8744509325203893</v>
      </c>
      <c r="N14" s="7">
        <f t="shared" si="5"/>
        <v>-4.2245058185058602</v>
      </c>
      <c r="O14" s="7">
        <f t="shared" si="6"/>
        <v>-3.5243960465349189</v>
      </c>
      <c r="P14" s="7">
        <f t="shared" si="7"/>
        <v>0.17860271349201257</v>
      </c>
      <c r="Q14" s="7">
        <f t="shared" si="8"/>
        <v>31.349014621741897</v>
      </c>
      <c r="R14" s="6">
        <f t="shared" si="9"/>
        <v>7.4599957646608081E-2</v>
      </c>
      <c r="S14" s="7">
        <f t="shared" si="10"/>
        <v>-0.33365198810739161</v>
      </c>
      <c r="T14" s="7">
        <f t="shared" si="11"/>
        <v>0.87096611693185377</v>
      </c>
      <c r="U14" s="6">
        <f t="shared" si="12"/>
        <v>7.9444550825837804E-2</v>
      </c>
      <c r="V14" s="6">
        <f t="shared" si="13"/>
        <v>0.17396834542067377</v>
      </c>
      <c r="W14" s="7" cm="1">
        <f t="array" ref="W14">1/(P14^2+INDEX($AB$22:$AB$24, $B14))</f>
        <v>0.86736008439905332</v>
      </c>
      <c r="X14" s="6">
        <f t="shared" si="14"/>
        <v>0.24969961377281114</v>
      </c>
      <c r="Y14" s="20"/>
      <c r="Z14" s="20"/>
      <c r="AA14" s="20"/>
      <c r="AB14" s="20"/>
      <c r="AC14" s="20"/>
      <c r="AD14" s="20"/>
    </row>
    <row r="15" spans="2:55" x14ac:dyDescent="0.2">
      <c r="B15" s="4">
        <v>3</v>
      </c>
      <c r="C15" s="5" t="s">
        <v>23</v>
      </c>
      <c r="D15" s="5">
        <v>2016</v>
      </c>
      <c r="E15" s="4">
        <v>350</v>
      </c>
      <c r="F15" s="4">
        <v>39</v>
      </c>
      <c r="G15" s="6">
        <f t="shared" si="0"/>
        <v>0.11142857142857143</v>
      </c>
      <c r="H15" s="6">
        <f t="shared" si="15"/>
        <v>8.0446539173731971E-2</v>
      </c>
      <c r="I15" s="6">
        <f t="shared" si="16"/>
        <v>0.14916827664819099</v>
      </c>
      <c r="J15" s="7">
        <f t="shared" si="1"/>
        <v>0.12540192926045016</v>
      </c>
      <c r="K15" s="7">
        <f t="shared" si="2"/>
        <v>8.9889507570569127E-2</v>
      </c>
      <c r="L15" s="7">
        <f t="shared" si="3"/>
        <v>0.17494415407601707</v>
      </c>
      <c r="M15" s="7">
        <f t="shared" si="4"/>
        <v>-2.0762312660495876</v>
      </c>
      <c r="N15" s="7">
        <f t="shared" si="5"/>
        <v>-2.4091740565454516</v>
      </c>
      <c r="O15" s="7">
        <f t="shared" si="6"/>
        <v>-1.7432884755537237</v>
      </c>
      <c r="P15" s="7">
        <f t="shared" si="7"/>
        <v>0.16987189209703565</v>
      </c>
      <c r="Q15" s="7">
        <f t="shared" si="8"/>
        <v>34.654285714285713</v>
      </c>
      <c r="R15" s="6">
        <f t="shared" si="9"/>
        <v>8.2465374996706142E-2</v>
      </c>
      <c r="S15" s="7">
        <f t="shared" si="10"/>
        <v>1.4645676783634101</v>
      </c>
      <c r="T15" s="7">
        <f t="shared" si="11"/>
        <v>0.87328021158294866</v>
      </c>
      <c r="U15" s="6">
        <f t="shared" si="12"/>
        <v>7.9655629312762558E-2</v>
      </c>
      <c r="V15" s="6">
        <f t="shared" si="13"/>
        <v>0.22386947911570226</v>
      </c>
      <c r="W15" s="7" cm="1">
        <f t="array" ref="W15">1/(P15^2+INDEX($AB$22:$AB$24, $B15))</f>
        <v>1.4982563524435348</v>
      </c>
      <c r="X15" s="6">
        <f t="shared" si="14"/>
        <v>0.2130799324847055</v>
      </c>
      <c r="Y15" s="20"/>
      <c r="Z15" s="20"/>
      <c r="AA15" s="20"/>
      <c r="AB15" s="20"/>
      <c r="AC15" s="20"/>
      <c r="AD15" s="20"/>
    </row>
    <row r="16" spans="2:55" ht="12.75" x14ac:dyDescent="0.25">
      <c r="B16" s="4">
        <v>3</v>
      </c>
      <c r="C16" s="5" t="s">
        <v>27</v>
      </c>
      <c r="D16" s="5">
        <v>2017</v>
      </c>
      <c r="E16" s="4">
        <v>2021</v>
      </c>
      <c r="F16" s="4">
        <v>40</v>
      </c>
      <c r="G16" s="6">
        <f t="shared" si="0"/>
        <v>1.9792182088075209E-2</v>
      </c>
      <c r="H16" s="6">
        <f t="shared" si="15"/>
        <v>1.4176540934804726E-2</v>
      </c>
      <c r="I16" s="6">
        <f t="shared" si="16"/>
        <v>2.6854632142366386E-2</v>
      </c>
      <c r="J16" s="7">
        <f t="shared" si="1"/>
        <v>2.0191822311963654E-2</v>
      </c>
      <c r="K16" s="7">
        <f t="shared" si="2"/>
        <v>1.4765112115802266E-2</v>
      </c>
      <c r="L16" s="7">
        <f t="shared" si="3"/>
        <v>2.7613043848245811E-2</v>
      </c>
      <c r="M16" s="7">
        <f t="shared" si="4"/>
        <v>-3.9024775925846145</v>
      </c>
      <c r="N16" s="7">
        <f t="shared" si="5"/>
        <v>-4.2154881704657905</v>
      </c>
      <c r="O16" s="7">
        <f t="shared" si="6"/>
        <v>-3.5894670147034384</v>
      </c>
      <c r="P16" s="7">
        <f t="shared" si="7"/>
        <v>0.15970220899473836</v>
      </c>
      <c r="Q16" s="7">
        <f t="shared" si="8"/>
        <v>39.208312716476996</v>
      </c>
      <c r="R16" s="6">
        <f t="shared" si="9"/>
        <v>9.3302405301619193E-2</v>
      </c>
      <c r="S16" s="7">
        <f t="shared" si="10"/>
        <v>-0.36167864817161677</v>
      </c>
      <c r="T16" s="7">
        <f t="shared" si="11"/>
        <v>0.8758437554498737</v>
      </c>
      <c r="U16" s="6">
        <f t="shared" si="12"/>
        <v>7.9889461131327014E-2</v>
      </c>
      <c r="V16" s="6">
        <f t="shared" si="13"/>
        <v>0.25328886063938866</v>
      </c>
      <c r="W16" s="7" cm="1">
        <f t="array" ref="W16">1/(P16^2+INDEX($AB$22:$AB$24, $B16))</f>
        <v>1.5058180468446711</v>
      </c>
      <c r="X16" s="6">
        <f t="shared" si="14"/>
        <v>0.21415534613460346</v>
      </c>
      <c r="Y16" s="20"/>
      <c r="Z16" s="20"/>
      <c r="AA16" s="20"/>
      <c r="AB16" s="20"/>
      <c r="AC16" s="20"/>
      <c r="AD16" s="20"/>
      <c r="AE16" s="26" t="s">
        <v>40</v>
      </c>
      <c r="AF16" s="27"/>
      <c r="AG16" s="27"/>
      <c r="AH16" s="27"/>
      <c r="AI16" s="27"/>
      <c r="AJ16" s="27"/>
      <c r="AK16" s="27"/>
      <c r="AL16" s="27"/>
      <c r="AM16" s="27"/>
      <c r="AN16" s="28"/>
      <c r="AV16" s="26" t="s">
        <v>41</v>
      </c>
      <c r="AW16" s="27"/>
      <c r="AX16" s="27"/>
      <c r="AY16" s="27"/>
      <c r="AZ16" s="27"/>
      <c r="BA16" s="27"/>
      <c r="BB16" s="27"/>
      <c r="BC16" s="28"/>
    </row>
    <row r="17" spans="2:61" ht="12.75" x14ac:dyDescent="0.25">
      <c r="E17" s="1"/>
      <c r="F17" s="1"/>
      <c r="G17" s="2"/>
      <c r="H17" s="2"/>
      <c r="I17" s="2"/>
      <c r="J17" s="1"/>
      <c r="K17" s="1"/>
      <c r="L17" s="1"/>
      <c r="M17" s="1"/>
      <c r="N17" s="1"/>
      <c r="O17" s="1"/>
      <c r="P17" s="1"/>
      <c r="Q17" s="7">
        <f>SUM(Q4:Q16)</f>
        <v>420.22831661979205</v>
      </c>
      <c r="R17" s="1"/>
      <c r="T17" s="7">
        <f>SUM(T4:T16)</f>
        <v>10.963195183030589</v>
      </c>
      <c r="U17" s="1"/>
      <c r="AE17" s="24" t="s">
        <v>3</v>
      </c>
      <c r="AF17" s="24"/>
      <c r="AG17" s="24"/>
      <c r="AH17" s="24"/>
      <c r="AI17" s="24" t="s">
        <v>2</v>
      </c>
      <c r="AJ17" s="24"/>
      <c r="AK17" s="24"/>
      <c r="AL17" s="24" t="s">
        <v>6</v>
      </c>
      <c r="AM17" s="24"/>
      <c r="AN17" s="24"/>
      <c r="AV17" s="24" t="s">
        <v>3</v>
      </c>
      <c r="AW17" s="24"/>
      <c r="AX17" s="24" t="s">
        <v>2</v>
      </c>
      <c r="AY17" s="24"/>
      <c r="AZ17" s="24"/>
      <c r="BA17" s="24" t="s">
        <v>6</v>
      </c>
      <c r="BB17" s="24"/>
      <c r="BC17" s="24"/>
    </row>
    <row r="18" spans="2:61" ht="12.75" x14ac:dyDescent="0.25">
      <c r="E18" s="1"/>
      <c r="F18" s="1"/>
      <c r="G18" s="2"/>
      <c r="H18" s="2"/>
      <c r="I18" s="2"/>
      <c r="J18" s="1"/>
      <c r="K18" s="1"/>
      <c r="L18" s="1"/>
      <c r="M18" s="1"/>
      <c r="N18" s="1"/>
      <c r="O18" s="1"/>
      <c r="P18" s="1"/>
      <c r="Q18" s="1"/>
      <c r="R18" s="1"/>
      <c r="T18" s="3"/>
      <c r="U18" s="1"/>
      <c r="AE18" s="13" t="s">
        <v>30</v>
      </c>
      <c r="AF18" s="9" t="s">
        <v>4</v>
      </c>
      <c r="AG18" s="9" t="s">
        <v>5</v>
      </c>
      <c r="AH18" s="13" t="s">
        <v>29</v>
      </c>
      <c r="AI18" s="13" t="s">
        <v>30</v>
      </c>
      <c r="AJ18" s="9" t="s">
        <v>4</v>
      </c>
      <c r="AK18" s="9" t="s">
        <v>5</v>
      </c>
      <c r="AL18" s="13" t="s">
        <v>30</v>
      </c>
      <c r="AM18" s="9" t="s">
        <v>4</v>
      </c>
      <c r="AN18" s="9" t="s">
        <v>5</v>
      </c>
      <c r="AV18" s="9" t="s">
        <v>4</v>
      </c>
      <c r="AW18" s="9" t="s">
        <v>5</v>
      </c>
      <c r="AX18" s="13" t="s">
        <v>30</v>
      </c>
      <c r="AY18" s="9" t="s">
        <v>4</v>
      </c>
      <c r="AZ18" s="9" t="s">
        <v>5</v>
      </c>
      <c r="BA18" s="13" t="s">
        <v>30</v>
      </c>
      <c r="BB18" s="9" t="s">
        <v>4</v>
      </c>
      <c r="BC18" s="9" t="s">
        <v>5</v>
      </c>
    </row>
    <row r="19" spans="2:61" x14ac:dyDescent="0.2">
      <c r="C19" s="5" t="s">
        <v>38</v>
      </c>
      <c r="D19" s="5"/>
      <c r="E19" s="4" t="s">
        <v>13</v>
      </c>
      <c r="F19" s="4"/>
      <c r="G19" s="6">
        <f t="shared" ref="G19:I20" si="17">J19/(1+J19)</f>
        <v>2.8173404892489328E-2</v>
      </c>
      <c r="H19" s="6">
        <f t="shared" si="17"/>
        <v>2.567044145234347E-2</v>
      </c>
      <c r="I19" s="6">
        <f t="shared" si="17"/>
        <v>3.0912673621355941E-2</v>
      </c>
      <c r="J19" s="7">
        <f t="shared" ref="J19:L20" si="18">EXP(M19)</f>
        <v>2.8990156303936691E-2</v>
      </c>
      <c r="K19" s="7">
        <f t="shared" si="18"/>
        <v>2.634677479210221E-2</v>
      </c>
      <c r="L19" s="7">
        <f t="shared" si="18"/>
        <v>3.1898749245718304E-2</v>
      </c>
      <c r="M19" s="7">
        <f>SUMPRODUCT(M4:M16, R4:R16)</f>
        <v>-3.5407989444129977</v>
      </c>
      <c r="N19" s="7">
        <f>M19-P19*_xlfn.NORM.S.INV(0.975)</f>
        <v>-3.6364094102678077</v>
      </c>
      <c r="O19" s="7">
        <f>M19+P19*_xlfn.NORM.S.INV(0.975)</f>
        <v>-3.4451884785581877</v>
      </c>
      <c r="P19" s="7">
        <f>1/SQRT(Q17)</f>
        <v>4.8781746301959174E-2</v>
      </c>
      <c r="Y19" s="4">
        <f>COUNTA(E4:E16)</f>
        <v>13</v>
      </c>
      <c r="Z19" s="15" cm="1">
        <f t="array" ref="Z19">SUMPRODUCT(Q4:Q16, S4:S16^2)</f>
        <v>425.862553771048</v>
      </c>
      <c r="AA19" s="18" t="str">
        <f>_xlfn.LET(_xlpm.p, _xlfn.CHISQ.DIST.RT(Z19, $Y19-1), IF(_xlpm.p&lt;0.001, "p&lt;0.001", "p="&amp;TEXT(_xlpm.p, "0.000")))</f>
        <v>p&lt;0.001</v>
      </c>
      <c r="AB19" s="16" cm="1">
        <f t="array" ref="AB19">MAX(0, (Z19-(COUNTA(H4:H16)-1)) / (Q17-(SUM(Q4:Q16^2)/Q17)))</f>
        <v>1.1162513610369966</v>
      </c>
      <c r="AC19" s="17">
        <f>MAX(0, (Z19-COUNTA($C$4:$C$16)+1)/Z19)</f>
        <v>0.97182189442640821</v>
      </c>
      <c r="AE19" s="7">
        <f>$M19+OR!K19</f>
        <v>-4.811647781435525</v>
      </c>
      <c r="AF19" s="7">
        <f>AE19-AH19*_xlfn.NORM.S.INV(0.975)</f>
        <v>-5.0224295790119724</v>
      </c>
      <c r="AG19" s="7">
        <f>AE19+AH19*_xlfn.NORM.S.INV(0.975)</f>
        <v>-4.6008659838590775</v>
      </c>
      <c r="AH19" s="7">
        <f>SQRT(P19^2+OR!N19^2)</f>
        <v>0.10754370959827203</v>
      </c>
      <c r="AI19" s="7">
        <f>EXP(AE19)</f>
        <v>8.1344448611255157E-3</v>
      </c>
      <c r="AJ19" s="7">
        <f t="shared" ref="AJ19:AJ20" si="19">EXP(AF19)</f>
        <v>6.5884999668400449E-3</v>
      </c>
      <c r="AK19" s="7">
        <f t="shared" ref="AK19:AK20" si="20">EXP(AG19)</f>
        <v>1.0043134785113639E-2</v>
      </c>
      <c r="AL19" s="7">
        <f>AI19/(1+AI19)</f>
        <v>8.0688095745464448E-3</v>
      </c>
      <c r="AM19" s="7">
        <f>AJ19/(1+AJ19)</f>
        <v>6.545375758869776E-3</v>
      </c>
      <c r="AN19" s="7">
        <f>AK19/(1+AK19)</f>
        <v>9.9432731526365101E-3</v>
      </c>
      <c r="AO19" t="str">
        <f>TEXT(G19*1000, "0") &amp; " per 1000"</f>
        <v>28 per 1000</v>
      </c>
      <c r="AP19" t="str">
        <f>"(" &amp; TEXT(H19*1000, "0") &amp; " to " &amp; TEXT(I19*1000, "0") &amp; ")"</f>
        <v>(26 to 31)</v>
      </c>
      <c r="AQ19" t="str">
        <f>TEXT(AL19*1000, "0") &amp; " per 1000"</f>
        <v>8 per 1000</v>
      </c>
      <c r="AR19" t="str">
        <f>"(" &amp; TEXT(AM19*1000, "0") &amp; " to " &amp; TEXT(AN19*1000, "0") &amp; ")"</f>
        <v>(7 to 10)</v>
      </c>
      <c r="AS19" t="str">
        <f>TEXT(ABS(AL19-$G19)*1000, "0") &amp; IF(SIGN(AL19-$G19)=-1, " fewer", " more") &amp; " per 1000"</f>
        <v>20 fewer per 1000</v>
      </c>
      <c r="AT19" t="str">
        <f>"(" &amp; TEXT(ABS(AM19-$G19)*1000, "0") &amp; IF(SIGN(AM19-$G19)=-1, " fewer", " more") &amp; " to " &amp; TEXT(ABS(AN19-$G19)*1000, "0") &amp; IF(SIGN(AN19-$G19)=-1, " fewer", " more") &amp; ")"</f>
        <v>(22 fewer to 18 fewer)</v>
      </c>
      <c r="AV19" s="7">
        <f>$M19+OR!L19</f>
        <v>-4.9994977348786511</v>
      </c>
      <c r="AW19" s="7">
        <f>$M19+OR!M19</f>
        <v>-4.6237978279923988</v>
      </c>
      <c r="AX19" s="7">
        <f>EXP(AE19)</f>
        <v>8.1344448611255157E-3</v>
      </c>
      <c r="AY19" s="7">
        <f>EXP(AV19)</f>
        <v>6.7413320848867071E-3</v>
      </c>
      <c r="AZ19" s="7">
        <f>EXP(AW19)</f>
        <v>9.8154478025248241E-3</v>
      </c>
      <c r="BA19" s="7">
        <f>AX19/(1+AX19)</f>
        <v>8.0688095745464448E-3</v>
      </c>
      <c r="BB19" s="7">
        <f>AY19/(1+AY19)</f>
        <v>6.6961908387389909E-3</v>
      </c>
      <c r="BC19" s="7">
        <f>AZ19/(1+AZ19)</f>
        <v>9.7200412450456908E-3</v>
      </c>
      <c r="BD19" t="str">
        <f>TEXT(G19*1000, "0") &amp; " per 1000"</f>
        <v>28 per 1000</v>
      </c>
      <c r="BE19" t="str">
        <f>"(" &amp; TEXT(H19*1000, "0") &amp; " to " &amp; TEXT(I19*1000, "0") &amp; ")"</f>
        <v>(26 to 31)</v>
      </c>
      <c r="BF19" t="str">
        <f>TEXT(BA19*1000, "0") &amp; " per 1000"</f>
        <v>8 per 1000</v>
      </c>
      <c r="BG19" t="str">
        <f>"(" &amp; TEXT(BB19*1000, "0") &amp; " to " &amp; TEXT(BC19*1000, "0") &amp; ")"</f>
        <v>(7 to 10)</v>
      </c>
      <c r="BH19" t="str">
        <f>TEXT(ABS(BA19-$G19)*1000, "0") &amp; IF(SIGN(BA19-$G19)=-1, " fewer", " more") &amp; " per 1000"</f>
        <v>20 fewer per 1000</v>
      </c>
      <c r="BI19" t="str">
        <f>"(" &amp; TEXT(ABS(BB19-$G19)*1000, "0") &amp; IF(SIGN(BB19-$G19)=-1, " fewer", " more") &amp; " to " &amp; TEXT(ABS(BC19-$G19)*1000, "0") &amp; IF(SIGN(BC19-$G19)=-1, " fewer", " more") &amp; ")"</f>
        <v>(21 fewer to 18 fewer)</v>
      </c>
    </row>
    <row r="20" spans="2:61" x14ac:dyDescent="0.2">
      <c r="C20" s="5" t="s">
        <v>38</v>
      </c>
      <c r="D20" s="5"/>
      <c r="E20" s="4" t="s">
        <v>14</v>
      </c>
      <c r="F20" s="4"/>
      <c r="G20" s="6">
        <f t="shared" si="17"/>
        <v>2.9557157700901875E-2</v>
      </c>
      <c r="H20" s="6">
        <f t="shared" si="17"/>
        <v>1.6571361825612183E-2</v>
      </c>
      <c r="I20" s="6">
        <f t="shared" si="17"/>
        <v>5.2179073042248739E-2</v>
      </c>
      <c r="J20" s="7">
        <f t="shared" si="18"/>
        <v>3.0457391628421249E-2</v>
      </c>
      <c r="K20" s="7">
        <f t="shared" si="18"/>
        <v>1.6850599201966337E-2</v>
      </c>
      <c r="L20" s="7">
        <f t="shared" si="18"/>
        <v>5.5051615297975587E-2</v>
      </c>
      <c r="M20" s="7">
        <f>SUMPRODUCT(M4:M16, U4:U16)</f>
        <v>-3.4914265678666005</v>
      </c>
      <c r="N20" s="7">
        <f>M20-P20*_xlfn.NORM.S.INV(0.975)</f>
        <v>-4.0833690618684848</v>
      </c>
      <c r="O20" s="7">
        <f>M20+P20*_xlfn.NORM.S.INV(0.975)</f>
        <v>-2.8994840738647158</v>
      </c>
      <c r="P20" s="7">
        <f>1/SQRT(T17)</f>
        <v>0.3020170261653029</v>
      </c>
      <c r="Q20" s="11"/>
      <c r="R20" s="1"/>
      <c r="S20" s="2"/>
      <c r="Y20" s="1"/>
      <c r="Z20" s="11"/>
      <c r="AA20" s="11"/>
      <c r="AB20" s="1"/>
      <c r="AC20" s="2"/>
      <c r="AE20" s="7">
        <f>M20+OR!K20</f>
        <v>-4.9473200332748242</v>
      </c>
      <c r="AF20" s="7">
        <f>AE20-AH20*_xlfn.NORM.S.INV(0.975)</f>
        <v>-5.6611414315045963</v>
      </c>
      <c r="AG20" s="7">
        <f>AE20+AH20*_xlfn.NORM.S.INV(0.975)</f>
        <v>-4.2334986350450521</v>
      </c>
      <c r="AH20" s="7">
        <f>SQRT(P20^2+OR!N20^2)</f>
        <v>0.36420128321760209</v>
      </c>
      <c r="AI20" s="7">
        <f t="shared" ref="AI20" si="21">EXP(AE20)</f>
        <v>7.1024176893282141E-3</v>
      </c>
      <c r="AJ20" s="7">
        <f t="shared" si="19"/>
        <v>3.478544111472063E-3</v>
      </c>
      <c r="AK20" s="7">
        <f t="shared" si="20"/>
        <v>1.4501566004961513E-2</v>
      </c>
      <c r="AL20" s="7">
        <f>AI20/(1+AI20)</f>
        <v>7.0523291023606438E-3</v>
      </c>
      <c r="AM20" s="7">
        <f>AJ20/(1+AJ20)</f>
        <v>3.4664857877475925E-3</v>
      </c>
      <c r="AN20" s="7">
        <f>AK20/(1+AK20)</f>
        <v>1.4294276609219735E-2</v>
      </c>
      <c r="AO20" t="str">
        <f>TEXT(G20*1000, "0") &amp; " per 1000"</f>
        <v>30 per 1000</v>
      </c>
      <c r="AP20" t="str">
        <f>"(" &amp; TEXT(H20*1000, "0") &amp; " to " &amp; TEXT(I20*1000, "0") &amp; ")"</f>
        <v>(17 to 52)</v>
      </c>
      <c r="AQ20" t="str">
        <f t="shared" ref="AQ20" si="22">TEXT(AL20*1000, "0") &amp; " per 1000"</f>
        <v>7 per 1000</v>
      </c>
      <c r="AR20" t="str">
        <f t="shared" ref="AR20" si="23">"(" &amp; TEXT(AM20*1000, "0") &amp; " to " &amp; TEXT(AN20*1000, "0") &amp; ")"</f>
        <v>(3 to 14)</v>
      </c>
      <c r="AS20" t="str">
        <f t="shared" ref="AS20" si="24">TEXT(ABS(AL20-G20)*1000, "0") &amp; IF(SIGN(AL20-G20)=-1, " fewer", " more") &amp; " per 1000"</f>
        <v>23 fewer per 1000</v>
      </c>
      <c r="AT20" t="str">
        <f t="shared" ref="AT20" si="25">"(" &amp; TEXT(ABS(AM20-G20)*1000, "0") &amp; IF(SIGN(AM20-G20)=-1, " fewer", " more") &amp; " to " &amp; TEXT(ABS(AN20-G20)*1000, "0") &amp; IF(SIGN(AN20-G20)=-1, " fewer", " more") &amp; ")"</f>
        <v>(26 fewer to 15 fewer)</v>
      </c>
      <c r="AV20" s="7">
        <f>$M20+OR!L20</f>
        <v>-5.3462499423635457</v>
      </c>
      <c r="AW20" s="7">
        <f>$M20+OR!M20</f>
        <v>-4.5483901241861027</v>
      </c>
      <c r="AX20" s="7">
        <f>EXP(AE20)</f>
        <v>7.1024176893282141E-3</v>
      </c>
      <c r="AY20" s="7">
        <f t="shared" ref="AY20" si="26">EXP(AV20)</f>
        <v>4.7659902675617049E-3</v>
      </c>
      <c r="AZ20" s="7">
        <f t="shared" ref="AZ20" si="27">EXP(AW20)</f>
        <v>1.0584229971474492E-2</v>
      </c>
      <c r="BA20" s="7">
        <f>AX20/(1+AX20)</f>
        <v>7.0523291023606438E-3</v>
      </c>
      <c r="BB20" s="7">
        <f>AY20/(1+AY20)</f>
        <v>4.7433833486865504E-3</v>
      </c>
      <c r="BC20" s="7">
        <f>AZ20/(1+AZ20)</f>
        <v>1.0473377337159962E-2</v>
      </c>
      <c r="BD20" t="str">
        <f t="shared" ref="BD20" si="28">TEXT(G20*1000, "0") &amp; " per 1000"</f>
        <v>30 per 1000</v>
      </c>
      <c r="BE20" t="str">
        <f t="shared" ref="BE20" si="29">"(" &amp; TEXT(H20*1000, "0") &amp; " to " &amp; TEXT(I20*1000, "0") &amp; ")"</f>
        <v>(17 to 52)</v>
      </c>
      <c r="BF20" t="str">
        <f t="shared" ref="BF20" si="30">TEXT(BA20*1000, "0") &amp; " per 1000"</f>
        <v>7 per 1000</v>
      </c>
      <c r="BG20" t="str">
        <f t="shared" ref="BG20" si="31">"(" &amp; TEXT(BB20*1000, "0") &amp; " to " &amp; TEXT(BC20*1000, "0") &amp; ")"</f>
        <v>(5 to 10)</v>
      </c>
      <c r="BH20" t="str">
        <f t="shared" ref="BH20" si="32">TEXT(ABS(BA20-$G20)*1000, "0") &amp; IF(SIGN(BA20-$G20)=-1, " fewer", " more") &amp; " per 1000"</f>
        <v>23 fewer per 1000</v>
      </c>
      <c r="BI20" t="str">
        <f t="shared" ref="BI20" si="33">"(" &amp; TEXT(ABS(BB20-$G20)*1000, "0") &amp; IF(SIGN(BB20-$G20)=-1, " fewer", " more") &amp; " to " &amp; TEXT(ABS(BC20-$G20)*1000, "0") &amp; IF(SIGN(BC20-$G20)=-1, " fewer", " more") &amp; ")"</f>
        <v>(25 fewer to 19 fewer)</v>
      </c>
    </row>
    <row r="21" spans="2:61" x14ac:dyDescent="0.2">
      <c r="Q21" s="11"/>
      <c r="S21"/>
      <c r="Y21" s="1"/>
      <c r="Z21" s="11"/>
      <c r="AA21" s="11"/>
      <c r="AB21" s="1"/>
      <c r="AC21" s="1"/>
    </row>
    <row r="22" spans="2:61" x14ac:dyDescent="0.2">
      <c r="B22" s="4">
        <v>1</v>
      </c>
      <c r="C22" s="5" t="s">
        <v>32</v>
      </c>
      <c r="D22" s="5"/>
      <c r="E22" s="4" t="s">
        <v>13</v>
      </c>
      <c r="F22" s="4"/>
      <c r="G22" s="6">
        <f>J22/(1+J22)</f>
        <v>3.0139098130734818E-2</v>
      </c>
      <c r="H22" s="6">
        <f>K22/(1+K22)</f>
        <v>2.4515520000426106E-2</v>
      </c>
      <c r="I22" s="6">
        <f>L22/(1+L22)</f>
        <v>3.7003726502613216E-2</v>
      </c>
      <c r="J22" s="7">
        <f>EXP(M22)</f>
        <v>3.1075691444666043E-2</v>
      </c>
      <c r="K22" s="7">
        <f>EXP(N22)</f>
        <v>2.5131635103448097E-2</v>
      </c>
      <c r="L22" s="7">
        <f>EXP(O22)</f>
        <v>3.8425617544940199E-2</v>
      </c>
      <c r="M22" s="7">
        <f t="array" ref="M22">SUM(IF($B$4:$B$16=$B22, $M$4:$M$16*$V$4:$V$16))</f>
        <v>-3.4713293909989247</v>
      </c>
      <c r="N22" s="7">
        <f>M22-P22*_xlfn.NORM.S.INV(0.975)</f>
        <v>-3.6836278637475375</v>
      </c>
      <c r="O22" s="7">
        <f>M22+P22*_xlfn.NORM.S.INV(0.975)</f>
        <v>-3.2590309182503119</v>
      </c>
      <c r="P22" s="7">
        <f>1/SQRT(SUMIF($B$4:$B$16, $B22, $Q$4:$Q$16))</f>
        <v>0.10831753768089417</v>
      </c>
      <c r="Q22" s="5">
        <f>P22^-2</f>
        <v>85.23195344398188</v>
      </c>
      <c r="R22" s="14">
        <f>Q22/$Q$25</f>
        <v>0.20282296569056957</v>
      </c>
      <c r="S22" s="7">
        <f>M22-$M$25</f>
        <v>6.9469553414073459E-2</v>
      </c>
      <c r="U22" s="12"/>
      <c r="Y22" s="4">
        <f>COUNTIF($B$4:$B$16, $B22)</f>
        <v>4</v>
      </c>
      <c r="Z22" s="15">
        <f t="array" ref="Z22">SUM(IF($B$4:$B$16=$B22, ($M$4:$M$16-$M22)^2 * $Q$4:$Q$16))</f>
        <v>106.35268825335422</v>
      </c>
      <c r="AA22" s="18" t="str">
        <f t="shared" ref="AA22:AA25" si="34">_xlfn.LET(_xlpm.p, _xlfn.CHISQ.DIST.RT(Z22, $Y22-1), IF(_xlpm.p&lt;0.001, "p&lt;0.001", "p="&amp;TEXT(_xlpm.p, "0.000")))</f>
        <v>p&lt;0.001</v>
      </c>
      <c r="AB22" s="16" cm="1">
        <f t="array" ref="AB22">MAX(0, (Z22-($Y22-1)) / (SUMIF($B$4:$B$16, $B22, $Q$4:$Q$16)-(SUM(IF($B$4:$B$16=$B22, $Q$4:$Q$16^2))/SUMIF($B$4:$B$16, $B22, $Q$4:$Q$16))))</f>
        <v>2.3976690319251719</v>
      </c>
      <c r="AC22" s="17">
        <f>MAX(0, (Z22-COUNTIF($B$4:$B$16, $B22)+1)/Z22)</f>
        <v>0.97179196831533421</v>
      </c>
      <c r="AE22" s="7">
        <f>$M22+OR!K22</f>
        <v>-6.2556076689403914</v>
      </c>
      <c r="AF22" s="7">
        <f>AE22-AH22*_xlfn.NORM.S.INV(0.975)</f>
        <v>-7.0028211471219386</v>
      </c>
      <c r="AG22" s="7">
        <f>AE22+AH22*_xlfn.NORM.S.INV(0.975)</f>
        <v>-5.5083941907588443</v>
      </c>
      <c r="AH22" s="7">
        <f>SQRT(P22^2+OR!N22^2)</f>
        <v>0.38123837176370173</v>
      </c>
      <c r="AI22" s="7">
        <f>EXP(AE22)</f>
        <v>1.9196590843540602E-3</v>
      </c>
      <c r="AJ22" s="7">
        <f t="shared" ref="AJ22:AK22" si="35">EXP(AF22)</f>
        <v>9.0931303773731688E-4</v>
      </c>
      <c r="AK22" s="7">
        <f t="shared" si="35"/>
        <v>4.0526098793357687E-3</v>
      </c>
      <c r="AL22" s="7">
        <f>AI22/(1+AI22)</f>
        <v>1.9159810539184554E-3</v>
      </c>
      <c r="AM22" s="7">
        <f>AJ22/(1+AJ22)</f>
        <v>9.0848693871932527E-4</v>
      </c>
      <c r="AN22" s="7">
        <f>AK22/(1+AK22)</f>
        <v>4.0362525224876405E-3</v>
      </c>
      <c r="AO22" t="str">
        <f>TEXT(G22*1000, "0") &amp; " per 1000"</f>
        <v>30 per 1000</v>
      </c>
      <c r="AP22" t="str">
        <f>"(" &amp; TEXT(H22*1000, "0") &amp; " to " &amp; TEXT(I22*1000, "0") &amp; ")"</f>
        <v>(25 to 37)</v>
      </c>
      <c r="AQ22" t="str">
        <f>TEXT(AL22*1000, "0") &amp; " per 1000"</f>
        <v>2 per 1000</v>
      </c>
      <c r="AR22" t="str">
        <f>"(" &amp; TEXT(AM22*1000, "0") &amp; " to " &amp; TEXT(AN22*1000, "0") &amp; ")"</f>
        <v>(1 to 4)</v>
      </c>
      <c r="AS22" t="str">
        <f>TEXT(ABS(AL22-$G22)*1000, "0") &amp; IF(SIGN(AL22-$G22)=-1, " fewer", " more") &amp; " per 1000"</f>
        <v>28 fewer per 1000</v>
      </c>
      <c r="AT22" t="str">
        <f>"(" &amp; TEXT(ABS(AM22-$G22)*1000, "0") &amp; IF(SIGN(AM22-$G22)=-1, " fewer", " more") &amp; " to " &amp; TEXT(ABS(AN22-$G22)*1000, "0") &amp; IF(SIGN(AN22-$G22)=-1, " fewer", " more") &amp; ")"</f>
        <v>(29 fewer to 26 fewer)</v>
      </c>
      <c r="AU22" s="3"/>
      <c r="AV22" s="7">
        <f>$M22+OR!L22</f>
        <v>-6.9720274763471739</v>
      </c>
      <c r="AW22" s="7">
        <f>$M22+OR!M22</f>
        <v>-5.539187861533609</v>
      </c>
      <c r="AX22" s="7">
        <f>EXP(AE22)</f>
        <v>1.9196590843540602E-3</v>
      </c>
      <c r="AY22" s="7">
        <f>EXP(AV22)</f>
        <v>9.3774971178736764E-4</v>
      </c>
      <c r="AZ22" s="7">
        <f>EXP(AW22)</f>
        <v>3.9297170170484192E-3</v>
      </c>
      <c r="BA22" s="7">
        <f>AX22/(1+AX22)</f>
        <v>1.9159810539184554E-3</v>
      </c>
      <c r="BB22" s="7">
        <f>AY22/(1+AY22)</f>
        <v>9.3687116112603985E-4</v>
      </c>
      <c r="BC22" s="7">
        <f>AZ22/(1+AZ22)</f>
        <v>3.9143347890175919E-3</v>
      </c>
      <c r="BD22" t="str">
        <f>TEXT(G22*1000, "0") &amp; " per 1000"</f>
        <v>30 per 1000</v>
      </c>
      <c r="BE22" t="str">
        <f>"(" &amp; TEXT(H22*1000, "0") &amp; " to " &amp; TEXT(I22*1000, "0") &amp; ")"</f>
        <v>(25 to 37)</v>
      </c>
      <c r="BF22" t="str">
        <f>TEXT(BA22*1000, "0") &amp; " per 1000"</f>
        <v>2 per 1000</v>
      </c>
      <c r="BG22" t="str">
        <f>"(" &amp; TEXT(BB22*1000, "0") &amp; " to " &amp; TEXT(BC22*1000, "0") &amp; ")"</f>
        <v>(1 to 4)</v>
      </c>
      <c r="BH22" t="str">
        <f>TEXT(ABS(BA22-$G22)*1000, "0") &amp; IF(SIGN(BA22-$G22)=-1, " fewer", " more") &amp; " per 1000"</f>
        <v>28 fewer per 1000</v>
      </c>
      <c r="BI22" t="str">
        <f>"(" &amp; TEXT(ABS(BB22-$G22)*1000, "0") &amp; IF(SIGN(BB22-$G22)=-1, " fewer", " more") &amp; " to " &amp; TEXT(ABS(BC22-$G22)*1000, "0") &amp; IF(SIGN(BC22-$G22)=-1, " fewer", " more") &amp; ")"</f>
        <v>(29 fewer to 26 fewer)</v>
      </c>
    </row>
    <row r="23" spans="2:61" x14ac:dyDescent="0.2">
      <c r="B23" s="4">
        <v>2</v>
      </c>
      <c r="C23" s="5" t="s">
        <v>32</v>
      </c>
      <c r="D23" s="5"/>
      <c r="E23" s="4" t="s">
        <v>13</v>
      </c>
      <c r="F23" s="4"/>
      <c r="G23" s="6">
        <f t="shared" ref="G23:G24" si="36">J23/(1+J23)</f>
        <v>1.663286337392534E-2</v>
      </c>
      <c r="H23" s="6">
        <f t="shared" ref="H23:H24" si="37">K23/(1+K23)</f>
        <v>1.4405878669299732E-2</v>
      </c>
      <c r="I23" s="6">
        <f t="shared" ref="I23:I24" si="38">L23/(1+L23)</f>
        <v>1.9197408915625755E-2</v>
      </c>
      <c r="J23" s="7">
        <f t="shared" ref="J23:J24" si="39">EXP(M23)</f>
        <v>1.6914194866215045E-2</v>
      </c>
      <c r="K23" s="7">
        <f t="shared" ref="K23:K24" si="40">EXP(N23)</f>
        <v>1.4616441349964255E-2</v>
      </c>
      <c r="L23" s="7">
        <f t="shared" ref="L23:L24" si="41">EXP(O23)</f>
        <v>1.9573162928129221E-2</v>
      </c>
      <c r="M23" s="7">
        <f t="array" ref="M23">SUM(IF($B$4:$B$16=$B23, $M$4:$M$16*$V$4:$V$16))</f>
        <v>-4.0796020766872285</v>
      </c>
      <c r="N23" s="7">
        <f>M23-P23*_xlfn.NORM.S.INV(0.975)</f>
        <v>-4.2256082640046246</v>
      </c>
      <c r="O23" s="7">
        <f>M23+P23*_xlfn.NORM.S.INV(0.975)</f>
        <v>-3.9335958893698324</v>
      </c>
      <c r="P23" s="7">
        <f>1/SQRT(SUMIF($B$4:$B$16, $B23, $Q$4:$Q$16))</f>
        <v>7.4494321563597254E-2</v>
      </c>
      <c r="Q23" s="5">
        <f t="shared" ref="Q23:Q24" si="42">P23^-2</f>
        <v>180.19953311584754</v>
      </c>
      <c r="R23" s="14">
        <f t="shared" ref="R23:R24" si="43">Q23/$Q$25</f>
        <v>0.4288133997378521</v>
      </c>
      <c r="S23" s="7">
        <f t="shared" ref="S23:S24" si="44">M23-$M$25</f>
        <v>-0.53880313227423038</v>
      </c>
      <c r="U23" s="12"/>
      <c r="Y23" s="4">
        <f t="shared" ref="Y23:Y24" si="45">COUNTIF($B$4:$B$16, $B23)</f>
        <v>4</v>
      </c>
      <c r="Z23" s="15">
        <f t="array" ref="Z23">SUM(IF($B$4:$B$16=$B23, ($M$4:$M$16-$M23)^2 * $Q$4:$Q$16))</f>
        <v>134.27466243132488</v>
      </c>
      <c r="AA23" s="18" t="str">
        <f t="shared" si="34"/>
        <v>p&lt;0.001</v>
      </c>
      <c r="AB23" s="16" cm="1">
        <f t="array" ref="AB23">MAX(0, (Z23-($Y23-1)) / (SUMIF($B$4:$B$16, $B23, $Q$4:$Q$16)-(SUM(IF($B$4:$B$16=$B23, $Q$4:$Q$16^2))/SUMIF($B$4:$B$16, $B23, $Q$4:$Q$16))))</f>
        <v>1.1210247733415852</v>
      </c>
      <c r="AC23" s="17">
        <f>MAX(0, (Z23-COUNTIF($B$4:$B$16, $B23)+1)/Z23)</f>
        <v>0.977657735676421</v>
      </c>
      <c r="AE23" s="7">
        <f>M23+OR!K23</f>
        <v>-5.6525597148382118</v>
      </c>
      <c r="AF23" s="7">
        <f>AE23-AH23*_xlfn.NORM.S.INV(0.975)</f>
        <v>-5.9875509804470104</v>
      </c>
      <c r="AG23" s="7">
        <f>AE23+AH23*_xlfn.NORM.S.INV(0.975)</f>
        <v>-5.3175684492294133</v>
      </c>
      <c r="AH23" s="7">
        <f>SQRT(P23^2+OR!N23^2)</f>
        <v>0.17091705166583021</v>
      </c>
      <c r="AI23" s="7">
        <f t="shared" ref="AI23:AI24" si="46">EXP(AE23)</f>
        <v>3.5085244488348875E-3</v>
      </c>
      <c r="AJ23" s="7">
        <f t="shared" ref="AJ23:AJ24" si="47">EXP(AF23)</f>
        <v>2.5098030866569803E-3</v>
      </c>
      <c r="AK23" s="7">
        <f t="shared" ref="AK23:AK24" si="48">EXP(AG23)</f>
        <v>4.904665180115203E-3</v>
      </c>
      <c r="AL23" s="7">
        <f>AI23/(1+AI23)</f>
        <v>3.4962577430639194E-3</v>
      </c>
      <c r="AM23" s="7">
        <f>AJ23/(1+AJ23)</f>
        <v>2.5035197450732887E-3</v>
      </c>
      <c r="AN23" s="7">
        <f>AK23/(1+AK23)</f>
        <v>4.8807268490848434E-3</v>
      </c>
      <c r="AO23" t="str">
        <f>TEXT(G23*1000, "0") &amp; " per 1000"</f>
        <v>17 per 1000</v>
      </c>
      <c r="AP23" t="str">
        <f>"(" &amp; TEXT(H23*1000, "0") &amp; " to " &amp; TEXT(I23*1000, "0") &amp; ")"</f>
        <v>(14 to 19)</v>
      </c>
      <c r="AQ23" t="str">
        <f t="shared" ref="AQ23:AQ29" si="49">TEXT(AL23*1000, "0") &amp; " per 1000"</f>
        <v>3 per 1000</v>
      </c>
      <c r="AR23" t="str">
        <f t="shared" ref="AR23:AR29" si="50">"(" &amp; TEXT(AM23*1000, "0") &amp; " to " &amp; TEXT(AN23*1000, "0") &amp; ")"</f>
        <v>(3 to 5)</v>
      </c>
      <c r="AS23" t="str">
        <f t="shared" ref="AS23:AS29" si="51">TEXT(ABS(AL23-G23)*1000, "0") &amp; IF(SIGN(AL23-G23)=-1, " fewer", " more") &amp; " per 1000"</f>
        <v>13 fewer per 1000</v>
      </c>
      <c r="AT23" t="str">
        <f t="shared" ref="AT23:AT29" si="52">"(" &amp; TEXT(ABS(AM23-G23)*1000, "0") &amp; IF(SIGN(AM23-G23)=-1, " fewer", " more") &amp; " to " &amp; TEXT(ABS(AN23-G23)*1000, "0") &amp; IF(SIGN(AN23-G23)=-1, " fewer", " more") &amp; ")"</f>
        <v>(14 fewer to 12 fewer)</v>
      </c>
      <c r="AU23" s="3"/>
      <c r="AV23" s="7">
        <f>$M23+OR!L23</f>
        <v>-5.9540582078679822</v>
      </c>
      <c r="AW23" s="7">
        <f>$M23+OR!M23</f>
        <v>-5.3510612218084415</v>
      </c>
      <c r="AX23" s="7">
        <f>EXP(AE23)</f>
        <v>3.5085244488348875E-3</v>
      </c>
      <c r="AY23" s="7">
        <f t="shared" ref="AY23:AZ29" si="53">EXP(AV23)</f>
        <v>2.5952869047769201E-3</v>
      </c>
      <c r="AZ23" s="7">
        <f t="shared" si="53"/>
        <v>4.7431148307397804E-3</v>
      </c>
      <c r="BA23" s="7">
        <f>AX23/(1+AX23)</f>
        <v>3.4962577430639194E-3</v>
      </c>
      <c r="BB23" s="7">
        <f>AY23/(1+AY23)</f>
        <v>2.5885688260006865E-3</v>
      </c>
      <c r="BC23" s="7">
        <f>AZ23/(1+AZ23)</f>
        <v>4.7207238952205327E-3</v>
      </c>
      <c r="BD23" t="str">
        <f t="shared" ref="BD23:BD29" si="54">TEXT(G23*1000, "0") &amp; " per 1000"</f>
        <v>17 per 1000</v>
      </c>
      <c r="BE23" t="str">
        <f t="shared" ref="BE23:BE29" si="55">"(" &amp; TEXT(H23*1000, "0") &amp; " to " &amp; TEXT(I23*1000, "0") &amp; ")"</f>
        <v>(14 to 19)</v>
      </c>
      <c r="BF23" t="str">
        <f t="shared" ref="BF23:BF29" si="56">TEXT(BA23*1000, "0") &amp; " per 1000"</f>
        <v>3 per 1000</v>
      </c>
      <c r="BG23" t="str">
        <f t="shared" ref="BG23:BG29" si="57">"(" &amp; TEXT(BB23*1000, "0") &amp; " to " &amp; TEXT(BC23*1000, "0") &amp; ")"</f>
        <v>(3 to 5)</v>
      </c>
      <c r="BH23" t="str">
        <f t="shared" ref="BH23:BH29" si="58">TEXT(ABS(BA23-$G23)*1000, "0") &amp; IF(SIGN(BA23-$G23)=-1, " fewer", " more") &amp; " per 1000"</f>
        <v>13 fewer per 1000</v>
      </c>
      <c r="BI23" t="str">
        <f t="shared" ref="BI23:BI29" si="59">"(" &amp; TEXT(ABS(BB23-$G23)*1000, "0") &amp; IF(SIGN(BB23-$G23)=-1, " fewer", " more") &amp; " to " &amp; TEXT(ABS(BC23-$G23)*1000, "0") &amp; IF(SIGN(BC23-$G23)=-1, " fewer", " more") &amp; ")"</f>
        <v>(14 fewer to 12 fewer)</v>
      </c>
    </row>
    <row r="24" spans="2:61" x14ac:dyDescent="0.2">
      <c r="B24" s="4">
        <v>3</v>
      </c>
      <c r="C24" s="5" t="s">
        <v>32</v>
      </c>
      <c r="D24" s="5"/>
      <c r="E24" s="4" t="s">
        <v>13</v>
      </c>
      <c r="F24" s="4"/>
      <c r="G24" s="6">
        <f t="shared" si="36"/>
        <v>4.9650250857573082E-2</v>
      </c>
      <c r="H24" s="6">
        <f t="shared" si="37"/>
        <v>4.2722892624284088E-2</v>
      </c>
      <c r="I24" s="6">
        <f t="shared" si="38"/>
        <v>5.7633229066685152E-2</v>
      </c>
      <c r="J24" s="7">
        <f t="shared" si="39"/>
        <v>5.2244187892274696E-2</v>
      </c>
      <c r="K24" s="7">
        <f t="shared" si="40"/>
        <v>4.4629598154086056E-2</v>
      </c>
      <c r="L24" s="7">
        <f t="shared" si="41"/>
        <v>6.11579597714439E-2</v>
      </c>
      <c r="M24" s="7">
        <f t="array" ref="M24">SUM(IF($B$4:$B$16=$B24, $M$4:$M$16*$V$4:$V$16))</f>
        <v>-2.9518266308359453</v>
      </c>
      <c r="N24" s="7">
        <f>M24-P24*_xlfn.NORM.S.INV(0.975)</f>
        <v>-3.1093580043231017</v>
      </c>
      <c r="O24" s="7">
        <f>M24+P24*_xlfn.NORM.S.INV(0.975)</f>
        <v>-2.7942952573487889</v>
      </c>
      <c r="P24" s="7">
        <f>1/SQRT(SUMIF($B$4:$B$16, $B24, $Q$4:$Q$16))</f>
        <v>8.037462664097092E-2</v>
      </c>
      <c r="Q24" s="5">
        <f t="shared" si="42"/>
        <v>154.79683005996259</v>
      </c>
      <c r="R24" s="14">
        <f t="shared" si="43"/>
        <v>0.36836363457157834</v>
      </c>
      <c r="S24" s="7">
        <f t="shared" si="44"/>
        <v>0.58897231357705282</v>
      </c>
      <c r="U24" s="12"/>
      <c r="Y24" s="4">
        <f t="shared" si="45"/>
        <v>5</v>
      </c>
      <c r="Z24" s="15">
        <f t="array" ref="Z24">SUM(IF($B$4:$B$16=$B24, ($M$4:$M$16-$M24)^2 * $Q$4:$Q$16))</f>
        <v>78.813136524843841</v>
      </c>
      <c r="AA24" s="18" t="str">
        <f t="shared" si="34"/>
        <v>p&lt;0.001</v>
      </c>
      <c r="AB24" s="16" cm="1">
        <f t="array" ref="AB24">MAX(0, (Z24-($Y24-1)) / (SUMIF($B$4:$B$16, $B24, $Q$4:$Q$16)-(SUM(IF($B$4:$B$16=$B24, $Q$4:$Q$16^2))/SUMIF($B$4:$B$16, $B24, $Q$4:$Q$16))))</f>
        <v>0.6385860632915985</v>
      </c>
      <c r="AC24" s="17">
        <f>MAX(0, (Z24-COUNTIF($B$4:$B$16, $B24)+1)/Z24)</f>
        <v>0.94924703956250867</v>
      </c>
      <c r="AE24" s="7">
        <f>M24+OR!K24</f>
        <v>-3.8151090292192471</v>
      </c>
      <c r="AF24" s="7">
        <f>AE24-AH24*_xlfn.NORM.S.INV(0.975)</f>
        <v>-4.1147695259146815</v>
      </c>
      <c r="AG24" s="7">
        <f>AE24+AH24*_xlfn.NORM.S.INV(0.975)</f>
        <v>-3.5154485325238127</v>
      </c>
      <c r="AH24" s="7">
        <f>SQRT(P24^2+OR!N24^2)</f>
        <v>0.15289081792273634</v>
      </c>
      <c r="AI24" s="7">
        <f t="shared" si="46"/>
        <v>2.2035311829824506E-2</v>
      </c>
      <c r="AJ24" s="7">
        <f t="shared" si="47"/>
        <v>1.6329703549260267E-2</v>
      </c>
      <c r="AK24" s="7">
        <f t="shared" si="48"/>
        <v>2.9734463088866018E-2</v>
      </c>
      <c r="AL24" s="7">
        <f>AI24/(1+AI24)</f>
        <v>2.1560225536995468E-2</v>
      </c>
      <c r="AM24" s="7">
        <f>AJ24/(1+AJ24)</f>
        <v>1.6067328832595502E-2</v>
      </c>
      <c r="AN24" s="7">
        <f>AK24/(1+AK24)</f>
        <v>2.8875855042932493E-2</v>
      </c>
      <c r="AO24" t="str">
        <f>TEXT(G24*1000, "0") &amp; " per 1000"</f>
        <v>50 per 1000</v>
      </c>
      <c r="AP24" t="str">
        <f>"(" &amp; TEXT(H24*1000, "0") &amp; " to " &amp; TEXT(I24*1000, "0") &amp; ")"</f>
        <v>(43 to 58)</v>
      </c>
      <c r="AQ24" t="str">
        <f t="shared" si="49"/>
        <v>22 per 1000</v>
      </c>
      <c r="AR24" t="str">
        <f t="shared" si="50"/>
        <v>(16 to 29)</v>
      </c>
      <c r="AS24" t="str">
        <f t="shared" si="51"/>
        <v>28 fewer per 1000</v>
      </c>
      <c r="AT24" t="str">
        <f t="shared" si="52"/>
        <v>(34 fewer to 21 fewer)</v>
      </c>
      <c r="AU24" s="3"/>
      <c r="AV24" s="7">
        <f>$M24+OR!L24</f>
        <v>-4.0700213271709238</v>
      </c>
      <c r="AW24" s="7">
        <f>$M24+OR!M24</f>
        <v>-3.5601967312675704</v>
      </c>
      <c r="AX24" s="7">
        <f>EXP(AE24)</f>
        <v>2.2035311829824506E-2</v>
      </c>
      <c r="AY24" s="7">
        <f t="shared" si="53"/>
        <v>1.7077024298984951E-2</v>
      </c>
      <c r="AZ24" s="7">
        <f t="shared" si="53"/>
        <v>2.8433230458450826E-2</v>
      </c>
      <c r="BA24" s="7">
        <f>AX24/(1+AX24)</f>
        <v>2.1560225536995468E-2</v>
      </c>
      <c r="BB24" s="7">
        <f>AY24/(1+AY24)</f>
        <v>1.6790296006101602E-2</v>
      </c>
      <c r="BC24" s="7">
        <f>AZ24/(1+AZ24)</f>
        <v>2.7647133150079148E-2</v>
      </c>
      <c r="BD24" t="str">
        <f t="shared" si="54"/>
        <v>50 per 1000</v>
      </c>
      <c r="BE24" t="str">
        <f t="shared" si="55"/>
        <v>(43 to 58)</v>
      </c>
      <c r="BF24" t="str">
        <f t="shared" si="56"/>
        <v>22 per 1000</v>
      </c>
      <c r="BG24" t="str">
        <f t="shared" si="57"/>
        <v>(17 to 28)</v>
      </c>
      <c r="BH24" t="str">
        <f t="shared" si="58"/>
        <v>28 fewer per 1000</v>
      </c>
      <c r="BI24" t="str">
        <f t="shared" si="59"/>
        <v>(33 fewer to 22 fewer)</v>
      </c>
    </row>
    <row r="25" spans="2:61" x14ac:dyDescent="0.2">
      <c r="M25" s="4">
        <f>SUMPRODUCT(M22:M24, R22:R24)</f>
        <v>-3.5407989444129981</v>
      </c>
      <c r="Q25" s="5">
        <f>SUM(Q22:Q24)</f>
        <v>420.228316619792</v>
      </c>
      <c r="Y25" s="4">
        <f>COUNTA(C22:C24)</f>
        <v>3</v>
      </c>
      <c r="Z25" s="15" cm="1">
        <f t="array" ref="Z25">SUMPRODUCT(Q22:Q24, S22:S24^2)</f>
        <v>106.4220665615252</v>
      </c>
      <c r="AA25" s="18" t="str">
        <f t="shared" si="34"/>
        <v>p&lt;0.001</v>
      </c>
      <c r="AB25" s="16" cm="1">
        <f t="array" ref="AB25">MAX(0, (Z25-($Y25-1)) / (Q25-(SUM(Q22:Q24^2)/Q25)))</f>
        <v>0.38869500562978598</v>
      </c>
      <c r="AC25" s="17">
        <f>MAX(0, (Z25-COUNTA($C22:$C24)+1)/Z25)</f>
        <v>0.98120690506565433</v>
      </c>
      <c r="AE25" s="1"/>
      <c r="AF25" s="3"/>
      <c r="AG25" s="3"/>
      <c r="AH25" s="3"/>
      <c r="AI25" s="1"/>
      <c r="AJ25" s="1"/>
      <c r="AK25" s="1"/>
      <c r="AL25" s="1"/>
      <c r="AM25" s="1"/>
      <c r="AN25" s="1"/>
      <c r="AU25" s="1"/>
      <c r="AV25" s="1"/>
      <c r="AW25" s="1"/>
      <c r="AX25" s="3"/>
      <c r="AY25" s="3"/>
      <c r="AZ25" s="3"/>
      <c r="BA25" s="1"/>
      <c r="BB25" s="1"/>
      <c r="BC25" s="1"/>
    </row>
    <row r="26" spans="2:61" x14ac:dyDescent="0.2">
      <c r="S26" s="11"/>
      <c r="Y26" s="1"/>
      <c r="Z26" s="1"/>
      <c r="AA26" s="1"/>
      <c r="AB26" s="1"/>
      <c r="AC26" s="1"/>
      <c r="AE26" s="1"/>
      <c r="AF26" s="3"/>
      <c r="AG26" s="3"/>
      <c r="AH26" s="3"/>
      <c r="AI26" s="1"/>
      <c r="AJ26" s="1"/>
      <c r="AK26" s="1"/>
      <c r="AL26" s="1"/>
      <c r="AM26" s="1"/>
      <c r="AN26" s="1"/>
      <c r="AU26" s="1"/>
      <c r="AV26" s="1"/>
      <c r="AW26" s="1"/>
      <c r="AX26" s="3"/>
      <c r="AY26" s="3"/>
      <c r="AZ26" s="3"/>
      <c r="BA26" s="1"/>
      <c r="BB26" s="1"/>
      <c r="BC26" s="1"/>
    </row>
    <row r="27" spans="2:61" x14ac:dyDescent="0.2">
      <c r="B27" s="4">
        <v>1</v>
      </c>
      <c r="C27" s="5" t="s">
        <v>32</v>
      </c>
      <c r="D27" s="5"/>
      <c r="E27" s="4" t="s">
        <v>14</v>
      </c>
      <c r="F27" s="4"/>
      <c r="G27" s="6">
        <f>J27/(1+J27)</f>
        <v>2.6117279268897661E-2</v>
      </c>
      <c r="H27" s="6">
        <f>K27/(1+K27)</f>
        <v>5.6640478487835688E-3</v>
      </c>
      <c r="I27" s="6">
        <f>L27/(1+L27)</f>
        <v>0.11210165414352025</v>
      </c>
      <c r="J27" s="7">
        <f>EXP(M27)</f>
        <v>2.6817684216936501E-2</v>
      </c>
      <c r="K27" s="7">
        <f>EXP(N27)</f>
        <v>5.6963120326983738E-3</v>
      </c>
      <c r="L27" s="7">
        <f>EXP(O27)</f>
        <v>0.12625505460919104</v>
      </c>
      <c r="M27" s="7">
        <f t="array" ref="M27">SUM(IF($B$4:$B$16=$B27, $M$4:$M$16*$X$4:$X$16))</f>
        <v>-3.6186937502355336</v>
      </c>
      <c r="N27" s="7">
        <f>M27-P27*_xlfn.NORM.S.INV(0.975)</f>
        <v>-5.1679363253514037</v>
      </c>
      <c r="O27" s="7">
        <f>M27+P27*_xlfn.NORM.S.INV(0.975)</f>
        <v>-2.0694511751196636</v>
      </c>
      <c r="P27" s="7">
        <f t="array" ref="P27">1/SQRT(SUMIF($B$4:$B$16, $B27, $W$4:$W$16))</f>
        <v>0.79044440986472098</v>
      </c>
      <c r="Q27" s="5">
        <f>P27^-2</f>
        <v>1.6005061054174101</v>
      </c>
      <c r="R27" s="14">
        <f>Q27/$Q$30</f>
        <v>0.13221260150034334</v>
      </c>
      <c r="S27" s="7">
        <f>M27-$M$30</f>
        <v>-0.26393554964100918</v>
      </c>
      <c r="U27" s="2"/>
      <c r="Y27" s="1"/>
      <c r="Z27" s="1"/>
      <c r="AA27" s="1"/>
      <c r="AB27" s="1"/>
      <c r="AC27" s="1"/>
      <c r="AE27" s="7">
        <f>M27+OR!K27</f>
        <v>-6.3354972668425464</v>
      </c>
      <c r="AF27" s="7">
        <f>AE27-AH27*_xlfn.NORM.S.INV(0.975)</f>
        <v>-8.0950643626080314</v>
      </c>
      <c r="AG27" s="7">
        <f>AE27+AH27*_xlfn.NORM.S.INV(0.975)</f>
        <v>-4.5759301710770623</v>
      </c>
      <c r="AH27" s="7">
        <f>SQRT(P27^2+OR!N27^2)</f>
        <v>0.89775481062138152</v>
      </c>
      <c r="AI27" s="7">
        <f>EXP(AE27)</f>
        <v>1.7722643311565967E-3</v>
      </c>
      <c r="AJ27" s="7">
        <f t="shared" ref="AJ27:AJ29" si="60">EXP(AF27)</f>
        <v>3.0504100047394796E-4</v>
      </c>
      <c r="AK27" s="7">
        <f t="shared" ref="AK27:AK29" si="61">EXP(AG27)</f>
        <v>1.0296717013810696E-2</v>
      </c>
      <c r="AL27" s="7">
        <f>AI27/(1+AI27)</f>
        <v>1.7691289669911822E-3</v>
      </c>
      <c r="AM27" s="7">
        <f>AJ27/(1+AJ27)</f>
        <v>3.0494797883739088E-4</v>
      </c>
      <c r="AN27" s="7">
        <f>AK27/(1+AK27)</f>
        <v>1.0191775188823009E-2</v>
      </c>
      <c r="AO27" t="str">
        <f>TEXT(G27*1000, "0") &amp; " per 1000"</f>
        <v>26 per 1000</v>
      </c>
      <c r="AP27" t="str">
        <f>"(" &amp; TEXT(H27*1000, "0") &amp; " to " &amp; TEXT(I27*1000, "0") &amp; ")"</f>
        <v>(6 to 112)</v>
      </c>
      <c r="AQ27" t="str">
        <f t="shared" si="49"/>
        <v>2 per 1000</v>
      </c>
      <c r="AR27" t="str">
        <f t="shared" si="50"/>
        <v>(0 to 10)</v>
      </c>
      <c r="AS27" t="str">
        <f t="shared" si="51"/>
        <v>24 fewer per 1000</v>
      </c>
      <c r="AT27" t="str">
        <f t="shared" si="52"/>
        <v>(26 fewer to 16 fewer)</v>
      </c>
      <c r="AU27" s="3"/>
      <c r="AV27" s="7">
        <f>$M27+OR!L27</f>
        <v>-7.1697177460618775</v>
      </c>
      <c r="AW27" s="7">
        <f>$M27+OR!M27</f>
        <v>-5.5012767876232163</v>
      </c>
      <c r="AX27" s="7">
        <f>EXP(AE27)</f>
        <v>1.7722643311565967E-3</v>
      </c>
      <c r="AY27" s="7">
        <f t="shared" si="53"/>
        <v>7.6953990624548704E-4</v>
      </c>
      <c r="AZ27" s="7">
        <f t="shared" si="53"/>
        <v>4.0815568289553619E-3</v>
      </c>
      <c r="BA27" s="7">
        <f>AX27/(1+AX27)</f>
        <v>1.7691289669911822E-3</v>
      </c>
      <c r="BB27" s="7">
        <f>AY27/(1+AY27)</f>
        <v>7.6894816994288158E-4</v>
      </c>
      <c r="BC27" s="7">
        <f>AZ27/(1+AZ27)</f>
        <v>4.0649654414981473E-3</v>
      </c>
      <c r="BD27" t="str">
        <f t="shared" si="54"/>
        <v>26 per 1000</v>
      </c>
      <c r="BE27" t="str">
        <f t="shared" si="55"/>
        <v>(6 to 112)</v>
      </c>
      <c r="BF27" t="str">
        <f t="shared" si="56"/>
        <v>2 per 1000</v>
      </c>
      <c r="BG27" t="str">
        <f t="shared" si="57"/>
        <v>(1 to 4)</v>
      </c>
      <c r="BH27" t="str">
        <f t="shared" si="58"/>
        <v>24 fewer per 1000</v>
      </c>
      <c r="BI27" t="str">
        <f t="shared" si="59"/>
        <v>(25 fewer to 22 fewer)</v>
      </c>
    </row>
    <row r="28" spans="2:61" x14ac:dyDescent="0.2">
      <c r="B28" s="4">
        <v>2</v>
      </c>
      <c r="C28" s="5" t="s">
        <v>32</v>
      </c>
      <c r="D28" s="5"/>
      <c r="E28" s="4" t="s">
        <v>14</v>
      </c>
      <c r="F28" s="4"/>
      <c r="G28" s="6">
        <f t="shared" ref="G28:G29" si="62">J28/(1+J28)</f>
        <v>1.9354603213581616E-2</v>
      </c>
      <c r="H28" s="6">
        <f t="shared" ref="H28:H29" si="63">K28/(1+K28)</f>
        <v>6.8482050047360661E-3</v>
      </c>
      <c r="I28" s="6">
        <f t="shared" ref="I28:I29" si="64">L28/(1+L28)</f>
        <v>5.3470889752759369E-2</v>
      </c>
      <c r="J28" s="7">
        <f t="shared" ref="J28:J29" si="65">EXP(M28)</f>
        <v>1.9736597221591802E-2</v>
      </c>
      <c r="K28" s="7">
        <f t="shared" ref="K28:K29" si="66">EXP(N28)</f>
        <v>6.8954262976171979E-3</v>
      </c>
      <c r="L28" s="7">
        <f t="shared" ref="L28:L29" si="67">EXP(O28)</f>
        <v>5.6491542810334028E-2</v>
      </c>
      <c r="M28" s="7">
        <f t="array" ref="M28">SUM(IF($B$4:$B$16=$B28, $M$4:$M$16*$X$4:$X$16))</f>
        <v>-3.9252806396944884</v>
      </c>
      <c r="N28" s="7">
        <f>M28-P28*_xlfn.NORM.S.INV(0.975)</f>
        <v>-4.9768969425825027</v>
      </c>
      <c r="O28" s="7">
        <f>M28+P28*_xlfn.NORM.S.INV(0.975)</f>
        <v>-2.8736643368064745</v>
      </c>
      <c r="P28" s="7">
        <f t="array" ref="P28">1/SQRT(SUMIF($B$4:$B$16, $B28, $W$4:$W$16))</f>
        <v>0.53654878925481764</v>
      </c>
      <c r="Q28" s="5">
        <f t="shared" ref="Q28:Q29" si="68">P28^-2</f>
        <v>3.473614040861992</v>
      </c>
      <c r="R28" s="14">
        <f t="shared" ref="R28:R29" si="69">Q28/$Q$30</f>
        <v>0.28694395316330928</v>
      </c>
      <c r="S28" s="7">
        <f t="shared" ref="S28:S29" si="70">M28-$M$30</f>
        <v>-0.57052243909996392</v>
      </c>
      <c r="U28" s="2"/>
      <c r="Y28" s="1"/>
      <c r="Z28" s="1"/>
      <c r="AA28" s="1"/>
      <c r="AB28" s="1"/>
      <c r="AC28" s="1"/>
      <c r="AE28" s="7">
        <f>M28+OR!K28</f>
        <v>-5.4982382778454717</v>
      </c>
      <c r="AF28" s="7">
        <f>AE28-AH28*_xlfn.NORM.S.INV(0.975)</f>
        <v>-6.5922209969955858</v>
      </c>
      <c r="AG28" s="7">
        <f>AE28+AH28*_xlfn.NORM.S.INV(0.975)</f>
        <v>-4.4042555586953576</v>
      </c>
      <c r="AH28" s="7">
        <f>SQRT(P28^2+OR!N28^2)</f>
        <v>0.55816470495341264</v>
      </c>
      <c r="AI28" s="7">
        <f t="shared" ref="AI28:AI29" si="71">EXP(AE28)</f>
        <v>4.0939775399582504E-3</v>
      </c>
      <c r="AJ28" s="7">
        <f t="shared" si="60"/>
        <v>1.3709916114338018E-3</v>
      </c>
      <c r="AK28" s="7">
        <f t="shared" si="61"/>
        <v>1.2225203974920088E-2</v>
      </c>
      <c r="AL28" s="7">
        <f>AI28/(1+AI28)</f>
        <v>4.0772852258197413E-3</v>
      </c>
      <c r="AM28" s="7">
        <f>AJ28/(1+AJ28)</f>
        <v>1.369114566847562E-3</v>
      </c>
      <c r="AN28" s="7">
        <f>AK28/(1+AK28)</f>
        <v>1.2077553420832419E-2</v>
      </c>
      <c r="AO28" t="str">
        <f>TEXT(G28*1000, "0") &amp; " per 1000"</f>
        <v>19 per 1000</v>
      </c>
      <c r="AP28" t="str">
        <f>"(" &amp; TEXT(H28*1000, "0") &amp; " to " &amp; TEXT(I28*1000, "0") &amp; ")"</f>
        <v>(7 to 53)</v>
      </c>
      <c r="AQ28" t="str">
        <f t="shared" si="49"/>
        <v>4 per 1000</v>
      </c>
      <c r="AR28" t="str">
        <f t="shared" si="50"/>
        <v>(1 to 12)</v>
      </c>
      <c r="AS28" t="str">
        <f t="shared" si="51"/>
        <v>15 fewer per 1000</v>
      </c>
      <c r="AT28" t="str">
        <f t="shared" si="52"/>
        <v>(18 fewer to 7 fewer)</v>
      </c>
      <c r="AU28" s="3"/>
      <c r="AV28" s="7">
        <f>$M28+OR!L28</f>
        <v>-5.7997367708752421</v>
      </c>
      <c r="AW28" s="7">
        <f>$M28+OR!M28</f>
        <v>-5.1967397848157013</v>
      </c>
      <c r="AX28" s="7">
        <f>EXP(AE28)</f>
        <v>4.0939775399582504E-3</v>
      </c>
      <c r="AY28" s="7">
        <f t="shared" si="53"/>
        <v>3.0283517908597868E-3</v>
      </c>
      <c r="AZ28" s="7">
        <f t="shared" si="53"/>
        <v>5.5345789575272728E-3</v>
      </c>
      <c r="BA28" s="7">
        <f>AX28/(1+AX28)</f>
        <v>4.0772852258197413E-3</v>
      </c>
      <c r="BB28" s="7">
        <f>AY28/(1+AY28)</f>
        <v>3.0192085651944011E-3</v>
      </c>
      <c r="BC28" s="7">
        <f>AZ28/(1+AZ28)</f>
        <v>5.5041159929727764E-3</v>
      </c>
      <c r="BD28" t="str">
        <f t="shared" si="54"/>
        <v>19 per 1000</v>
      </c>
      <c r="BE28" t="str">
        <f t="shared" si="55"/>
        <v>(7 to 53)</v>
      </c>
      <c r="BF28" t="str">
        <f t="shared" si="56"/>
        <v>4 per 1000</v>
      </c>
      <c r="BG28" t="str">
        <f t="shared" si="57"/>
        <v>(3 to 6)</v>
      </c>
      <c r="BH28" t="str">
        <f t="shared" si="58"/>
        <v>15 fewer per 1000</v>
      </c>
      <c r="BI28" t="str">
        <f t="shared" si="59"/>
        <v>(16 fewer to 14 fewer)</v>
      </c>
    </row>
    <row r="29" spans="2:61" x14ac:dyDescent="0.2">
      <c r="B29" s="4">
        <v>3</v>
      </c>
      <c r="C29" s="5" t="s">
        <v>32</v>
      </c>
      <c r="D29" s="5"/>
      <c r="E29" s="4" t="s">
        <v>14</v>
      </c>
      <c r="F29" s="4"/>
      <c r="G29" s="6">
        <f t="shared" si="62"/>
        <v>4.6849365808290078E-2</v>
      </c>
      <c r="H29" s="6">
        <f t="shared" si="63"/>
        <v>2.2933078638501046E-2</v>
      </c>
      <c r="I29" s="6">
        <f t="shared" si="64"/>
        <v>9.3324988861443664E-2</v>
      </c>
      <c r="J29" s="7">
        <f t="shared" si="65"/>
        <v>4.9152111038586507E-2</v>
      </c>
      <c r="K29" s="7">
        <f t="shared" si="66"/>
        <v>2.3471348929247168E-2</v>
      </c>
      <c r="L29" s="7">
        <f t="shared" si="67"/>
        <v>0.10293102568719843</v>
      </c>
      <c r="M29" s="7">
        <f t="array" ref="M29">SUM(IF($B$4:$B$16=$B29, $M$4:$M$16*$X$4:$X$16))</f>
        <v>-3.0128354823736561</v>
      </c>
      <c r="N29" s="7">
        <f>M29-P29*_xlfn.NORM.S.INV(0.975)</f>
        <v>-3.7519747961543963</v>
      </c>
      <c r="O29" s="7">
        <f>M29+P29*_xlfn.NORM.S.INV(0.975)</f>
        <v>-2.2736961685929158</v>
      </c>
      <c r="P29" s="7">
        <f t="array" ref="P29">1/SQRT(SUMIF($B$4:$B$16, $B29, $W$4:$W$16))</f>
        <v>0.377118824432988</v>
      </c>
      <c r="Q29" s="5">
        <f t="shared" si="68"/>
        <v>7.0314286989511645</v>
      </c>
      <c r="R29" s="14">
        <f t="shared" si="69"/>
        <v>0.58084344533634746</v>
      </c>
      <c r="S29" s="7">
        <f t="shared" si="70"/>
        <v>0.34192271822086839</v>
      </c>
      <c r="U29" s="2"/>
      <c r="Y29" s="1"/>
      <c r="Z29" s="1"/>
      <c r="AA29" s="1"/>
      <c r="AB29" s="1"/>
      <c r="AC29" s="1"/>
      <c r="AE29" s="7">
        <f>M29+OR!K29</f>
        <v>-3.9272088046154456</v>
      </c>
      <c r="AF29" s="7">
        <f>AE29-AH29*_xlfn.NORM.S.INV(0.975)</f>
        <v>-4.7639404603778717</v>
      </c>
      <c r="AG29" s="7">
        <f>AE29+AH29*_xlfn.NORM.S.INV(0.975)</f>
        <v>-3.0904771488530192</v>
      </c>
      <c r="AH29" s="7">
        <f>SQRT(P29^2+OR!N29^2)</f>
        <v>0.42691175060483721</v>
      </c>
      <c r="AI29" s="7">
        <f t="shared" si="71"/>
        <v>1.9698578472158466E-2</v>
      </c>
      <c r="AJ29" s="7">
        <f t="shared" si="60"/>
        <v>8.5319233658788796E-3</v>
      </c>
      <c r="AK29" s="7">
        <f t="shared" si="61"/>
        <v>4.5480248378181896E-2</v>
      </c>
      <c r="AL29" s="7">
        <f>AI29/(1+AI29)</f>
        <v>1.9318040534756234E-2</v>
      </c>
      <c r="AM29" s="7">
        <f>AJ29/(1+AJ29)</f>
        <v>8.4597454658692419E-3</v>
      </c>
      <c r="AN29" s="7">
        <f>AK29/(1+AK29)</f>
        <v>4.3501776765973207E-2</v>
      </c>
      <c r="AO29" t="str">
        <f>TEXT(G29*1000, "0") &amp; " per 1000"</f>
        <v>47 per 1000</v>
      </c>
      <c r="AP29" t="str">
        <f>"(" &amp; TEXT(H29*1000, "0") &amp; " to " &amp; TEXT(I29*1000, "0") &amp; ")"</f>
        <v>(23 to 93)</v>
      </c>
      <c r="AQ29" t="str">
        <f t="shared" si="49"/>
        <v>19 per 1000</v>
      </c>
      <c r="AR29" t="str">
        <f t="shared" si="50"/>
        <v>(8 to 44)</v>
      </c>
      <c r="AS29" t="str">
        <f t="shared" si="51"/>
        <v>28 fewer per 1000</v>
      </c>
      <c r="AT29" t="str">
        <f t="shared" si="52"/>
        <v>(38 fewer to 3 fewer)</v>
      </c>
      <c r="AU29" s="3"/>
      <c r="AV29" s="7">
        <f>$M29+OR!L29</f>
        <v>-4.3193732326028247</v>
      </c>
      <c r="AW29" s="7">
        <f>$M29+OR!M29</f>
        <v>-3.5350443766280666</v>
      </c>
      <c r="AX29" s="7">
        <f>EXP(AE29)</f>
        <v>1.9698578472158466E-2</v>
      </c>
      <c r="AY29" s="7">
        <f t="shared" si="53"/>
        <v>1.3308222088725905E-2</v>
      </c>
      <c r="AZ29" s="7">
        <f t="shared" si="53"/>
        <v>2.9157463050793919E-2</v>
      </c>
      <c r="BA29" s="7">
        <f>AX29/(1+AX29)</f>
        <v>1.9318040534756234E-2</v>
      </c>
      <c r="BB29" s="7">
        <f>AY29/(1+AY29)</f>
        <v>1.313343936092194E-2</v>
      </c>
      <c r="BC29" s="7">
        <f>AZ29/(1+AZ29)</f>
        <v>2.8331391548539798E-2</v>
      </c>
      <c r="BD29" t="str">
        <f t="shared" si="54"/>
        <v>47 per 1000</v>
      </c>
      <c r="BE29" t="str">
        <f t="shared" si="55"/>
        <v>(23 to 93)</v>
      </c>
      <c r="BF29" t="str">
        <f t="shared" si="56"/>
        <v>19 per 1000</v>
      </c>
      <c r="BG29" t="str">
        <f t="shared" si="57"/>
        <v>(13 to 28)</v>
      </c>
      <c r="BH29" t="str">
        <f t="shared" si="58"/>
        <v>28 fewer per 1000</v>
      </c>
      <c r="BI29" t="str">
        <f t="shared" si="59"/>
        <v>(34 fewer to 19 fewer)</v>
      </c>
    </row>
    <row r="30" spans="2:61" x14ac:dyDescent="0.2">
      <c r="M30" s="4">
        <f>SUMPRODUCT(M27:M29, R27:R29)</f>
        <v>-3.3547582005945245</v>
      </c>
      <c r="Q30" s="5">
        <f>SUM(Q27:Q29)</f>
        <v>12.105548845230565</v>
      </c>
      <c r="Y30" s="4">
        <f>COUNTA(C27:C29)</f>
        <v>3</v>
      </c>
      <c r="Z30" s="15" cm="1">
        <f t="array" ref="Z30">SUMPRODUCT(Q27:Q29, S27:S29^2)</f>
        <v>2.0641937641394943</v>
      </c>
      <c r="AA30" s="18" t="str">
        <f>_xlfn.LET(_xlpm.p, _xlfn.CHISQ.DIST.RT(Z30, $Y30-1), IF(_xlpm.p&lt;0.001, "p&lt;0.001", "p="&amp;TEXT(_xlpm.p, "0.000")))</f>
        <v>p=0.356</v>
      </c>
      <c r="AB30" s="16" cm="1">
        <f t="array" ref="AB30">MAX(0, (Z30-(COUNTA(C27:C29)-1)) / (Q30-(SUM(Q27:Q29^2)/Q30)))</f>
        <v>9.4221772300694048E-3</v>
      </c>
      <c r="AC30" s="17">
        <f>MAX(0, (Z30-COUNTA($C27:$C29)+1)/Z30)</f>
        <v>3.1098710428599182E-2</v>
      </c>
    </row>
    <row r="31" spans="2:61" x14ac:dyDescent="0.2">
      <c r="E31">
        <f>SUM(E4:E16)</f>
        <v>25095</v>
      </c>
      <c r="F31">
        <f>SUM(F4:F16)</f>
        <v>439</v>
      </c>
      <c r="G31">
        <f>F31/E31</f>
        <v>1.7493524606495319E-2</v>
      </c>
    </row>
    <row r="32" spans="2:61" x14ac:dyDescent="0.2">
      <c r="B32" s="1">
        <v>1</v>
      </c>
      <c r="E32">
        <f>SUMIF($B$4:$B$16, $B32, E$4:E$16)</f>
        <v>6788</v>
      </c>
      <c r="F32">
        <f>SUMIF($B$4:$B$16, $B32, F$4:F$16)</f>
        <v>89</v>
      </c>
      <c r="G32">
        <f t="shared" ref="G32:G34" si="72">F32/E32</f>
        <v>1.3111373011196229E-2</v>
      </c>
    </row>
    <row r="33" spans="2:7" x14ac:dyDescent="0.2">
      <c r="B33" s="1">
        <v>2</v>
      </c>
      <c r="E33">
        <f t="shared" ref="E33:F34" si="73">SUMIF($B$4:$B$16, $B33, E$4:E$16)</f>
        <v>14199</v>
      </c>
      <c r="F33">
        <f t="shared" si="73"/>
        <v>185</v>
      </c>
      <c r="G33">
        <f t="shared" si="72"/>
        <v>1.3029086555391225E-2</v>
      </c>
    </row>
    <row r="34" spans="2:7" x14ac:dyDescent="0.2">
      <c r="B34" s="1">
        <v>3</v>
      </c>
      <c r="E34">
        <f t="shared" si="73"/>
        <v>4108</v>
      </c>
      <c r="F34">
        <f t="shared" si="73"/>
        <v>165</v>
      </c>
      <c r="G34">
        <f t="shared" si="72"/>
        <v>4.0165530671859788E-2</v>
      </c>
    </row>
  </sheetData>
  <sortState xmlns:xlrd2="http://schemas.microsoft.com/office/spreadsheetml/2017/richdata2" ref="B4:X16">
    <sortCondition ref="D4:D16"/>
    <sortCondition ref="C4:C16"/>
  </sortState>
  <mergeCells count="17">
    <mergeCell ref="BA17:BC17"/>
    <mergeCell ref="AE16:AN16"/>
    <mergeCell ref="AV16:BC16"/>
    <mergeCell ref="AE17:AH17"/>
    <mergeCell ref="AI17:AK17"/>
    <mergeCell ref="AL17:AN17"/>
    <mergeCell ref="AV17:AW17"/>
    <mergeCell ref="AX17:AZ17"/>
    <mergeCell ref="E2:E3"/>
    <mergeCell ref="B2:B3"/>
    <mergeCell ref="C2:C3"/>
    <mergeCell ref="F2:F3"/>
    <mergeCell ref="V2:X2"/>
    <mergeCell ref="Q2:U2"/>
    <mergeCell ref="G2:I2"/>
    <mergeCell ref="J2:L2"/>
    <mergeCell ref="M2:P2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CF88C-925A-4918-A636-ECC4E08A63A3}">
  <sheetPr codeName="Sheet7"/>
  <dimension ref="B2:BH30"/>
  <sheetViews>
    <sheetView workbookViewId="0">
      <pane xSplit="3" ySplit="3" topLeftCell="E4" activePane="bottomRight" state="frozen"/>
      <selection pane="topRight" activeCell="D1" sqref="D1"/>
      <selection pane="bottomLeft" activeCell="A4" sqref="A4"/>
      <selection pane="bottomRight" activeCell="E4" sqref="E4"/>
    </sheetView>
  </sheetViews>
  <sheetFormatPr defaultRowHeight="12" x14ac:dyDescent="0.2"/>
  <cols>
    <col min="1" max="1" width="2.7109375" customWidth="1"/>
    <col min="2" max="2" width="9.140625" style="1"/>
    <col min="3" max="3" width="24.42578125" bestFit="1" customWidth="1"/>
    <col min="4" max="4" width="24.42578125" hidden="1" customWidth="1"/>
    <col min="5" max="18" width="9.5703125" customWidth="1"/>
    <col min="19" max="19" width="10.85546875" style="1" customWidth="1"/>
    <col min="20" max="21" width="10.85546875" customWidth="1"/>
    <col min="22" max="30" width="9.5703125" customWidth="1"/>
    <col min="41" max="41" width="12" bestFit="1" customWidth="1"/>
    <col min="42" max="42" width="11" bestFit="1" customWidth="1"/>
    <col min="43" max="43" width="12" bestFit="1" customWidth="1"/>
    <col min="44" max="44" width="11" bestFit="1" customWidth="1"/>
    <col min="45" max="45" width="18.28515625" bestFit="1" customWidth="1"/>
    <col min="46" max="46" width="23.42578125" bestFit="1" customWidth="1"/>
    <col min="56" max="56" width="12" bestFit="1" customWidth="1"/>
    <col min="57" max="57" width="11" bestFit="1" customWidth="1"/>
    <col min="58" max="58" width="12" bestFit="1" customWidth="1"/>
    <col min="59" max="59" width="11" bestFit="1" customWidth="1"/>
    <col min="60" max="60" width="18.28515625" bestFit="1" customWidth="1"/>
  </cols>
  <sheetData>
    <row r="2" spans="2:55" ht="12" customHeight="1" x14ac:dyDescent="0.25">
      <c r="B2" s="24" t="s">
        <v>31</v>
      </c>
      <c r="C2" s="25" t="s">
        <v>28</v>
      </c>
      <c r="D2" s="8"/>
      <c r="E2" s="24" t="s">
        <v>0</v>
      </c>
      <c r="F2" s="24" t="s">
        <v>1</v>
      </c>
      <c r="G2" s="24" t="s">
        <v>6</v>
      </c>
      <c r="H2" s="24"/>
      <c r="I2" s="24"/>
      <c r="J2" s="29" t="s">
        <v>2</v>
      </c>
      <c r="K2" s="30"/>
      <c r="L2" s="31"/>
      <c r="M2" s="24" t="s">
        <v>39</v>
      </c>
      <c r="N2" s="24"/>
      <c r="O2" s="24"/>
      <c r="P2" s="24"/>
      <c r="Q2" s="26" t="s">
        <v>33</v>
      </c>
      <c r="R2" s="27"/>
      <c r="S2" s="27"/>
      <c r="T2" s="27"/>
      <c r="U2" s="28"/>
      <c r="V2" s="26" t="s">
        <v>34</v>
      </c>
      <c r="W2" s="27"/>
      <c r="X2" s="28"/>
      <c r="Y2" s="19"/>
      <c r="Z2" s="19"/>
      <c r="AA2" s="19"/>
      <c r="AB2" s="19"/>
      <c r="AC2" s="19"/>
      <c r="AD2" s="19"/>
    </row>
    <row r="3" spans="2:55" ht="12.75" x14ac:dyDescent="0.25">
      <c r="B3" s="24"/>
      <c r="C3" s="25"/>
      <c r="D3" s="8"/>
      <c r="E3" s="24"/>
      <c r="F3" s="24"/>
      <c r="G3" s="10" t="s">
        <v>30</v>
      </c>
      <c r="H3" s="9" t="s">
        <v>4</v>
      </c>
      <c r="I3" s="9" t="s">
        <v>5</v>
      </c>
      <c r="J3" s="13" t="s">
        <v>30</v>
      </c>
      <c r="K3" s="9" t="s">
        <v>4</v>
      </c>
      <c r="L3" s="9" t="s">
        <v>5</v>
      </c>
      <c r="M3" s="10" t="s">
        <v>30</v>
      </c>
      <c r="N3" s="9" t="s">
        <v>4</v>
      </c>
      <c r="O3" s="9" t="s">
        <v>5</v>
      </c>
      <c r="P3" s="10" t="s">
        <v>29</v>
      </c>
      <c r="Q3" s="9" t="s">
        <v>7</v>
      </c>
      <c r="R3" s="9" t="s">
        <v>8</v>
      </c>
      <c r="S3" s="9" t="s">
        <v>9</v>
      </c>
      <c r="T3" s="9" t="s">
        <v>10</v>
      </c>
      <c r="U3" s="9" t="s">
        <v>11</v>
      </c>
      <c r="V3" s="9" t="s">
        <v>7</v>
      </c>
      <c r="W3" s="9" t="s">
        <v>10</v>
      </c>
      <c r="X3" s="9" t="s">
        <v>11</v>
      </c>
      <c r="Y3" s="19"/>
      <c r="Z3" s="19"/>
      <c r="AA3" s="19"/>
      <c r="AB3" s="19"/>
      <c r="AC3" s="19"/>
      <c r="AD3" s="19"/>
    </row>
    <row r="4" spans="2:55" x14ac:dyDescent="0.2">
      <c r="B4" s="4">
        <v>1</v>
      </c>
      <c r="C4" s="5" t="s">
        <v>15</v>
      </c>
      <c r="D4" s="5">
        <v>1999</v>
      </c>
      <c r="E4" s="4">
        <v>107</v>
      </c>
      <c r="F4" s="4">
        <v>9</v>
      </c>
      <c r="G4" s="6">
        <f t="shared" ref="G4:G16" si="0">F4/E4</f>
        <v>8.4112149532710276E-2</v>
      </c>
      <c r="H4" s="6">
        <f>_xlfn.BETA.INV(0.025, F4, E4-F4+1)</f>
        <v>3.9184440626252579E-2</v>
      </c>
      <c r="I4" s="6">
        <f>_xlfn.BETA.INV(0.975, F4+1, E4-F4)</f>
        <v>0.15367206789956411</v>
      </c>
      <c r="J4" s="32">
        <f>G4/(1-G4)</f>
        <v>9.1836734693877542E-2</v>
      </c>
      <c r="K4" s="32">
        <f t="shared" ref="K4:L4" si="1">H4/(1-H4)</f>
        <v>4.078247926354639E-2</v>
      </c>
      <c r="L4" s="32">
        <f t="shared" si="1"/>
        <v>0.18157508699751559</v>
      </c>
      <c r="M4" s="7">
        <f>(ASIN(SQRT(F4/(E4+1)))+ASIN(SQRT((F4+1)/(E4+1))))/1</f>
        <v>0.60203609267157665</v>
      </c>
      <c r="N4" s="7">
        <f t="shared" ref="N4:N16" si="2">M4-P4*_xlfn.NORM.S.INV(0.975)</f>
        <v>0.41300038002018435</v>
      </c>
      <c r="O4" s="7">
        <f t="shared" ref="O4:O16" si="3">M4+P4*_xlfn.NORM.S.INV(0.975)</f>
        <v>0.79107180532296895</v>
      </c>
      <c r="P4" s="7">
        <f t="shared" ref="P4:P16" si="4">SQRT(1/(E4+0.5))</f>
        <v>9.6448564434082423E-2</v>
      </c>
      <c r="Q4" s="23">
        <f t="shared" ref="Q4:Q16" si="5">1/P4^2</f>
        <v>107.5</v>
      </c>
      <c r="R4" s="6">
        <f t="shared" ref="R4:R16" si="6">Q4/$Q$17</f>
        <v>4.2826125928729355E-3</v>
      </c>
      <c r="S4" s="7">
        <f t="shared" ref="S4:S16" si="7">M4-$M$19</f>
        <v>0.36544762800835584</v>
      </c>
      <c r="T4" s="7">
        <f t="shared" ref="T4:T16" si="8">1/(P4^2+$AB$19)</f>
        <v>34.022866480980746</v>
      </c>
      <c r="U4" s="6">
        <f t="shared" ref="U4:U16" si="9">T4/$T$17</f>
        <v>5.8963839839075209E-2</v>
      </c>
      <c r="V4" s="6">
        <f t="shared" ref="V4:V16" si="10">Q4 / SUMIF($B$4:$B$16, $B4, $Q$4:$Q$16)</f>
        <v>1.5832106038291605E-2</v>
      </c>
      <c r="W4" s="7" cm="1">
        <f t="array" ref="W4">1/(P4^2+INDEX($AB$22:$AB$24, $B4))</f>
        <v>15.678798653072837</v>
      </c>
      <c r="X4" s="6">
        <f t="shared" ref="X4:X16" si="11">W4 / SUMIF($B$4:$B$16, $B4, $W$4:$W$16)</f>
        <v>0.23039232399905632</v>
      </c>
      <c r="Y4" s="20"/>
      <c r="Z4" s="20"/>
      <c r="AA4" s="20"/>
      <c r="AB4" s="20"/>
      <c r="AC4" s="20"/>
      <c r="AD4" s="22"/>
    </row>
    <row r="5" spans="2:55" x14ac:dyDescent="0.2">
      <c r="B5" s="4">
        <v>1</v>
      </c>
      <c r="C5" s="5" t="s">
        <v>17</v>
      </c>
      <c r="D5" s="5">
        <v>2004</v>
      </c>
      <c r="E5" s="4">
        <v>123</v>
      </c>
      <c r="F5" s="4">
        <v>5</v>
      </c>
      <c r="G5" s="6">
        <f t="shared" si="0"/>
        <v>4.065040650406504E-2</v>
      </c>
      <c r="H5" s="6">
        <f t="shared" ref="H5:H16" si="12">_xlfn.BETA.INV(0.025, F5, E5-F5+1)</f>
        <v>1.3328781968417499E-2</v>
      </c>
      <c r="I5" s="6">
        <f t="shared" ref="I5:I16" si="13">_xlfn.BETA.INV(0.975, F5+1, E5-F5)</f>
        <v>9.2315636882895347E-2</v>
      </c>
      <c r="J5" s="32">
        <f t="shared" ref="J5:J16" si="14">G5/(1-G5)</f>
        <v>4.2372881355932202E-2</v>
      </c>
      <c r="K5" s="32">
        <f t="shared" ref="K5:K16" si="15">H5/(1-H5)</f>
        <v>1.3508838329153386E-2</v>
      </c>
      <c r="L5" s="32">
        <f t="shared" ref="L5:L16" si="16">I5/(1-I5)</f>
        <v>0.10170455792129281</v>
      </c>
      <c r="M5" s="7">
        <f t="shared" ref="M5:M16" si="17">(ASIN(SQRT(F5/(E5+1)))+ASIN(SQRT((F5+1)/(E5+1))))/1</f>
        <v>0.42396382476857386</v>
      </c>
      <c r="N5" s="7">
        <f t="shared" si="2"/>
        <v>0.24759792749186216</v>
      </c>
      <c r="O5" s="7">
        <f t="shared" si="3"/>
        <v>0.60032972204528556</v>
      </c>
      <c r="P5" s="7">
        <f t="shared" si="4"/>
        <v>8.9984254133169517E-2</v>
      </c>
      <c r="Q5" s="23">
        <f t="shared" si="5"/>
        <v>123.49999999999997</v>
      </c>
      <c r="R5" s="6">
        <f t="shared" si="6"/>
        <v>4.9200246997191388E-3</v>
      </c>
      <c r="S5" s="7">
        <f t="shared" si="7"/>
        <v>0.18737536010535302</v>
      </c>
      <c r="T5" s="7">
        <f t="shared" si="8"/>
        <v>35.477551969714575</v>
      </c>
      <c r="U5" s="6">
        <f t="shared" si="9"/>
        <v>6.148490437729915E-2</v>
      </c>
      <c r="V5" s="6">
        <f t="shared" si="10"/>
        <v>1.818851251840942E-2</v>
      </c>
      <c r="W5" s="7" cm="1">
        <f t="array" ref="W5">1/(P5^2+INDEX($AB$22:$AB$24, $B5))</f>
        <v>15.980762423088246</v>
      </c>
      <c r="X5" s="6">
        <f t="shared" si="11"/>
        <v>0.23482953480051855</v>
      </c>
      <c r="Y5" s="20"/>
      <c r="Z5" s="20"/>
      <c r="AA5" s="20"/>
      <c r="AB5" s="20"/>
      <c r="AC5" s="20"/>
      <c r="AD5" s="22"/>
    </row>
    <row r="6" spans="2:55" x14ac:dyDescent="0.2">
      <c r="B6" s="4">
        <v>2</v>
      </c>
      <c r="C6" s="5" t="s">
        <v>21</v>
      </c>
      <c r="D6" s="5">
        <v>2005</v>
      </c>
      <c r="E6" s="4">
        <v>517</v>
      </c>
      <c r="F6" s="4">
        <v>40</v>
      </c>
      <c r="G6" s="6">
        <f t="shared" si="0"/>
        <v>7.7369439071566737E-2</v>
      </c>
      <c r="H6" s="6">
        <f t="shared" si="12"/>
        <v>5.5846609628230411E-2</v>
      </c>
      <c r="I6" s="6">
        <f t="shared" si="13"/>
        <v>0.10386685705043786</v>
      </c>
      <c r="J6" s="32">
        <f t="shared" si="14"/>
        <v>8.385744234800839E-2</v>
      </c>
      <c r="K6" s="32">
        <f t="shared" si="15"/>
        <v>5.9149932836909336E-2</v>
      </c>
      <c r="L6" s="32">
        <f t="shared" si="16"/>
        <v>0.11590560829897113</v>
      </c>
      <c r="M6" s="7">
        <f t="shared" si="17"/>
        <v>0.56677893083960185</v>
      </c>
      <c r="N6" s="7">
        <f t="shared" si="2"/>
        <v>0.48062146550862095</v>
      </c>
      <c r="O6" s="7">
        <f t="shared" si="3"/>
        <v>0.65293639617058274</v>
      </c>
      <c r="P6" s="7">
        <f t="shared" si="4"/>
        <v>4.3958698226385796E-2</v>
      </c>
      <c r="Q6" s="23">
        <f t="shared" si="5"/>
        <v>517.50000000000011</v>
      </c>
      <c r="R6" s="6">
        <f t="shared" si="6"/>
        <v>2.0616297830806929E-2</v>
      </c>
      <c r="S6" s="7">
        <f t="shared" si="7"/>
        <v>0.33019046617638104</v>
      </c>
      <c r="T6" s="7">
        <f t="shared" si="8"/>
        <v>45.409056156887502</v>
      </c>
      <c r="U6" s="6">
        <f t="shared" si="9"/>
        <v>7.8696846897807454E-2</v>
      </c>
      <c r="V6" s="6">
        <f t="shared" si="10"/>
        <v>3.6441095697486103E-2</v>
      </c>
      <c r="W6" s="7" cm="1">
        <f t="array" ref="W6">1/(P6^2+INDEX($AB$22:$AB$24, $B6))</f>
        <v>76.017593712753822</v>
      </c>
      <c r="X6" s="6">
        <f t="shared" si="11"/>
        <v>0.22749649582367951</v>
      </c>
      <c r="Y6" s="20"/>
      <c r="Z6" s="20"/>
      <c r="AA6" s="20"/>
      <c r="AB6" s="20"/>
      <c r="AC6" s="20"/>
      <c r="AD6" s="22"/>
    </row>
    <row r="7" spans="2:55" x14ac:dyDescent="0.2">
      <c r="B7" s="4">
        <v>2</v>
      </c>
      <c r="C7" s="5" t="s">
        <v>20</v>
      </c>
      <c r="D7" s="5">
        <v>2006</v>
      </c>
      <c r="E7" s="4">
        <v>10010</v>
      </c>
      <c r="F7" s="4">
        <v>94</v>
      </c>
      <c r="G7" s="6">
        <f t="shared" si="0"/>
        <v>9.3906093906093915E-3</v>
      </c>
      <c r="H7" s="6">
        <f t="shared" si="12"/>
        <v>7.5950460229443541E-3</v>
      </c>
      <c r="I7" s="6">
        <f t="shared" si="13"/>
        <v>1.1479635821026291E-2</v>
      </c>
      <c r="J7" s="32">
        <f t="shared" si="14"/>
        <v>9.479628882613958E-3</v>
      </c>
      <c r="K7" s="32">
        <f t="shared" si="15"/>
        <v>7.65317221816282E-3</v>
      </c>
      <c r="L7" s="32">
        <f t="shared" si="16"/>
        <v>1.1612948237602396E-2</v>
      </c>
      <c r="M7" s="7">
        <f t="shared" si="17"/>
        <v>0.19462171655158944</v>
      </c>
      <c r="N7" s="7">
        <f t="shared" si="2"/>
        <v>0.17503235842096546</v>
      </c>
      <c r="O7" s="7">
        <f t="shared" si="3"/>
        <v>0.21421107468221343</v>
      </c>
      <c r="P7" s="7">
        <f t="shared" si="4"/>
        <v>9.9947541307607423E-3</v>
      </c>
      <c r="Q7" s="23">
        <f t="shared" si="5"/>
        <v>10010.5</v>
      </c>
      <c r="R7" s="6">
        <f t="shared" si="6"/>
        <v>0.3988008684739956</v>
      </c>
      <c r="S7" s="7">
        <f t="shared" si="7"/>
        <v>-4.1966748111631397E-2</v>
      </c>
      <c r="T7" s="7">
        <f t="shared" si="8"/>
        <v>49.530532681294723</v>
      </c>
      <c r="U7" s="6">
        <f t="shared" si="9"/>
        <v>8.5839633700368789E-2</v>
      </c>
      <c r="V7" s="6">
        <f t="shared" si="10"/>
        <v>0.70491514682064649</v>
      </c>
      <c r="W7" s="7" cm="1">
        <f t="array" ref="W7">1/(P7^2+INDEX($AB$22:$AB$24, $B7))</f>
        <v>88.320673718445192</v>
      </c>
      <c r="X7" s="6">
        <f t="shared" si="11"/>
        <v>0.26431570375216695</v>
      </c>
      <c r="Y7" s="20"/>
      <c r="Z7" s="20"/>
      <c r="AA7" s="20"/>
      <c r="AB7" s="20"/>
      <c r="AC7" s="20"/>
      <c r="AD7" s="22"/>
    </row>
    <row r="8" spans="2:55" x14ac:dyDescent="0.2">
      <c r="B8" s="4">
        <v>1</v>
      </c>
      <c r="C8" s="5" t="s">
        <v>18</v>
      </c>
      <c r="D8" s="5">
        <v>2007</v>
      </c>
      <c r="E8" s="4">
        <v>1302</v>
      </c>
      <c r="F8" s="4">
        <v>60</v>
      </c>
      <c r="G8" s="6">
        <f t="shared" si="0"/>
        <v>4.6082949308755762E-2</v>
      </c>
      <c r="H8" s="6">
        <f t="shared" si="12"/>
        <v>3.5347384920965653E-2</v>
      </c>
      <c r="I8" s="6">
        <f t="shared" si="13"/>
        <v>5.8922670113666586E-2</v>
      </c>
      <c r="J8" s="32">
        <f t="shared" si="14"/>
        <v>4.8309178743961359E-2</v>
      </c>
      <c r="K8" s="32">
        <f t="shared" si="15"/>
        <v>3.6642605191164732E-2</v>
      </c>
      <c r="L8" s="32">
        <f t="shared" si="16"/>
        <v>6.261193234862375E-2</v>
      </c>
      <c r="M8" s="7">
        <f t="shared" si="17"/>
        <v>0.43436160502717203</v>
      </c>
      <c r="N8" s="7">
        <f t="shared" si="2"/>
        <v>0.38005417828477073</v>
      </c>
      <c r="O8" s="7">
        <f t="shared" si="3"/>
        <v>0.48866903176957333</v>
      </c>
      <c r="P8" s="7">
        <f t="shared" si="4"/>
        <v>2.7708379934922978E-2</v>
      </c>
      <c r="Q8" s="23">
        <f t="shared" si="5"/>
        <v>1302.5</v>
      </c>
      <c r="R8" s="6">
        <f t="shared" si="6"/>
        <v>5.1889329322948825E-2</v>
      </c>
      <c r="S8" s="7">
        <f t="shared" si="7"/>
        <v>0.19777314036395119</v>
      </c>
      <c r="T8" s="7">
        <f t="shared" si="8"/>
        <v>47.944554513063984</v>
      </c>
      <c r="U8" s="6">
        <f t="shared" si="9"/>
        <v>8.3091030411692232E-2</v>
      </c>
      <c r="V8" s="6">
        <f t="shared" si="10"/>
        <v>0.1918262150220913</v>
      </c>
      <c r="W8" s="7" cm="1">
        <f t="array" ref="W8">1/(P8^2+INDEX($AB$22:$AB$24, $B8))</f>
        <v>18.100915130321663</v>
      </c>
      <c r="X8" s="6">
        <f t="shared" si="11"/>
        <v>0.26598414812649968</v>
      </c>
      <c r="Y8" s="20"/>
      <c r="Z8" s="20"/>
      <c r="AA8" s="20"/>
      <c r="AB8" s="20"/>
      <c r="AC8" s="20"/>
      <c r="AD8" s="22"/>
    </row>
    <row r="9" spans="2:55" x14ac:dyDescent="0.2">
      <c r="B9" s="4">
        <v>1</v>
      </c>
      <c r="C9" s="5" t="s">
        <v>16</v>
      </c>
      <c r="D9" s="5">
        <v>2009</v>
      </c>
      <c r="E9" s="4">
        <v>5256</v>
      </c>
      <c r="F9" s="4">
        <v>15</v>
      </c>
      <c r="G9" s="6">
        <f t="shared" si="0"/>
        <v>2.8538812785388126E-3</v>
      </c>
      <c r="H9" s="6">
        <f t="shared" si="12"/>
        <v>1.5981482456538841E-3</v>
      </c>
      <c r="I9" s="6">
        <f t="shared" si="13"/>
        <v>4.7026815012304324E-3</v>
      </c>
      <c r="J9" s="32">
        <f t="shared" si="14"/>
        <v>2.8620492272467086E-3</v>
      </c>
      <c r="K9" s="32">
        <f t="shared" si="15"/>
        <v>1.6007064117977054E-3</v>
      </c>
      <c r="L9" s="32">
        <f t="shared" si="16"/>
        <v>4.7249012067304653E-3</v>
      </c>
      <c r="M9" s="7">
        <f t="shared" si="17"/>
        <v>0.10863858562964897</v>
      </c>
      <c r="N9" s="7">
        <f t="shared" si="2"/>
        <v>8.1605242514035392E-2</v>
      </c>
      <c r="O9" s="7">
        <f t="shared" si="3"/>
        <v>0.13567192874526254</v>
      </c>
      <c r="P9" s="7">
        <f t="shared" si="4"/>
        <v>1.3792775443247498E-2</v>
      </c>
      <c r="Q9" s="23">
        <f t="shared" si="5"/>
        <v>5256.5000000000009</v>
      </c>
      <c r="R9" s="6">
        <f t="shared" si="6"/>
        <v>0.20940979622731712</v>
      </c>
      <c r="S9" s="7">
        <f t="shared" si="7"/>
        <v>-0.12794987903357186</v>
      </c>
      <c r="T9" s="7">
        <f t="shared" si="8"/>
        <v>49.309877737117084</v>
      </c>
      <c r="U9" s="6">
        <f t="shared" si="9"/>
        <v>8.5457224334730436E-2</v>
      </c>
      <c r="V9" s="6">
        <f t="shared" si="10"/>
        <v>0.77415316642120768</v>
      </c>
      <c r="W9" s="7" cm="1">
        <f t="array" ref="W9">1/(P9^2+INDEX($AB$22:$AB$24, $B9))</f>
        <v>18.292132408798452</v>
      </c>
      <c r="X9" s="6">
        <f t="shared" si="11"/>
        <v>0.26879399307392543</v>
      </c>
      <c r="Y9" s="20"/>
      <c r="Z9" s="20"/>
      <c r="AA9" s="20"/>
      <c r="AB9" s="20"/>
      <c r="AC9" s="20"/>
      <c r="AD9" s="22"/>
    </row>
    <row r="10" spans="2:55" x14ac:dyDescent="0.2">
      <c r="B10" s="4">
        <v>3</v>
      </c>
      <c r="C10" s="5" t="s">
        <v>24</v>
      </c>
      <c r="D10" s="5">
        <v>2010</v>
      </c>
      <c r="E10" s="4">
        <v>591</v>
      </c>
      <c r="F10" s="4">
        <v>47</v>
      </c>
      <c r="G10" s="6">
        <f t="shared" si="0"/>
        <v>7.952622673434856E-2</v>
      </c>
      <c r="H10" s="6">
        <f t="shared" si="12"/>
        <v>5.9015713938736857E-2</v>
      </c>
      <c r="I10" s="6">
        <f t="shared" si="13"/>
        <v>0.10435126542472395</v>
      </c>
      <c r="J10" s="32">
        <f t="shared" si="14"/>
        <v>8.639705882352941E-2</v>
      </c>
      <c r="K10" s="32">
        <f t="shared" si="15"/>
        <v>6.2717002624733106E-2</v>
      </c>
      <c r="L10" s="32">
        <f t="shared" si="16"/>
        <v>0.11650914180569705</v>
      </c>
      <c r="M10" s="7">
        <f t="shared" si="17"/>
        <v>0.57437674971199992</v>
      </c>
      <c r="N10" s="7">
        <f t="shared" si="2"/>
        <v>0.4937886868486463</v>
      </c>
      <c r="O10" s="7">
        <f t="shared" si="3"/>
        <v>0.65496481257535355</v>
      </c>
      <c r="P10" s="7">
        <f t="shared" si="4"/>
        <v>4.111711414037298E-2</v>
      </c>
      <c r="Q10" s="23">
        <f t="shared" si="5"/>
        <v>591.5</v>
      </c>
      <c r="R10" s="6">
        <f t="shared" si="6"/>
        <v>2.3564328824970619E-2</v>
      </c>
      <c r="S10" s="7">
        <f t="shared" si="7"/>
        <v>0.33778828504877911</v>
      </c>
      <c r="T10" s="7">
        <f t="shared" si="8"/>
        <v>45.91307347319804</v>
      </c>
      <c r="U10" s="6">
        <f t="shared" si="9"/>
        <v>7.9570341679079587E-2</v>
      </c>
      <c r="V10" s="6">
        <f t="shared" si="10"/>
        <v>0.14389976888456393</v>
      </c>
      <c r="W10" s="7" cm="1">
        <f t="array" ref="W10">1/(P10^2+INDEX($AB$22:$AB$24, $B10))</f>
        <v>36.934194411318458</v>
      </c>
      <c r="X10" s="6">
        <f t="shared" si="11"/>
        <v>0.20874650492392988</v>
      </c>
      <c r="Y10" s="20"/>
      <c r="Z10" s="20"/>
      <c r="AA10" s="20"/>
      <c r="AB10" s="20"/>
      <c r="AC10" s="20"/>
      <c r="AD10" s="22"/>
    </row>
    <row r="11" spans="2:55" x14ac:dyDescent="0.2">
      <c r="B11" s="4">
        <v>3</v>
      </c>
      <c r="C11" s="5" t="s">
        <v>25</v>
      </c>
      <c r="D11" s="5">
        <v>2010</v>
      </c>
      <c r="E11" s="4">
        <v>1050</v>
      </c>
      <c r="F11" s="4">
        <v>36</v>
      </c>
      <c r="G11" s="6">
        <f t="shared" si="0"/>
        <v>3.4285714285714287E-2</v>
      </c>
      <c r="H11" s="6">
        <f t="shared" si="12"/>
        <v>2.4126563219279577E-2</v>
      </c>
      <c r="I11" s="6">
        <f t="shared" si="13"/>
        <v>4.7151871613940077E-2</v>
      </c>
      <c r="J11" s="32">
        <f t="shared" si="14"/>
        <v>3.5502958579881658E-2</v>
      </c>
      <c r="K11" s="32">
        <f t="shared" si="15"/>
        <v>2.4723045335540612E-2</v>
      </c>
      <c r="L11" s="32">
        <f t="shared" si="16"/>
        <v>4.9485190986108367E-2</v>
      </c>
      <c r="M11" s="7">
        <f t="shared" si="17"/>
        <v>0.37489662047039496</v>
      </c>
      <c r="N11" s="7">
        <f t="shared" si="2"/>
        <v>0.31442521498653148</v>
      </c>
      <c r="O11" s="7">
        <f t="shared" si="3"/>
        <v>0.43536802595425844</v>
      </c>
      <c r="P11" s="7">
        <f t="shared" si="4"/>
        <v>3.0853324837014473E-2</v>
      </c>
      <c r="Q11" s="23">
        <f t="shared" si="5"/>
        <v>1050.5</v>
      </c>
      <c r="R11" s="6">
        <f t="shared" si="6"/>
        <v>4.1850088640121109E-2</v>
      </c>
      <c r="S11" s="7">
        <f t="shared" si="7"/>
        <v>0.13830815580717412</v>
      </c>
      <c r="T11" s="7">
        <f t="shared" si="8"/>
        <v>47.524904450597226</v>
      </c>
      <c r="U11" s="6">
        <f t="shared" si="9"/>
        <v>8.2363749567040886E-2</v>
      </c>
      <c r="V11" s="6">
        <f t="shared" si="10"/>
        <v>0.25556501642135993</v>
      </c>
      <c r="W11" s="7" cm="1">
        <f t="array" ref="W11">1/(P11^2+INDEX($AB$22:$AB$24, $B11))</f>
        <v>37.970129611589655</v>
      </c>
      <c r="X11" s="6">
        <f t="shared" si="11"/>
        <v>0.21460145467526423</v>
      </c>
      <c r="Y11" s="20"/>
      <c r="Z11" s="20"/>
      <c r="AA11" s="20"/>
      <c r="AB11" s="20"/>
      <c r="AC11" s="20"/>
      <c r="AD11" s="22"/>
    </row>
    <row r="12" spans="2:55" x14ac:dyDescent="0.2">
      <c r="B12" s="4">
        <v>3</v>
      </c>
      <c r="C12" s="5" t="s">
        <v>26</v>
      </c>
      <c r="D12" s="5">
        <v>2010</v>
      </c>
      <c r="E12" s="4">
        <v>96</v>
      </c>
      <c r="F12" s="4">
        <v>3</v>
      </c>
      <c r="G12" s="6">
        <f t="shared" si="0"/>
        <v>3.125E-2</v>
      </c>
      <c r="H12" s="6">
        <f t="shared" si="12"/>
        <v>6.4914547698643344E-3</v>
      </c>
      <c r="I12" s="6">
        <f t="shared" si="13"/>
        <v>8.8618099661560978E-2</v>
      </c>
      <c r="J12" s="32">
        <f t="shared" si="14"/>
        <v>3.2258064516129031E-2</v>
      </c>
      <c r="K12" s="32">
        <f t="shared" si="15"/>
        <v>6.5338690855051059E-3</v>
      </c>
      <c r="L12" s="32">
        <f t="shared" si="16"/>
        <v>9.7234868970574137E-2</v>
      </c>
      <c r="M12" s="7">
        <f t="shared" si="17"/>
        <v>0.38127392998642951</v>
      </c>
      <c r="N12" s="7">
        <f t="shared" si="2"/>
        <v>0.18175484962847951</v>
      </c>
      <c r="O12" s="7">
        <f t="shared" si="3"/>
        <v>0.58079301034437947</v>
      </c>
      <c r="P12" s="7">
        <f t="shared" si="4"/>
        <v>0.10179731971185751</v>
      </c>
      <c r="Q12" s="23">
        <f t="shared" si="5"/>
        <v>96.5</v>
      </c>
      <c r="R12" s="6">
        <f t="shared" si="6"/>
        <v>3.8443917694161705E-3</v>
      </c>
      <c r="S12" s="7">
        <f t="shared" si="7"/>
        <v>0.14468546532320867</v>
      </c>
      <c r="T12" s="7">
        <f t="shared" si="8"/>
        <v>32.838170903636531</v>
      </c>
      <c r="U12" s="6">
        <f t="shared" si="9"/>
        <v>5.6910685372515653E-2</v>
      </c>
      <c r="V12" s="6">
        <f t="shared" si="10"/>
        <v>2.3476462717430969E-2</v>
      </c>
      <c r="W12" s="7" cm="1">
        <f t="array" ref="W12">1/(P12^2+INDEX($AB$22:$AB$24, $B12))</f>
        <v>27.974173369338672</v>
      </c>
      <c r="X12" s="6">
        <f t="shared" si="11"/>
        <v>0.15810581527658848</v>
      </c>
      <c r="Y12" s="20"/>
      <c r="Z12" s="20"/>
      <c r="AA12" s="20"/>
      <c r="AB12" s="20"/>
      <c r="AC12" s="20"/>
      <c r="AD12" s="22"/>
    </row>
    <row r="13" spans="2:55" x14ac:dyDescent="0.2">
      <c r="B13" s="4">
        <v>2</v>
      </c>
      <c r="C13" s="5" t="s">
        <v>22</v>
      </c>
      <c r="D13" s="5">
        <v>2011</v>
      </c>
      <c r="E13" s="4">
        <v>2099</v>
      </c>
      <c r="F13" s="4">
        <v>19</v>
      </c>
      <c r="G13" s="6">
        <f t="shared" si="0"/>
        <v>9.0519294902334443E-3</v>
      </c>
      <c r="H13" s="6">
        <f t="shared" si="12"/>
        <v>5.4583991839776795E-3</v>
      </c>
      <c r="I13" s="6">
        <f t="shared" si="13"/>
        <v>1.4099762249063952E-2</v>
      </c>
      <c r="J13" s="32">
        <f t="shared" si="14"/>
        <v>9.1346153846153851E-3</v>
      </c>
      <c r="K13" s="32">
        <f t="shared" si="15"/>
        <v>5.4883568264002813E-3</v>
      </c>
      <c r="L13" s="32">
        <f t="shared" si="16"/>
        <v>1.430140871172598E-2</v>
      </c>
      <c r="M13" s="7">
        <f t="shared" si="17"/>
        <v>0.1930085733705173</v>
      </c>
      <c r="N13" s="7">
        <f t="shared" si="2"/>
        <v>0.15023356023941634</v>
      </c>
      <c r="O13" s="7">
        <f t="shared" si="3"/>
        <v>0.23578358650161826</v>
      </c>
      <c r="P13" s="7">
        <f t="shared" si="4"/>
        <v>2.1824387319616497E-2</v>
      </c>
      <c r="Q13" s="23">
        <f t="shared" si="5"/>
        <v>2099.5</v>
      </c>
      <c r="R13" s="6">
        <f t="shared" si="6"/>
        <v>8.3640419895225387E-2</v>
      </c>
      <c r="S13" s="7">
        <f t="shared" si="7"/>
        <v>-4.3579891292703538E-2</v>
      </c>
      <c r="T13" s="7">
        <f t="shared" si="8"/>
        <v>48.624000099240305</v>
      </c>
      <c r="U13" s="6">
        <f t="shared" si="9"/>
        <v>8.4268553791301146E-2</v>
      </c>
      <c r="V13" s="6">
        <f t="shared" si="10"/>
        <v>0.14784170128864166</v>
      </c>
      <c r="W13" s="7" cm="1">
        <f t="array" ref="W13">1/(P13^2+INDEX($AB$22:$AB$24, $B13))</f>
        <v>85.478953575194609</v>
      </c>
      <c r="X13" s="6">
        <f t="shared" si="11"/>
        <v>0.25581133860291061</v>
      </c>
      <c r="Y13" s="20"/>
      <c r="Z13" s="20"/>
      <c r="AA13" s="20"/>
      <c r="AB13" s="20"/>
      <c r="AC13" s="20"/>
      <c r="AD13" s="22"/>
    </row>
    <row r="14" spans="2:55" x14ac:dyDescent="0.2">
      <c r="B14" s="4">
        <v>2</v>
      </c>
      <c r="C14" s="5" t="s">
        <v>19</v>
      </c>
      <c r="D14" s="5">
        <v>2014</v>
      </c>
      <c r="E14" s="4">
        <v>1573</v>
      </c>
      <c r="F14" s="4">
        <v>32</v>
      </c>
      <c r="G14" s="6">
        <f t="shared" si="0"/>
        <v>2.0343293070565798E-2</v>
      </c>
      <c r="H14" s="6">
        <f t="shared" si="12"/>
        <v>1.3955394013858717E-2</v>
      </c>
      <c r="I14" s="6">
        <f t="shared" si="13"/>
        <v>2.8598146840828287E-2</v>
      </c>
      <c r="J14" s="32">
        <f t="shared" si="14"/>
        <v>2.0765736534717718E-2</v>
      </c>
      <c r="K14" s="32">
        <f t="shared" si="15"/>
        <v>1.4152903356640701E-2</v>
      </c>
      <c r="L14" s="32">
        <f t="shared" si="16"/>
        <v>2.9440078529623988E-2</v>
      </c>
      <c r="M14" s="7">
        <f t="shared" si="17"/>
        <v>0.28837834499360676</v>
      </c>
      <c r="N14" s="7">
        <f t="shared" si="2"/>
        <v>0.23896836052261489</v>
      </c>
      <c r="O14" s="7">
        <f t="shared" si="3"/>
        <v>0.33778832946459864</v>
      </c>
      <c r="P14" s="7">
        <f t="shared" si="4"/>
        <v>2.5209638983538233E-2</v>
      </c>
      <c r="Q14" s="23">
        <f t="shared" si="5"/>
        <v>1573.4999999999995</v>
      </c>
      <c r="R14" s="6">
        <f t="shared" si="6"/>
        <v>6.26854968826564E-2</v>
      </c>
      <c r="S14" s="7">
        <f t="shared" si="7"/>
        <v>5.1789880330385923E-2</v>
      </c>
      <c r="T14" s="7">
        <f t="shared" si="8"/>
        <v>48.25044461123948</v>
      </c>
      <c r="U14" s="6">
        <f t="shared" si="9"/>
        <v>8.3621157841350796E-2</v>
      </c>
      <c r="V14" s="6">
        <f t="shared" si="10"/>
        <v>0.11080205619322579</v>
      </c>
      <c r="W14" s="7" cm="1">
        <f t="array" ref="W14">1/(P14^2+INDEX($AB$22:$AB$24, $B14))</f>
        <v>84.331194939630564</v>
      </c>
      <c r="X14" s="6">
        <f t="shared" si="11"/>
        <v>0.25237646182124285</v>
      </c>
      <c r="Y14" s="20"/>
      <c r="Z14" s="20"/>
      <c r="AA14" s="20"/>
      <c r="AB14" s="20"/>
      <c r="AC14" s="20"/>
      <c r="AD14" s="22"/>
    </row>
    <row r="15" spans="2:55" x14ac:dyDescent="0.2">
      <c r="B15" s="4">
        <v>3</v>
      </c>
      <c r="C15" s="5" t="s">
        <v>23</v>
      </c>
      <c r="D15" s="5">
        <v>2016</v>
      </c>
      <c r="E15" s="4">
        <v>350</v>
      </c>
      <c r="F15" s="4">
        <v>39</v>
      </c>
      <c r="G15" s="6">
        <f t="shared" si="0"/>
        <v>0.11142857142857143</v>
      </c>
      <c r="H15" s="6">
        <f t="shared" si="12"/>
        <v>8.0446539173731971E-2</v>
      </c>
      <c r="I15" s="6">
        <f t="shared" si="13"/>
        <v>0.14916827664819099</v>
      </c>
      <c r="J15" s="32">
        <f t="shared" si="14"/>
        <v>0.12540192926045016</v>
      </c>
      <c r="K15" s="32">
        <f t="shared" si="15"/>
        <v>8.7484352569829324E-2</v>
      </c>
      <c r="L15" s="32">
        <f t="shared" si="16"/>
        <v>0.17532053936652717</v>
      </c>
      <c r="M15" s="7">
        <f t="shared" si="17"/>
        <v>0.68418147250895278</v>
      </c>
      <c r="N15" s="7">
        <f t="shared" si="2"/>
        <v>0.5794917424776822</v>
      </c>
      <c r="O15" s="7">
        <f t="shared" si="3"/>
        <v>0.78887120254022336</v>
      </c>
      <c r="P15" s="7">
        <f t="shared" si="4"/>
        <v>5.341410906376335E-2</v>
      </c>
      <c r="Q15" s="23">
        <f t="shared" si="5"/>
        <v>350.50000000000006</v>
      </c>
      <c r="R15" s="6">
        <f t="shared" si="6"/>
        <v>1.3963308965599667E-2</v>
      </c>
      <c r="S15" s="7">
        <f t="shared" si="7"/>
        <v>0.44759300784573197</v>
      </c>
      <c r="T15" s="7">
        <f t="shared" si="8"/>
        <v>43.586775314378947</v>
      </c>
      <c r="U15" s="6">
        <f t="shared" si="9"/>
        <v>7.553871570978557E-2</v>
      </c>
      <c r="V15" s="6">
        <f t="shared" si="10"/>
        <v>8.5269431942586071E-2</v>
      </c>
      <c r="W15" s="7" cm="1">
        <f t="array" ref="W15">1/(P15^2+INDEX($AB$22:$AB$24, $B15))</f>
        <v>35.413735657328274</v>
      </c>
      <c r="X15" s="6">
        <f t="shared" si="11"/>
        <v>0.20015310101096462</v>
      </c>
      <c r="Y15" s="20"/>
      <c r="Z15" s="20"/>
      <c r="AA15" s="20"/>
      <c r="AB15" s="20"/>
      <c r="AC15" s="20"/>
      <c r="AD15" s="22"/>
    </row>
    <row r="16" spans="2:55" ht="12.75" x14ac:dyDescent="0.25">
      <c r="B16" s="4">
        <v>3</v>
      </c>
      <c r="C16" s="5" t="s">
        <v>27</v>
      </c>
      <c r="D16" s="5">
        <v>2017</v>
      </c>
      <c r="E16" s="4">
        <v>2021</v>
      </c>
      <c r="F16" s="4">
        <v>40</v>
      </c>
      <c r="G16" s="6">
        <f t="shared" si="0"/>
        <v>1.9792182088075209E-2</v>
      </c>
      <c r="H16" s="6">
        <f t="shared" si="12"/>
        <v>1.4176540934804726E-2</v>
      </c>
      <c r="I16" s="6">
        <f t="shared" si="13"/>
        <v>2.6854632142366386E-2</v>
      </c>
      <c r="J16" s="32">
        <f t="shared" si="14"/>
        <v>2.0191822311963654E-2</v>
      </c>
      <c r="K16" s="32">
        <f t="shared" si="15"/>
        <v>1.438040533976296E-2</v>
      </c>
      <c r="L16" s="32">
        <f t="shared" si="16"/>
        <v>2.7595704639160432E-2</v>
      </c>
      <c r="M16" s="7">
        <f t="shared" si="17"/>
        <v>0.28400065001616848</v>
      </c>
      <c r="N16" s="7">
        <f t="shared" si="2"/>
        <v>0.24040820602939358</v>
      </c>
      <c r="O16" s="7">
        <f t="shared" si="3"/>
        <v>0.32759309400294334</v>
      </c>
      <c r="P16" s="7">
        <f t="shared" si="4"/>
        <v>2.2241451542286763E-2</v>
      </c>
      <c r="Q16" s="23">
        <f t="shared" si="5"/>
        <v>2021.5</v>
      </c>
      <c r="R16" s="6">
        <f t="shared" si="6"/>
        <v>8.0533035874350137E-2</v>
      </c>
      <c r="S16" s="7">
        <f t="shared" si="7"/>
        <v>4.7412185352947639E-2</v>
      </c>
      <c r="T16" s="7">
        <f t="shared" si="8"/>
        <v>48.580587236824748</v>
      </c>
      <c r="U16" s="6">
        <f t="shared" si="9"/>
        <v>8.419331647795314E-2</v>
      </c>
      <c r="V16" s="6">
        <f t="shared" si="10"/>
        <v>0.49178932003405912</v>
      </c>
      <c r="W16" s="7" cm="1">
        <f t="array" ref="W16">1/(P16^2+INDEX($AB$22:$AB$24, $B16))</f>
        <v>38.641001951306961</v>
      </c>
      <c r="X16" s="6">
        <f t="shared" si="11"/>
        <v>0.21839312411325287</v>
      </c>
      <c r="Y16" s="20"/>
      <c r="Z16" s="20"/>
      <c r="AA16" s="20"/>
      <c r="AB16" s="20"/>
      <c r="AC16" s="20"/>
      <c r="AD16" s="22"/>
      <c r="AE16" s="26" t="s">
        <v>40</v>
      </c>
      <c r="AF16" s="27"/>
      <c r="AG16" s="27"/>
      <c r="AH16" s="27"/>
      <c r="AI16" s="27"/>
      <c r="AJ16" s="27"/>
      <c r="AK16" s="27"/>
      <c r="AL16" s="27"/>
      <c r="AM16" s="27"/>
      <c r="AN16" s="28"/>
      <c r="AV16" s="26" t="s">
        <v>41</v>
      </c>
      <c r="AW16" s="27"/>
      <c r="AX16" s="27"/>
      <c r="AY16" s="27"/>
      <c r="AZ16" s="27"/>
      <c r="BA16" s="27"/>
      <c r="BB16" s="27"/>
      <c r="BC16" s="28"/>
    </row>
    <row r="17" spans="2:60" ht="12.75" x14ac:dyDescent="0.25">
      <c r="F17" s="1"/>
      <c r="G17" s="2"/>
      <c r="H17" s="2"/>
      <c r="I17" s="2"/>
      <c r="J17" s="2"/>
      <c r="K17" s="2"/>
      <c r="L17" s="2"/>
      <c r="M17" s="1"/>
      <c r="N17" s="1"/>
      <c r="O17" s="1"/>
      <c r="P17" s="1"/>
      <c r="Q17" s="23">
        <f>SUM(Q4:Q16)</f>
        <v>25101.5</v>
      </c>
      <c r="R17" s="1"/>
      <c r="T17" s="7">
        <f>SUM(T4:T16)</f>
        <v>577.01239562817386</v>
      </c>
      <c r="U17" s="1"/>
      <c r="AE17" s="24" t="s">
        <v>3</v>
      </c>
      <c r="AF17" s="24"/>
      <c r="AG17" s="24"/>
      <c r="AH17" s="24"/>
      <c r="AI17" s="24" t="s">
        <v>2</v>
      </c>
      <c r="AJ17" s="24"/>
      <c r="AK17" s="24"/>
      <c r="AL17" s="24" t="s">
        <v>6</v>
      </c>
      <c r="AM17" s="24"/>
      <c r="AN17" s="24"/>
      <c r="AV17" s="24" t="s">
        <v>3</v>
      </c>
      <c r="AW17" s="24"/>
      <c r="AX17" s="24" t="s">
        <v>2</v>
      </c>
      <c r="AY17" s="24"/>
      <c r="AZ17" s="24"/>
      <c r="BA17" s="24" t="s">
        <v>6</v>
      </c>
      <c r="BB17" s="24"/>
      <c r="BC17" s="24"/>
    </row>
    <row r="18" spans="2:60" ht="12.75" x14ac:dyDescent="0.25">
      <c r="E18" s="1"/>
      <c r="F18" s="1"/>
      <c r="G18" s="2"/>
      <c r="H18" s="2"/>
      <c r="I18" s="2"/>
      <c r="J18" s="2"/>
      <c r="K18" s="2"/>
      <c r="L18" s="2"/>
      <c r="M18" s="1"/>
      <c r="N18" s="1"/>
      <c r="O18" s="1"/>
      <c r="P18" s="1"/>
      <c r="Q18" s="1"/>
      <c r="R18" s="1"/>
      <c r="T18" s="3"/>
      <c r="U18" s="1"/>
      <c r="AE18" s="13" t="s">
        <v>30</v>
      </c>
      <c r="AF18" s="9" t="s">
        <v>4</v>
      </c>
      <c r="AG18" s="9" t="s">
        <v>5</v>
      </c>
      <c r="AH18" s="13" t="s">
        <v>29</v>
      </c>
      <c r="AI18" s="13" t="s">
        <v>30</v>
      </c>
      <c r="AJ18" s="9" t="s">
        <v>4</v>
      </c>
      <c r="AK18" s="9" t="s">
        <v>5</v>
      </c>
      <c r="AL18" s="13" t="s">
        <v>30</v>
      </c>
      <c r="AM18" s="9" t="s">
        <v>4</v>
      </c>
      <c r="AN18" s="9" t="s">
        <v>5</v>
      </c>
      <c r="AV18" s="9" t="s">
        <v>4</v>
      </c>
      <c r="AW18" s="9" t="s">
        <v>5</v>
      </c>
      <c r="AX18" s="13" t="s">
        <v>30</v>
      </c>
      <c r="AY18" s="9" t="s">
        <v>4</v>
      </c>
      <c r="AZ18" s="9" t="s">
        <v>5</v>
      </c>
      <c r="BA18" s="13" t="s">
        <v>30</v>
      </c>
      <c r="BB18" s="9" t="s">
        <v>4</v>
      </c>
      <c r="BC18" s="9" t="s">
        <v>5</v>
      </c>
    </row>
    <row r="19" spans="2:60" x14ac:dyDescent="0.2">
      <c r="C19" s="5" t="s">
        <v>38</v>
      </c>
      <c r="D19" s="5"/>
      <c r="E19" s="4">
        <f>HARMEAN(E4:E16)</f>
        <v>342.16372513636077</v>
      </c>
      <c r="F19" s="4" t="s">
        <v>13</v>
      </c>
      <c r="G19" s="6">
        <f>0.5*(1-SIGN(COS(M19))*SQRT(1-(SIN(M19)+(SIN(M19)-(1/SIN(M19)))/$E19)^2))</f>
        <v>1.2545469725252445E-2</v>
      </c>
      <c r="H19" s="6">
        <f>0.5*(1-SIGN(COS(N19))*SQRT(1-(SIN(N19)+(SIN(N19)-(1/SIN(N19)))/$E19)^2))</f>
        <v>1.1133103651999154E-2</v>
      </c>
      <c r="I19" s="6">
        <f>0.5*(1-SIGN(COS(O19))*SQRT(1-(SIN(O19)+(SIN(O19)-(1/SIN(O19)))/$E19)^2))</f>
        <v>1.403306608771826E-2</v>
      </c>
      <c r="J19" s="32">
        <f t="shared" ref="J19:J20" si="18">G19/(1-G19)</f>
        <v>1.270485813839126E-2</v>
      </c>
      <c r="K19" s="32">
        <f t="shared" ref="K19:K20" si="19">H19/(1-H19)</f>
        <v>1.1258445088125598E-2</v>
      </c>
      <c r="L19" s="32">
        <f t="shared" ref="L19:L20" si="20">I19/(1-I19)</f>
        <v>1.4232795852529814E-2</v>
      </c>
      <c r="M19" s="7">
        <f>SUMPRODUCT(M4:M16, R4:R16)</f>
        <v>0.23658846466322084</v>
      </c>
      <c r="N19" s="7">
        <f>M19-P19*_xlfn.NORM.S.INV(0.975)</f>
        <v>0.22421765133036561</v>
      </c>
      <c r="O19" s="7">
        <f>M19+P19*_xlfn.NORM.S.INV(0.975)</f>
        <v>0.24895927799607606</v>
      </c>
      <c r="P19" s="7">
        <f>1/SQRT(Q17)</f>
        <v>6.3117554355256646E-3</v>
      </c>
      <c r="Y19" s="4">
        <f>COUNTA(E4:E16)</f>
        <v>13</v>
      </c>
      <c r="Z19" s="15" cm="1">
        <f t="array" ref="Z19">SUMPRODUCT(Q4:Q16, S4:S16^2)</f>
        <v>402.32254049521214</v>
      </c>
      <c r="AA19" s="18" t="str">
        <f>_xlfn.LET(_xlpm.p, _xlfn.CHISQ.DIST.RT(Z19, $Y19-1), IF(_xlpm.p&lt;0.001, "p&lt;0.001", "p="&amp;TEXT(_xlpm.p, "0.000")))</f>
        <v>p&lt;0.001</v>
      </c>
      <c r="AB19" s="16" cm="1">
        <f t="array" ref="AB19">MAX(0, (Z19-(COUNTA(C4:C16)-1)) / (Q17-(SUM(Q4:Q16^2)/Q17)))</f>
        <v>2.0089671726033577E-2</v>
      </c>
      <c r="AC19" s="17">
        <f>MAX(0, (Z19-COUNTA($C$4:$C$16)+1)/Z19)</f>
        <v>0.97017318496440841</v>
      </c>
      <c r="AE19" s="7">
        <f>LN($J19)+OR!K19</f>
        <v>-5.6366196651043001</v>
      </c>
      <c r="AF19" s="7">
        <f>AE19-AH19*_xlfn.NORM.S.INV(0.975)</f>
        <v>-5.8580400840605433</v>
      </c>
      <c r="AG19" s="7">
        <f>AE19+AH19*_xlfn.NORM.S.INV(0.975)</f>
        <v>-5.4151992461480569</v>
      </c>
      <c r="AH19" s="7">
        <f>SQRT(((LN(L19)-LN(K19))/_xlfn.NORM.S.INV(0.975)/2)^2+OR!N19^2)</f>
        <v>0.1129716773893702</v>
      </c>
      <c r="AI19" s="7">
        <f>EXP(AE19)</f>
        <v>3.5648986128830056E-3</v>
      </c>
      <c r="AJ19" s="7">
        <f t="shared" ref="AJ19:AJ20" si="21">EXP(AF19)</f>
        <v>2.8568373603990844E-3</v>
      </c>
      <c r="AK19" s="7">
        <f t="shared" ref="AK19:AK20" si="22">EXP(AG19)</f>
        <v>4.4484513876421267E-3</v>
      </c>
      <c r="AL19" s="7">
        <f>AI19/(1+AI19)</f>
        <v>3.5522352543521313E-3</v>
      </c>
      <c r="AM19" s="7">
        <f>AJ19/(1+AJ19)</f>
        <v>2.8486990904090692E-3</v>
      </c>
      <c r="AN19" s="7">
        <f>AK19/(1+AK19)</f>
        <v>4.4287503071925756E-3</v>
      </c>
      <c r="AO19" t="str">
        <f>TEXT(G19*1000, "0") &amp; " per 1000"</f>
        <v>13 per 1000</v>
      </c>
      <c r="AP19" t="str">
        <f>"(" &amp; TEXT(H19*1000, "0") &amp; " to " &amp; TEXT(I19*1000, "0") &amp; ")"</f>
        <v>(11 to 14)</v>
      </c>
      <c r="AQ19" t="str">
        <f>TEXT(AL19*1000, "0") &amp; " per 1000"</f>
        <v>4 per 1000</v>
      </c>
      <c r="AR19" t="str">
        <f>"(" &amp; TEXT(AM19*1000, "0") &amp; " to " &amp; TEXT(AN19*1000, "0") &amp; ")"</f>
        <v>(3 to 4)</v>
      </c>
      <c r="AS19" t="str">
        <f>TEXT(ABS(AL19-$G19)*1000, "0") &amp; IF(SIGN(AL19-$G19)=-1, " fewer", " more") &amp; " per 1000"</f>
        <v>9 fewer per 1000</v>
      </c>
      <c r="AT19" t="str">
        <f>"(" &amp; TEXT(ABS(AM19-$G19)*1000, "0") &amp; IF(SIGN(AM19-$G19)=-1, " fewer", " more") &amp; " to " &amp; TEXT(ABS(AN19-$G19)*1000, "0") &amp; IF(SIGN(AN19-$G19)=-1, " fewer", " more") &amp; ")"</f>
        <v>(10 fewer to 8 fewer)</v>
      </c>
      <c r="AV19" s="7">
        <f>LN($J19)+OR!L19</f>
        <v>-5.8244696185474263</v>
      </c>
      <c r="AW19" s="7">
        <f>LN($J19)+OR!M19</f>
        <v>-5.4487697116611731</v>
      </c>
      <c r="AX19" s="7">
        <f>EXP(AE19)</f>
        <v>3.5648986128830056E-3</v>
      </c>
      <c r="AY19" s="7">
        <f>EXP(AV19)</f>
        <v>2.9543706803209098E-3</v>
      </c>
      <c r="AZ19" s="7">
        <f>EXP(AW19)</f>
        <v>4.3015936371108192E-3</v>
      </c>
      <c r="BA19" s="7">
        <f>AX19/(1+AX19)</f>
        <v>3.5522352543521313E-3</v>
      </c>
      <c r="BB19" s="7">
        <f>AY19/(1+AY19)</f>
        <v>2.945668084896933E-3</v>
      </c>
      <c r="BC19" s="7">
        <f>AZ19/(1+AZ19)</f>
        <v>4.2831691838031019E-3</v>
      </c>
      <c r="BD19" t="str">
        <f>TEXT(G19*1000, "0") &amp; " per 1000"</f>
        <v>13 per 1000</v>
      </c>
      <c r="BE19" t="str">
        <f>"(" &amp; TEXT(H19*1000, "0") &amp; " to " &amp; TEXT(I19*1000, "0") &amp; ")"</f>
        <v>(11 to 14)</v>
      </c>
      <c r="BF19" t="str">
        <f>TEXT(BA19*1000, "0") &amp; " per 1000"</f>
        <v>4 per 1000</v>
      </c>
      <c r="BG19" t="str">
        <f>"(" &amp; TEXT(BB19*1000, "0") &amp; " to " &amp; TEXT(BC19*1000, "0") &amp; ")"</f>
        <v>(3 to 4)</v>
      </c>
      <c r="BH19" t="str">
        <f>TEXT(ABS(BA19-$G19)*1000, "0") &amp; IF(SIGN(BA19-$G19)=-1, " fewer", " more") &amp; " per 1000"</f>
        <v>9 fewer per 1000</v>
      </c>
    </row>
    <row r="20" spans="2:60" x14ac:dyDescent="0.2">
      <c r="C20" s="5" t="s">
        <v>38</v>
      </c>
      <c r="D20" s="5"/>
      <c r="E20" s="4">
        <f>E19</f>
        <v>342.16372513636077</v>
      </c>
      <c r="F20" s="4" t="s">
        <v>14</v>
      </c>
      <c r="G20" s="6">
        <f>0.5*(1-SIGN(COS(M20))*SQRT(1-(SIN(M20)+(SIN(M20)-(1/SIN(M20)))/$E20)^2))</f>
        <v>3.4791882668215146E-2</v>
      </c>
      <c r="H20" s="6">
        <f t="shared" ref="H20" si="23">0.5*(1-SIGN(COS(N20))*SQRT(1-(SIN(N20)+(SIN(N20)-(1/SIN(N20)))/$E20)^2))</f>
        <v>2.1093898462087424E-2</v>
      </c>
      <c r="I20" s="6">
        <f t="shared" ref="I20" si="24">0.5*(1-SIGN(COS(O20))*SQRT(1-(SIN(O20)+(SIN(O20)-(1/SIN(O20)))/$E20)^2))</f>
        <v>5.158965848494973E-2</v>
      </c>
      <c r="J20" s="32">
        <f t="shared" si="18"/>
        <v>3.6045990541805226E-2</v>
      </c>
      <c r="K20" s="32">
        <f t="shared" si="19"/>
        <v>2.1548439047369108E-2</v>
      </c>
      <c r="L20" s="32">
        <f t="shared" si="20"/>
        <v>5.4395925715589703E-2</v>
      </c>
      <c r="M20" s="7">
        <f>SUMPRODUCT(M4:M16, U4:U16)</f>
        <v>0.38250324895537924</v>
      </c>
      <c r="N20" s="7">
        <f>M20-P20*_xlfn.NORM.S.INV(0.975)</f>
        <v>0.30090975709006318</v>
      </c>
      <c r="O20" s="7">
        <f>M20+P20*_xlfn.NORM.S.INV(0.975)</f>
        <v>0.4640967408206953</v>
      </c>
      <c r="P20" s="7">
        <f>1/SQRT(T17)</f>
        <v>4.163009754715654E-2</v>
      </c>
      <c r="Q20" s="11"/>
      <c r="R20" s="1"/>
      <c r="S20" s="2"/>
      <c r="Y20" s="1"/>
      <c r="Z20" s="11"/>
      <c r="AA20" s="11"/>
      <c r="AB20" s="1"/>
      <c r="AC20" s="2"/>
      <c r="AE20" s="7">
        <f>LN($J20)+OR!K20</f>
        <v>-4.7788531062121358</v>
      </c>
      <c r="AF20" s="7">
        <f>AE20-AH20*_xlfn.NORM.S.INV(0.975)</f>
        <v>-5.3900057328882003</v>
      </c>
      <c r="AG20" s="7">
        <f>AE20+AH20*_xlfn.NORM.S.INV(0.975)</f>
        <v>-4.1677004795360713</v>
      </c>
      <c r="AH20" s="7">
        <f>SQRT(((LN(L20)-LN(K20))/_xlfn.NORM.S.INV(0.975)/2)^2+OR!N20^2)</f>
        <v>0.3118182943649776</v>
      </c>
      <c r="AI20" s="7">
        <f t="shared" ref="AI20" si="25">EXP(AE20)</f>
        <v>8.4056338105649251E-3</v>
      </c>
      <c r="AJ20" s="7">
        <f t="shared" si="21"/>
        <v>4.5619471825269547E-3</v>
      </c>
      <c r="AK20" s="7">
        <f t="shared" si="22"/>
        <v>1.5487833797798415E-2</v>
      </c>
      <c r="AL20" s="7">
        <f>AI20/(1+AI20)</f>
        <v>8.335568077700738E-3</v>
      </c>
      <c r="AM20" s="7">
        <f>AJ20/(1+AJ20)</f>
        <v>4.5412303296195411E-3</v>
      </c>
      <c r="AN20" s="7">
        <f>AK20/(1+AK20)</f>
        <v>1.5251619253650574E-2</v>
      </c>
      <c r="AO20" t="str">
        <f>TEXT(G20*1000, "0") &amp; " per 1000"</f>
        <v>35 per 1000</v>
      </c>
      <c r="AP20" t="str">
        <f>"(" &amp; TEXT(H20*1000, "0") &amp; " to " &amp; TEXT(I20*1000, "0") &amp; ")"</f>
        <v>(21 to 52)</v>
      </c>
      <c r="AQ20" t="str">
        <f t="shared" ref="AQ20" si="26">TEXT(AL20*1000, "0") &amp; " per 1000"</f>
        <v>8 per 1000</v>
      </c>
      <c r="AR20" t="str">
        <f t="shared" ref="AR20" si="27">"(" &amp; TEXT(AM20*1000, "0") &amp; " to " &amp; TEXT(AN20*1000, "0") &amp; ")"</f>
        <v>(5 to 15)</v>
      </c>
      <c r="AS20" t="str">
        <f t="shared" ref="AS20" si="28">TEXT(ABS(AL20-G20)*1000, "0") &amp; IF(SIGN(AL20-G20)=-1, " fewer", " more") &amp; " per 1000"</f>
        <v>26 fewer per 1000</v>
      </c>
      <c r="AT20" t="str">
        <f t="shared" ref="AT20" si="29">"(" &amp; TEXT(ABS(AM20-G20)*1000, "0") &amp; IF(SIGN(AM20-G20)=-1, " fewer", " more") &amp; " to " &amp; TEXT(ABS(AN20-G20)*1000, "0") &amp; IF(SIGN(AN20-G20)=-1, " fewer", " more") &amp; ")"</f>
        <v>(30 fewer to 20 fewer)</v>
      </c>
      <c r="AV20" s="7">
        <f>LN($J20)+OR!L20</f>
        <v>-5.1777830153008564</v>
      </c>
      <c r="AW20" s="7">
        <f>LN($J20)+OR!M20</f>
        <v>-4.3799231971234143</v>
      </c>
      <c r="AX20" s="7">
        <f>EXP(AE20)</f>
        <v>8.4056338105649251E-3</v>
      </c>
      <c r="AY20" s="7">
        <f t="shared" ref="AY20:AZ20" si="30">EXP(AV20)</f>
        <v>5.6404974596233979E-3</v>
      </c>
      <c r="AZ20" s="7">
        <f t="shared" si="30"/>
        <v>1.2526320641589249E-2</v>
      </c>
      <c r="BA20" s="7">
        <f>AX20/(1+AX20)</f>
        <v>8.335568077700738E-3</v>
      </c>
      <c r="BB20" s="7">
        <f>AY20/(1+AY20)</f>
        <v>5.6088606951211857E-3</v>
      </c>
      <c r="BC20" s="7">
        <f>AZ20/(1+AZ20)</f>
        <v>1.2371353105815483E-2</v>
      </c>
      <c r="BD20" t="str">
        <f t="shared" ref="BD20" si="31">TEXT(G20*1000, "0") &amp; " per 1000"</f>
        <v>35 per 1000</v>
      </c>
      <c r="BE20" t="str">
        <f t="shared" ref="BE20" si="32">"(" &amp; TEXT(H20*1000, "0") &amp; " to " &amp; TEXT(I20*1000, "0") &amp; ")"</f>
        <v>(21 to 52)</v>
      </c>
      <c r="BF20" t="str">
        <f t="shared" ref="BF20" si="33">TEXT(BA20*1000, "0") &amp; " per 1000"</f>
        <v>8 per 1000</v>
      </c>
      <c r="BG20" t="str">
        <f t="shared" ref="BG20" si="34">"(" &amp; TEXT(BB20*1000, "0") &amp; " to " &amp; TEXT(BC20*1000, "0") &amp; ")"</f>
        <v>(6 to 12)</v>
      </c>
      <c r="BH20" t="str">
        <f t="shared" ref="BH20" si="35">TEXT(ABS(BA20-$G20)*1000, "0") &amp; IF(SIGN(BA20-$G20)=-1, " fewer", " more") &amp; " per 1000"</f>
        <v>26 fewer per 1000</v>
      </c>
    </row>
    <row r="21" spans="2:60" x14ac:dyDescent="0.2">
      <c r="Q21" s="11"/>
      <c r="S21"/>
      <c r="Y21" s="1"/>
      <c r="Z21" s="11"/>
      <c r="AA21" s="11"/>
      <c r="AB21" s="1"/>
      <c r="AC21" s="1"/>
    </row>
    <row r="22" spans="2:60" x14ac:dyDescent="0.2">
      <c r="B22" s="4">
        <v>1</v>
      </c>
      <c r="C22" s="5" t="s">
        <v>32</v>
      </c>
      <c r="D22" s="5"/>
      <c r="E22" s="4">
        <f t="array" ref="E22">HARMEAN(IF($B$4:$B$16=$B22, $E$4:$E$16))</f>
        <v>216.98818275393998</v>
      </c>
      <c r="F22" s="4" t="s">
        <v>13</v>
      </c>
      <c r="G22" s="6">
        <f t="shared" ref="G22:G24" si="36">0.5*(1-SIGN(COS(M22))*SQRT(1-(SIN(M22)+(SIN(M22)-(1/SIN(M22)))/$E22)^2))</f>
        <v>6.3903549508050328E-3</v>
      </c>
      <c r="H22" s="6">
        <f t="shared" ref="H22:H24" si="37">0.5*(1-SIGN(COS(N22))*SQRT(1-(SIN(N22)+(SIN(N22)-(1/SIN(N22)))/$E22)^2))</f>
        <v>4.3856514314611905E-3</v>
      </c>
      <c r="I22" s="6">
        <f t="shared" ref="I22:I24" si="38">0.5*(1-SIGN(COS(O22))*SQRT(1-(SIN(O22)+(SIN(O22)-(1/SIN(O22)))/$E22)^2))</f>
        <v>8.6902652367022992E-3</v>
      </c>
      <c r="J22" s="32">
        <f t="shared" ref="J22:J24" si="39">G22/(1-G22)</f>
        <v>6.4314542261600513E-3</v>
      </c>
      <c r="K22" s="32">
        <f t="shared" ref="K22:K24" si="40">H22/(1-H22)</f>
        <v>4.4049700948632711E-3</v>
      </c>
      <c r="L22" s="32">
        <f t="shared" ref="L22:L24" si="41">I22/(1-I22)</f>
        <v>8.7664479949622776E-3</v>
      </c>
      <c r="M22" s="7">
        <f t="array" ref="M22">SUM(IF($B$4:$B$16=$B22, $M$4:$M$16*$V$4:$V$16))</f>
        <v>0.18466761829620837</v>
      </c>
      <c r="N22" s="7">
        <f>M22-P22*_xlfn.NORM.S.INV(0.975)</f>
        <v>0.16088206798437332</v>
      </c>
      <c r="O22" s="7">
        <f>M22+P22*_xlfn.NORM.S.INV(0.975)</f>
        <v>0.20845316860804342</v>
      </c>
      <c r="P22" s="7">
        <f>1/SQRT(SUMIF($B$4:$B$16, $B22, $Q$4:$Q$16))</f>
        <v>1.213570784945665E-2</v>
      </c>
      <c r="Q22" s="5">
        <f>P22^-2</f>
        <v>6790.0000000000018</v>
      </c>
      <c r="R22" s="14">
        <f>Q22/$Q$25</f>
        <v>0.2705017628428581</v>
      </c>
      <c r="S22" s="7">
        <f>M22-$M$25</f>
        <v>-5.1920846367012441E-2</v>
      </c>
      <c r="U22" s="12"/>
      <c r="Y22" s="4">
        <f>COUNTIF($B$4:$B$16, $B22)</f>
        <v>4</v>
      </c>
      <c r="Z22" s="15">
        <f t="array" ref="Z22">SUM(IF($B$4:$B$16=$B22, ($M$4:$M$16-$M22)^2 * $Q$4:$Q$16))</f>
        <v>137.38988397099826</v>
      </c>
      <c r="AA22" s="18" t="str">
        <f t="shared" ref="AA22:AA25" si="42">_xlfn.LET(_xlpm.p, _xlfn.CHISQ.DIST.RT(Z22, $Y22-1), IF(_xlpm.p&lt;0.001, "p&lt;0.001", "p="&amp;TEXT(_xlpm.p, "0.000")))</f>
        <v>p&lt;0.001</v>
      </c>
      <c r="AB22" s="16" cm="1">
        <f t="array" ref="AB22">MAX(0, (Z22-($Y22-1)) / (SUMIF($B$4:$B$16, $B22, $Q$4:$Q$16)-(SUM(IF($B$4:$B$16=$B22, $Q$4:$Q$16^2))/SUMIF($B$4:$B$16, $B22, $Q$4:$Q$16))))</f>
        <v>5.4478071254303109E-2</v>
      </c>
      <c r="AC22" s="17">
        <f>MAX(0, (Z22-COUNTIF($B$4:$B$16, $B22)+1)/Z22)</f>
        <v>0.97816433122082502</v>
      </c>
      <c r="AE22" s="7">
        <f>LN($J22)+OR!K22</f>
        <v>-7.8308328815451516</v>
      </c>
      <c r="AF22" s="7">
        <f>AE22-AH22*_xlfn.NORM.S.INV(0.975)</f>
        <v>-8.6256042596936986</v>
      </c>
      <c r="AG22" s="7">
        <f>AE22+AH22*_xlfn.NORM.S.INV(0.975)</f>
        <v>-7.0360615033966045</v>
      </c>
      <c r="AH22" s="7">
        <f>SQRT(((LN(L22)-LN(K22))/_xlfn.NORM.S.INV(0.975)/2)^2+OR!N22^2)</f>
        <v>0.40550305230994149</v>
      </c>
      <c r="AI22" s="7">
        <f>EXP(AE22)</f>
        <v>3.9729444324157118E-4</v>
      </c>
      <c r="AJ22" s="7">
        <f t="shared" ref="AJ22:AK24" si="43">EXP(AF22)</f>
        <v>1.7945173720588899E-4</v>
      </c>
      <c r="AK22" s="7">
        <f t="shared" si="43"/>
        <v>8.7958398780800539E-4</v>
      </c>
      <c r="AL22" s="7">
        <f>AI22/(1+AI22)</f>
        <v>3.9713666305213308E-4</v>
      </c>
      <c r="AM22" s="7">
        <f>AJ22/(1+AJ22)</f>
        <v>1.7941954005773697E-4</v>
      </c>
      <c r="AN22" s="7">
        <f>AK22/(1+AK22)</f>
        <v>8.788109997243383E-4</v>
      </c>
      <c r="AO22" t="str">
        <f>TEXT(G22*1000, "0") &amp; " per 1000"</f>
        <v>6 per 1000</v>
      </c>
      <c r="AP22" t="str">
        <f>"(" &amp; TEXT(H22*1000, "0") &amp; " to " &amp; TEXT(I22*1000, "0") &amp; ")"</f>
        <v>(4 to 9)</v>
      </c>
      <c r="AQ22" t="str">
        <f>TEXT(AL22*1000, "0") &amp; " per 1000"</f>
        <v>0 per 1000</v>
      </c>
      <c r="AR22" t="str">
        <f>"(" &amp; TEXT(AM22*1000, "0") &amp; " to " &amp; TEXT(AN22*1000, "0") &amp; ")"</f>
        <v>(0 to 1)</v>
      </c>
      <c r="AS22" t="str">
        <f>TEXT(ABS(AL22-$G22)*1000, "0") &amp; IF(SIGN(AL22-$G22)=-1, " fewer", " more") &amp; " per 1000"</f>
        <v>6 fewer per 1000</v>
      </c>
      <c r="AT22" t="str">
        <f>"(" &amp; TEXT(ABS(AM22-$G22)*1000, "0") &amp; IF(SIGN(AM22-$G22)=-1, " fewer", " more") &amp; " to " &amp; TEXT(ABS(AN22-$G22)*1000, "0") &amp; IF(SIGN(AN22-$G22)=-1, " fewer", " more") &amp; ")"</f>
        <v>(6 fewer to 6 fewer)</v>
      </c>
      <c r="AV22" s="7">
        <f>LN($J22)+OR!L22</f>
        <v>-8.547252688951934</v>
      </c>
      <c r="AW22" s="7">
        <f>LN($J22)+OR!M22</f>
        <v>-7.1144130741383691</v>
      </c>
      <c r="AX22" s="7">
        <f>EXP(AE22)</f>
        <v>3.9729444324157118E-4</v>
      </c>
      <c r="AY22" s="7">
        <f>EXP(AV22)</f>
        <v>1.9407755922967357E-4</v>
      </c>
      <c r="AZ22" s="7">
        <f>EXP(AW22)</f>
        <v>8.1329791685929545E-4</v>
      </c>
      <c r="BA22" s="7">
        <f>AX22/(1+AX22)</f>
        <v>3.9713666305213308E-4</v>
      </c>
      <c r="BB22" s="7">
        <f>AY22/(1+AY22)</f>
        <v>1.9403990043940312E-4</v>
      </c>
      <c r="BC22" s="7">
        <f>AZ22/(1+AZ22)</f>
        <v>8.1263700087931751E-4</v>
      </c>
      <c r="BD22" t="str">
        <f>TEXT(G22*1000, "0") &amp; " per 1000"</f>
        <v>6 per 1000</v>
      </c>
      <c r="BE22" t="str">
        <f>"(" &amp; TEXT(H22*1000, "0") &amp; " to " &amp; TEXT(I22*1000, "0") &amp; ")"</f>
        <v>(4 to 9)</v>
      </c>
      <c r="BF22" t="str">
        <f>TEXT(BA22*1000, "0") &amp; " per 1000"</f>
        <v>0 per 1000</v>
      </c>
      <c r="BG22" t="str">
        <f>"(" &amp; TEXT(BB22*1000, "0") &amp; " to " &amp; TEXT(BC22*1000, "0") &amp; ")"</f>
        <v>(0 to 1)</v>
      </c>
      <c r="BH22" t="str">
        <f>TEXT(ABS(BA22-$G22)*1000, "0") &amp; IF(SIGN(BA22-$G22)=-1, " fewer", " more") &amp; " per 1000"</f>
        <v>6 fewer per 1000</v>
      </c>
    </row>
    <row r="23" spans="2:60" x14ac:dyDescent="0.2">
      <c r="B23" s="4">
        <v>2</v>
      </c>
      <c r="C23" s="5" t="s">
        <v>32</v>
      </c>
      <c r="D23" s="5"/>
      <c r="E23" s="4">
        <f t="array" ref="E23">HARMEAN(IF($B$4:$B$16=$B23, $E$4:$E$16))</f>
        <v>1271.3421288839618</v>
      </c>
      <c r="F23" s="4" t="s">
        <v>13</v>
      </c>
      <c r="G23" s="6">
        <f t="shared" si="36"/>
        <v>1.1489377449958482E-2</v>
      </c>
      <c r="H23" s="6">
        <f t="shared" si="37"/>
        <v>9.7734357441588426E-3</v>
      </c>
      <c r="I23" s="6">
        <f t="shared" si="38"/>
        <v>1.3337573644686296E-2</v>
      </c>
      <c r="J23" s="32">
        <f t="shared" si="39"/>
        <v>1.1622917536606294E-2</v>
      </c>
      <c r="K23" s="32">
        <f t="shared" si="40"/>
        <v>9.8698985635712715E-3</v>
      </c>
      <c r="L23" s="32">
        <f t="shared" si="41"/>
        <v>1.351786922093982E-2</v>
      </c>
      <c r="M23" s="7">
        <f t="array" ref="M23">SUM(IF($B$4:$B$16=$B23, $M$4:$M$16*$V$4:$V$16))</f>
        <v>0.21833347059277666</v>
      </c>
      <c r="N23" s="7">
        <f>M23-P23*_xlfn.NORM.S.INV(0.975)</f>
        <v>0.20188639731729052</v>
      </c>
      <c r="O23" s="7">
        <f>M23+P23*_xlfn.NORM.S.INV(0.975)</f>
        <v>0.2347805438682628</v>
      </c>
      <c r="P23" s="7">
        <f>1/SQRT(SUMIF($B$4:$B$16, $B23, $Q$4:$Q$16))</f>
        <v>8.3915181121788848E-3</v>
      </c>
      <c r="Q23" s="5">
        <f t="shared" ref="Q23:Q24" si="44">P23^-2</f>
        <v>14200.999999999998</v>
      </c>
      <c r="R23" s="14">
        <f t="shared" ref="R23:R24" si="45">Q23/$Q$25</f>
        <v>0.56574308308268428</v>
      </c>
      <c r="S23" s="7">
        <f t="shared" ref="S23:S24" si="46">M23-$M$25</f>
        <v>-1.8254994070444147E-2</v>
      </c>
      <c r="U23" s="12"/>
      <c r="Y23" s="4">
        <f t="shared" ref="Y23:Y24" si="47">COUNTIF($B$4:$B$16, $B23)</f>
        <v>4</v>
      </c>
      <c r="Z23" s="15">
        <f t="array" ref="Z23">SUM(IF($B$4:$B$16=$B23, ($M$4:$M$16-$M23)^2 * $Q$4:$Q$16))</f>
        <v>77.526798710953955</v>
      </c>
      <c r="AA23" s="18" t="str">
        <f t="shared" si="42"/>
        <v>p&lt;0.001</v>
      </c>
      <c r="AB23" s="16" cm="1">
        <f t="array" ref="AB23">MAX(0, (Z23-($Y23-1)) / (SUMIF($B$4:$B$16, $B23, $Q$4:$Q$16)-(SUM(IF($B$4:$B$16=$B23, $Q$4:$Q$16^2))/SUMIF($B$4:$B$16, $B23, $Q$4:$Q$16))))</f>
        <v>1.1222482289158018E-2</v>
      </c>
      <c r="AC23" s="17">
        <f>MAX(0, (Z23-COUNTIF($B$4:$B$16, $B23)+1)/Z23)</f>
        <v>0.96130370336604498</v>
      </c>
      <c r="AE23" s="7">
        <f>LN($J23)+OR!K23</f>
        <v>-6.0277341183426021</v>
      </c>
      <c r="AF23" s="7">
        <f>AE23-AH23*_xlfn.NORM.S.INV(0.975)</f>
        <v>-6.3677819117739656</v>
      </c>
      <c r="AG23" s="7">
        <f>AE23+AH23*_xlfn.NORM.S.INV(0.975)</f>
        <v>-5.6876863249112386</v>
      </c>
      <c r="AH23" s="7">
        <f>SQRT(((LN(L23)-LN(K23))/_xlfn.NORM.S.INV(0.975)/2)^2+OR!N23^2)</f>
        <v>0.17349696020621658</v>
      </c>
      <c r="AI23" s="7">
        <f t="shared" ref="AI23:AI24" si="48">EXP(AE23)</f>
        <v>2.4109507231366237E-3</v>
      </c>
      <c r="AJ23" s="7">
        <f t="shared" si="43"/>
        <v>1.7159611607399027E-3</v>
      </c>
      <c r="AK23" s="7">
        <f t="shared" si="43"/>
        <v>3.38742130205712E-3</v>
      </c>
      <c r="AL23" s="7">
        <f>AI23/(1+AI23)</f>
        <v>2.4051520201344269E-3</v>
      </c>
      <c r="AM23" s="7">
        <f>AJ23/(1+AJ23)</f>
        <v>1.7130216820659724E-3</v>
      </c>
      <c r="AN23" s="7">
        <f>AK23/(1+AK23)</f>
        <v>3.3759854171396672E-3</v>
      </c>
      <c r="AO23" t="str">
        <f>TEXT(G23*1000, "0") &amp; " per 1000"</f>
        <v>11 per 1000</v>
      </c>
      <c r="AP23" t="str">
        <f>"(" &amp; TEXT(H23*1000, "0") &amp; " to " &amp; TEXT(I23*1000, "0") &amp; ")"</f>
        <v>(10 to 13)</v>
      </c>
      <c r="AQ23" t="str">
        <f t="shared" ref="AQ23:AQ29" si="49">TEXT(AL23*1000, "0") &amp; " per 1000"</f>
        <v>2 per 1000</v>
      </c>
      <c r="AR23" t="str">
        <f t="shared" ref="AR23:AR29" si="50">"(" &amp; TEXT(AM23*1000, "0") &amp; " to " &amp; TEXT(AN23*1000, "0") &amp; ")"</f>
        <v>(2 to 3)</v>
      </c>
      <c r="AS23" t="str">
        <f t="shared" ref="AS23:AS29" si="51">TEXT(ABS(AL23-G23)*1000, "0") &amp; IF(SIGN(AL23-G23)=-1, " fewer", " more") &amp; " per 1000"</f>
        <v>9 fewer per 1000</v>
      </c>
      <c r="AT23" t="str">
        <f t="shared" ref="AT23:AT29" si="52">"(" &amp; TEXT(ABS(AM23-G23)*1000, "0") &amp; IF(SIGN(AM23-G23)=-1, " fewer", " more") &amp; " to " &amp; TEXT(ABS(AN23-G23)*1000, "0") &amp; IF(SIGN(AN23-G23)=-1, " fewer", " more") &amp; ")"</f>
        <v>(10 fewer to 8 fewer)</v>
      </c>
      <c r="AV23" s="7">
        <f>LN($J23)+OR!L23</f>
        <v>-6.3292326113723725</v>
      </c>
      <c r="AW23" s="7">
        <f>LN($J23)+OR!M23</f>
        <v>-5.7262356253128317</v>
      </c>
      <c r="AX23" s="7">
        <f>EXP(AE23)</f>
        <v>2.4109507231366237E-3</v>
      </c>
      <c r="AY23" s="7">
        <f t="shared" ref="AY23:AZ29" si="53">EXP(AV23)</f>
        <v>1.7834018063909427E-3</v>
      </c>
      <c r="AZ23" s="7">
        <f t="shared" si="53"/>
        <v>3.259323484232694E-3</v>
      </c>
      <c r="BA23" s="7">
        <f>AX23/(1+AX23)</f>
        <v>2.4051520201344269E-3</v>
      </c>
      <c r="BB23" s="7">
        <f>AY23/(1+AY23)</f>
        <v>1.7802269464388778E-3</v>
      </c>
      <c r="BC23" s="7">
        <f>AZ23/(1+AZ23)</f>
        <v>3.2487348065835522E-3</v>
      </c>
      <c r="BD23" t="str">
        <f t="shared" ref="BD23:BD29" si="54">TEXT(G23*1000, "0") &amp; " per 1000"</f>
        <v>11 per 1000</v>
      </c>
      <c r="BE23" t="str">
        <f t="shared" ref="BE23:BE29" si="55">"(" &amp; TEXT(H23*1000, "0") &amp; " to " &amp; TEXT(I23*1000, "0") &amp; ")"</f>
        <v>(10 to 13)</v>
      </c>
      <c r="BF23" t="str">
        <f t="shared" ref="BF23:BF29" si="56">TEXT(BA23*1000, "0") &amp; " per 1000"</f>
        <v>2 per 1000</v>
      </c>
      <c r="BG23" t="str">
        <f t="shared" ref="BG23:BG29" si="57">"(" &amp; TEXT(BB23*1000, "0") &amp; " to " &amp; TEXT(BC23*1000, "0") &amp; ")"</f>
        <v>(2 to 3)</v>
      </c>
      <c r="BH23" t="str">
        <f t="shared" ref="BH23:BH29" si="58">TEXT(ABS(BA23-$G23)*1000, "0") &amp; IF(SIGN(BA23-$G23)=-1, " fewer", " more") &amp; " per 1000"</f>
        <v>9 fewer per 1000</v>
      </c>
    </row>
    <row r="24" spans="2:60" x14ac:dyDescent="0.2">
      <c r="B24" s="4">
        <v>3</v>
      </c>
      <c r="C24" s="5" t="s">
        <v>32</v>
      </c>
      <c r="D24" s="5"/>
      <c r="E24" s="4">
        <f t="array" ref="E24">HARMEAN(IF($B$4:$B$16=$B24, $E$4:$E$16))</f>
        <v>304.63578149641609</v>
      </c>
      <c r="F24" s="4" t="s">
        <v>13</v>
      </c>
      <c r="G24" s="6">
        <f t="shared" si="36"/>
        <v>3.5176841485924037E-2</v>
      </c>
      <c r="H24" s="6">
        <f t="shared" si="37"/>
        <v>2.9632844856225304E-2</v>
      </c>
      <c r="I24" s="6">
        <f t="shared" si="38"/>
        <v>4.1155909401111801E-2</v>
      </c>
      <c r="J24" s="32">
        <f t="shared" si="39"/>
        <v>3.6459366854439818E-2</v>
      </c>
      <c r="K24" s="32">
        <f t="shared" si="40"/>
        <v>3.0537765730369086E-2</v>
      </c>
      <c r="L24" s="32">
        <f t="shared" si="41"/>
        <v>4.2922420656945459E-2</v>
      </c>
      <c r="M24" s="7">
        <f t="array" ref="M24">SUM(IF($B$4:$B$16=$B24, $M$4:$M$16*$V$4:$V$16))</f>
        <v>0.3854223577726702</v>
      </c>
      <c r="N24" s="7">
        <f>M24-P24*_xlfn.NORM.S.INV(0.975)</f>
        <v>0.35485198287143971</v>
      </c>
      <c r="O24" s="7">
        <f>M24+P24*_xlfn.NORM.S.INV(0.975)</f>
        <v>0.41599273267390069</v>
      </c>
      <c r="P24" s="7">
        <f>1/SQRT(SUMIF($B$4:$B$16, $B24, $Q$4:$Q$16))</f>
        <v>1.5597416657839477E-2</v>
      </c>
      <c r="Q24" s="5">
        <f t="shared" si="44"/>
        <v>4110.5</v>
      </c>
      <c r="R24" s="14">
        <f t="shared" si="45"/>
        <v>0.1637551540744577</v>
      </c>
      <c r="S24" s="7">
        <f t="shared" si="46"/>
        <v>0.14883389310944939</v>
      </c>
      <c r="U24" s="12"/>
      <c r="Y24" s="4">
        <f t="shared" si="47"/>
        <v>5</v>
      </c>
      <c r="Z24" s="15">
        <f t="array" ref="Z24">SUM(IF($B$4:$B$16=$B24, ($M$4:$M$16-$M24)^2 * $Q$4:$Q$16))</f>
        <v>73.315286108159668</v>
      </c>
      <c r="AA24" s="18" t="str">
        <f t="shared" si="42"/>
        <v>p&lt;0.001</v>
      </c>
      <c r="AB24" s="16" cm="1">
        <f t="array" ref="AB24">MAX(0, (Z24-($Y24-1)) / (SUMIF($B$4:$B$16, $B24, $Q$4:$Q$16)-(SUM(IF($B$4:$B$16=$B24, $Q$4:$Q$16^2))/SUMIF($B$4:$B$16, $B24, $Q$4:$Q$16))))</f>
        <v>2.5384563957917425E-2</v>
      </c>
      <c r="AC24" s="17">
        <f>MAX(0, (Z24-COUNTIF($B$4:$B$16, $B24)+1)/Z24)</f>
        <v>0.94544111859430069</v>
      </c>
      <c r="AE24" s="7">
        <f>LN($J24)+OR!K24</f>
        <v>-4.1748392737500755</v>
      </c>
      <c r="AF24" s="7">
        <f>AE24-AH24*_xlfn.NORM.S.INV(0.975)</f>
        <v>-4.4813575538285333</v>
      </c>
      <c r="AG24" s="7">
        <f>AE24+AH24*_xlfn.NORM.S.INV(0.975)</f>
        <v>-3.8683209936716176</v>
      </c>
      <c r="AH24" s="7">
        <f>SQRT(((LN(L24)-LN(K24))/_xlfn.NORM.S.INV(0.975)/2)^2+OR!N24^2)</f>
        <v>0.15638975128942934</v>
      </c>
      <c r="AI24" s="7">
        <f t="shared" si="48"/>
        <v>1.5377663050521758E-2</v>
      </c>
      <c r="AJ24" s="7">
        <f t="shared" si="43"/>
        <v>1.1318037874995142E-2</v>
      </c>
      <c r="AK24" s="7">
        <f t="shared" si="43"/>
        <v>2.0893420176461786E-2</v>
      </c>
      <c r="AL24" s="7">
        <f>AI24/(1+AI24)</f>
        <v>1.5144771852004605E-2</v>
      </c>
      <c r="AM24" s="7">
        <f>AJ24/(1+AJ24)</f>
        <v>1.1191373486007296E-2</v>
      </c>
      <c r="AN24" s="7">
        <f>AK24/(1+AK24)</f>
        <v>2.0465819216319715E-2</v>
      </c>
      <c r="AO24" t="str">
        <f>TEXT(G24*1000, "0") &amp; " per 1000"</f>
        <v>35 per 1000</v>
      </c>
      <c r="AP24" t="str">
        <f>"(" &amp; TEXT(H24*1000, "0") &amp; " to " &amp; TEXT(I24*1000, "0") &amp; ")"</f>
        <v>(30 to 41)</v>
      </c>
      <c r="AQ24" t="str">
        <f t="shared" si="49"/>
        <v>15 per 1000</v>
      </c>
      <c r="AR24" t="str">
        <f t="shared" si="50"/>
        <v>(11 to 20)</v>
      </c>
      <c r="AS24" t="str">
        <f t="shared" si="51"/>
        <v>20 fewer per 1000</v>
      </c>
      <c r="AT24" t="str">
        <f t="shared" si="52"/>
        <v>(24 fewer to 15 fewer)</v>
      </c>
      <c r="AV24" s="7">
        <f>LN($J24)+OR!L24</f>
        <v>-4.4297515717017522</v>
      </c>
      <c r="AW24" s="7">
        <f>LN($J24)+OR!M24</f>
        <v>-3.9199269757983988</v>
      </c>
      <c r="AX24" s="7">
        <f>EXP(AE24)</f>
        <v>1.5377663050521758E-2</v>
      </c>
      <c r="AY24" s="7">
        <f t="shared" si="53"/>
        <v>1.1917449936875005E-2</v>
      </c>
      <c r="AZ24" s="7">
        <f t="shared" si="53"/>
        <v>1.9842543677375833E-2</v>
      </c>
      <c r="BA24" s="7">
        <f>AX24/(1+AX24)</f>
        <v>1.5144771852004605E-2</v>
      </c>
      <c r="BB24" s="7">
        <f>AY24/(1+AY24)</f>
        <v>1.177709697329405E-2</v>
      </c>
      <c r="BC24" s="7">
        <f>AZ24/(1+AZ24)</f>
        <v>1.9456477669412622E-2</v>
      </c>
      <c r="BD24" t="str">
        <f t="shared" si="54"/>
        <v>35 per 1000</v>
      </c>
      <c r="BE24" t="str">
        <f t="shared" si="55"/>
        <v>(30 to 41)</v>
      </c>
      <c r="BF24" t="str">
        <f t="shared" si="56"/>
        <v>15 per 1000</v>
      </c>
      <c r="BG24" t="str">
        <f t="shared" si="57"/>
        <v>(12 to 19)</v>
      </c>
      <c r="BH24" t="str">
        <f t="shared" si="58"/>
        <v>20 fewer per 1000</v>
      </c>
    </row>
    <row r="25" spans="2:60" x14ac:dyDescent="0.2">
      <c r="M25" s="5">
        <f>SUMPRODUCT(M22:M24, R22:R24)</f>
        <v>0.23658846466322081</v>
      </c>
      <c r="Q25" s="5">
        <f>SUM(Q22:Q24)</f>
        <v>25101.5</v>
      </c>
      <c r="Y25" s="4">
        <f>COUNTA(C22:C24)</f>
        <v>3</v>
      </c>
      <c r="Z25" s="15" cm="1">
        <f t="array" ref="Z25">SUMPRODUCT(Q22:Q24, S22:S24^2)</f>
        <v>114.09057170510027</v>
      </c>
      <c r="AA25" s="18" t="str">
        <f t="shared" si="42"/>
        <v>p&lt;0.001</v>
      </c>
      <c r="AB25" s="16" cm="1">
        <f t="array" ref="AB25">MAX(0, (Z25-($Y25-1)) / (Q25-(SUM(Q22:Q24^2)/Q25)))</f>
        <v>7.6998186589058689E-3</v>
      </c>
      <c r="AC25" s="17">
        <f>MAX(0, (Z25-COUNTA($C22:$C24)+1)/Z25)</f>
        <v>0.98247006768298462</v>
      </c>
      <c r="AE25" s="1"/>
      <c r="AF25" s="3"/>
      <c r="AG25" s="3"/>
      <c r="AH25" s="3"/>
      <c r="AI25" s="1"/>
      <c r="AJ25" s="1"/>
      <c r="AK25" s="1"/>
      <c r="AL25" s="1"/>
      <c r="AM25" s="1"/>
      <c r="AN25" s="1"/>
      <c r="AV25" s="1"/>
      <c r="AW25" s="1"/>
      <c r="AX25" s="3"/>
      <c r="AY25" s="3"/>
      <c r="AZ25" s="3"/>
      <c r="BA25" s="1"/>
      <c r="BB25" s="1"/>
      <c r="BC25" s="1"/>
    </row>
    <row r="26" spans="2:60" x14ac:dyDescent="0.2">
      <c r="S26" s="11"/>
      <c r="Y26" s="1"/>
      <c r="Z26" s="1"/>
      <c r="AA26" s="1"/>
      <c r="AB26" s="1"/>
      <c r="AC26" s="1"/>
      <c r="AE26" s="1"/>
      <c r="AF26" s="3"/>
      <c r="AG26" s="3"/>
      <c r="AH26" s="3"/>
      <c r="AI26" s="1"/>
      <c r="AJ26" s="1"/>
      <c r="AK26" s="1"/>
      <c r="AL26" s="1"/>
      <c r="AM26" s="1"/>
      <c r="AN26" s="1"/>
      <c r="AV26" s="1"/>
      <c r="AW26" s="1"/>
      <c r="AX26" s="3"/>
      <c r="AY26" s="3"/>
      <c r="AZ26" s="3"/>
      <c r="BA26" s="1"/>
      <c r="BB26" s="1"/>
      <c r="BC26" s="1"/>
    </row>
    <row r="27" spans="2:60" x14ac:dyDescent="0.2">
      <c r="B27" s="4">
        <v>1</v>
      </c>
      <c r="C27" s="5" t="s">
        <v>32</v>
      </c>
      <c r="D27" s="5"/>
      <c r="E27" s="4">
        <f t="array" ref="E27">HARMEAN(IF($B$4:$B$16=$B27, $E$4:$E$16))</f>
        <v>216.98818275393998</v>
      </c>
      <c r="F27" s="4" t="s">
        <v>14</v>
      </c>
      <c r="G27" s="6">
        <f t="shared" ref="G27:G29" si="59">0.5*(1-SIGN(COS(M27))*SQRT(1-(SIN(M27)+(SIN(M27)-(1/SIN(M27)))/$E27)^2))</f>
        <v>3.4123637559298703E-2</v>
      </c>
      <c r="H27" s="6">
        <f t="shared" ref="H27:H29" si="60">0.5*(1-SIGN(COS(N27))*SQRT(1-(SIN(N27)+(SIN(N27)-(1/SIN(N27)))/$E27)^2))</f>
        <v>3.2458802598721026E-3</v>
      </c>
      <c r="I27" s="6">
        <f t="shared" ref="I27:I29" si="61">0.5*(1-SIGN(COS(O27))*SQRT(1-(SIN(O27)+(SIN(O27)-(1/SIN(O27)))/$E27)^2))</f>
        <v>9.1369502616005072E-2</v>
      </c>
      <c r="J27" s="32">
        <f t="shared" ref="J27:J29" si="62">G27/(1-G27)</f>
        <v>3.5329198317961406E-2</v>
      </c>
      <c r="K27" s="32">
        <f t="shared" ref="K27:K29" si="63">H27/(1-H27)</f>
        <v>3.2564503076429351E-3</v>
      </c>
      <c r="L27" s="32">
        <f t="shared" ref="L27:L29" si="64">I27/(1-I27)</f>
        <v>0.10055738045230013</v>
      </c>
      <c r="M27" s="7">
        <f t="array" ref="M27">SUM(IF($B$4:$B$16=$B27, $M$4:$M$16*$X$4:$X$16))</f>
        <v>0.38299842298987691</v>
      </c>
      <c r="N27" s="7">
        <f>M27-P27*_xlfn.NORM.S.INV(0.975)</f>
        <v>0.14540976615895135</v>
      </c>
      <c r="O27" s="7">
        <f>M27+P27*_xlfn.NORM.S.INV(0.975)</f>
        <v>0.62058707982080241</v>
      </c>
      <c r="P27" s="7">
        <f t="array" ref="P27">1/SQRT(SUMIF($B$4:$B$16, $B27, $W$4:$W$16))</f>
        <v>0.12122092992779186</v>
      </c>
      <c r="Q27" s="5">
        <f>P27^-2</f>
        <v>68.052608615281201</v>
      </c>
      <c r="R27" s="14">
        <f>Q27/$Q$30</f>
        <v>0.11750748205904353</v>
      </c>
      <c r="S27" s="7">
        <f>M27-$M$30</f>
        <v>2.3022956899247882E-2</v>
      </c>
      <c r="U27" s="2"/>
      <c r="V27" s="2"/>
      <c r="W27" s="2"/>
      <c r="Y27" s="1"/>
      <c r="Z27" s="1"/>
      <c r="AA27" s="1"/>
      <c r="AB27" s="1"/>
      <c r="AC27" s="1"/>
      <c r="AE27" s="7">
        <f>LN($J27)+OR!K27</f>
        <v>-6.0598490257305313</v>
      </c>
      <c r="AF27" s="7">
        <f>AE27-AH27*_xlfn.NORM.S.INV(0.975)</f>
        <v>-7.9670208818960786</v>
      </c>
      <c r="AG27" s="7">
        <f>AE27+AH27*_xlfn.NORM.S.INV(0.975)</f>
        <v>-4.152677169564984</v>
      </c>
      <c r="AH27" s="7">
        <f>SQRT(((LN(L27)-LN(K27))/_xlfn.NORM.S.INV(0.975)/2)^2+OR!N27^2)</f>
        <v>0.9730647456836331</v>
      </c>
      <c r="AI27" s="7">
        <f>EXP(AE27)</f>
        <v>2.3347533486033833E-3</v>
      </c>
      <c r="AJ27" s="7">
        <f t="shared" ref="AJ27:AJ29" si="65">EXP(AF27)</f>
        <v>3.4671033991906628E-4</v>
      </c>
      <c r="AK27" s="7">
        <f t="shared" ref="AK27:AK29" si="66">EXP(AG27)</f>
        <v>1.5722268912104476E-2</v>
      </c>
      <c r="AL27" s="7">
        <f>AI27/(1+AI27)</f>
        <v>2.3293149726709879E-3</v>
      </c>
      <c r="AM27" s="7">
        <f>AJ27/(1+AJ27)</f>
        <v>3.4659017352219181E-4</v>
      </c>
      <c r="AN27" s="7">
        <f>AK27/(1+AK27)</f>
        <v>1.5478905398957049E-2</v>
      </c>
      <c r="AO27" t="str">
        <f>TEXT(G27*1000, "0") &amp; " per 1000"</f>
        <v>34 per 1000</v>
      </c>
      <c r="AP27" t="str">
        <f>"(" &amp; TEXT(H27*1000, "0") &amp; " to " &amp; TEXT(I27*1000, "0") &amp; ")"</f>
        <v>(3 to 91)</v>
      </c>
      <c r="AQ27" t="str">
        <f t="shared" si="49"/>
        <v>2 per 1000</v>
      </c>
      <c r="AR27" t="str">
        <f t="shared" si="50"/>
        <v>(0 to 15)</v>
      </c>
      <c r="AS27" t="str">
        <f t="shared" si="51"/>
        <v>32 fewer per 1000</v>
      </c>
      <c r="AT27" t="str">
        <f t="shared" si="52"/>
        <v>(34 fewer to 19 fewer)</v>
      </c>
      <c r="AV27" s="7">
        <f>LN($J27)+OR!L27</f>
        <v>-6.8940695049498615</v>
      </c>
      <c r="AW27" s="7">
        <f>LN($J27)+OR!M27</f>
        <v>-5.2256285465112011</v>
      </c>
      <c r="AX27" s="7">
        <f>EXP(AE27)</f>
        <v>2.3347533486033833E-3</v>
      </c>
      <c r="AY27" s="7">
        <f t="shared" si="53"/>
        <v>1.0137798529286271E-3</v>
      </c>
      <c r="AZ27" s="7">
        <f t="shared" si="53"/>
        <v>5.3769792160177033E-3</v>
      </c>
      <c r="BA27" s="7">
        <f>AX27/(1+AX27)</f>
        <v>2.3293149726709879E-3</v>
      </c>
      <c r="BB27" s="7">
        <f>AY27/(1+AY27)</f>
        <v>1.0127531441950521E-3</v>
      </c>
      <c r="BC27" s="7">
        <f>AZ27/(1+AZ27)</f>
        <v>5.3482219378154202E-3</v>
      </c>
      <c r="BD27" t="str">
        <f t="shared" si="54"/>
        <v>34 per 1000</v>
      </c>
      <c r="BE27" t="str">
        <f t="shared" si="55"/>
        <v>(3 to 91)</v>
      </c>
      <c r="BF27" t="str">
        <f t="shared" si="56"/>
        <v>2 per 1000</v>
      </c>
      <c r="BG27" t="str">
        <f t="shared" si="57"/>
        <v>(1 to 5)</v>
      </c>
      <c r="BH27" t="str">
        <f t="shared" si="58"/>
        <v>32 fewer per 1000</v>
      </c>
    </row>
    <row r="28" spans="2:60" x14ac:dyDescent="0.2">
      <c r="B28" s="4">
        <v>2</v>
      </c>
      <c r="C28" s="5" t="s">
        <v>32</v>
      </c>
      <c r="D28" s="5"/>
      <c r="E28" s="4">
        <f t="array" ref="E28">HARMEAN(IF($B$4:$B$16=$B28, $E$4:$E$16))</f>
        <v>1271.3421288839618</v>
      </c>
      <c r="F28" s="4" t="s">
        <v>14</v>
      </c>
      <c r="G28" s="6">
        <f t="shared" si="59"/>
        <v>2.2334172085611725E-2</v>
      </c>
      <c r="H28" s="6">
        <f t="shared" si="60"/>
        <v>9.1249106944704117E-3</v>
      </c>
      <c r="I28" s="6">
        <f t="shared" si="61"/>
        <v>4.1031161287077511E-2</v>
      </c>
      <c r="J28" s="32">
        <f t="shared" si="62"/>
        <v>2.2844382454540974E-2</v>
      </c>
      <c r="K28" s="32">
        <f t="shared" si="63"/>
        <v>9.2089414629100714E-3</v>
      </c>
      <c r="L28" s="32">
        <f t="shared" si="64"/>
        <v>4.2786751384067262E-2</v>
      </c>
      <c r="M28" s="7">
        <f t="array" ref="M28">SUM(IF($B$4:$B$16=$B28, $M$4:$M$16*$X$4:$X$16))</f>
        <v>0.30253548453959145</v>
      </c>
      <c r="N28" s="7">
        <f>M28-P28*_xlfn.NORM.S.INV(0.975)</f>
        <v>0.19531484639400065</v>
      </c>
      <c r="O28" s="7">
        <f>M28+P28*_xlfn.NORM.S.INV(0.975)</f>
        <v>0.40975612268518224</v>
      </c>
      <c r="P28" s="7">
        <f t="array" ref="P28">1/SQRT(SUMIF($B$4:$B$16, $B28, $W$4:$W$16))</f>
        <v>5.4705412441929308E-2</v>
      </c>
      <c r="Q28" s="5">
        <f t="shared" ref="Q28:Q29" si="67">P28^-2</f>
        <v>334.14841594602422</v>
      </c>
      <c r="R28" s="14">
        <f t="shared" ref="R28:R29" si="68">Q28/$Q$30</f>
        <v>0.57697918993539243</v>
      </c>
      <c r="S28" s="7">
        <f t="shared" ref="S28:S29" si="69">M28-$M$30</f>
        <v>-5.7439981551037578E-2</v>
      </c>
      <c r="U28" s="2"/>
      <c r="Y28" s="1"/>
      <c r="Z28" s="1"/>
      <c r="AA28" s="1"/>
      <c r="AB28" s="1"/>
      <c r="AC28" s="1"/>
      <c r="AE28" s="7">
        <f>LN($J28)+OR!K28</f>
        <v>-5.3520076744578251</v>
      </c>
      <c r="AF28" s="7">
        <f>AE28-AH28*_xlfn.NORM.S.INV(0.975)</f>
        <v>-6.1770934304779912</v>
      </c>
      <c r="AG28" s="7">
        <f>AE28+AH28*_xlfn.NORM.S.INV(0.975)</f>
        <v>-4.526921918437659</v>
      </c>
      <c r="AH28" s="7">
        <f>SQRT(((LN(L28)-LN(K28))/_xlfn.NORM.S.INV(0.975)/2)^2+OR!N28^2)</f>
        <v>0.42096985583834046</v>
      </c>
      <c r="AI28" s="7">
        <f t="shared" ref="AI28:AI29" si="70">EXP(AE28)</f>
        <v>4.738627820848041E-3</v>
      </c>
      <c r="AJ28" s="7">
        <f t="shared" si="65"/>
        <v>2.0764544512583043E-3</v>
      </c>
      <c r="AK28" s="7">
        <f t="shared" si="66"/>
        <v>1.0813910996654835E-2</v>
      </c>
      <c r="AL28" s="7">
        <f>AI28/(1+AI28)</f>
        <v>4.7162791293547954E-3</v>
      </c>
      <c r="AM28" s="7">
        <f>AJ28/(1+AJ28)</f>
        <v>2.0721517225902493E-3</v>
      </c>
      <c r="AN28" s="7">
        <f>AK28/(1+AK28)</f>
        <v>1.069822138279874E-2</v>
      </c>
      <c r="AO28" t="str">
        <f>TEXT(G28*1000, "0") &amp; " per 1000"</f>
        <v>22 per 1000</v>
      </c>
      <c r="AP28" t="str">
        <f>"(" &amp; TEXT(H28*1000, "0") &amp; " to " &amp; TEXT(I28*1000, "0") &amp; ")"</f>
        <v>(9 to 41)</v>
      </c>
      <c r="AQ28" t="str">
        <f t="shared" si="49"/>
        <v>5 per 1000</v>
      </c>
      <c r="AR28" t="str">
        <f t="shared" si="50"/>
        <v>(2 to 11)</v>
      </c>
      <c r="AS28" t="str">
        <f t="shared" si="51"/>
        <v>18 fewer per 1000</v>
      </c>
      <c r="AT28" t="str">
        <f t="shared" si="52"/>
        <v>(20 fewer to 12 fewer)</v>
      </c>
      <c r="AV28" s="7">
        <f>LN($J28)+OR!L28</f>
        <v>-5.6535061674875946</v>
      </c>
      <c r="AW28" s="7">
        <f>LN($J28)+OR!M28</f>
        <v>-5.0505091814280547</v>
      </c>
      <c r="AX28" s="7">
        <f>EXP(AE28)</f>
        <v>4.738627820848041E-3</v>
      </c>
      <c r="AY28" s="7">
        <f t="shared" si="53"/>
        <v>3.505205367499287E-3</v>
      </c>
      <c r="AZ28" s="7">
        <f t="shared" si="53"/>
        <v>6.4060707634185834E-3</v>
      </c>
      <c r="BA28" s="7">
        <f>AX28/(1+AX28)</f>
        <v>4.7162791293547954E-3</v>
      </c>
      <c r="BB28" s="7">
        <f>AY28/(1+AY28)</f>
        <v>3.4929618189829181E-3</v>
      </c>
      <c r="BC28" s="7">
        <f>AZ28/(1+AZ28)</f>
        <v>6.3652942380993385E-3</v>
      </c>
      <c r="BD28" t="str">
        <f t="shared" si="54"/>
        <v>22 per 1000</v>
      </c>
      <c r="BE28" t="str">
        <f t="shared" si="55"/>
        <v>(9 to 41)</v>
      </c>
      <c r="BF28" t="str">
        <f t="shared" si="56"/>
        <v>5 per 1000</v>
      </c>
      <c r="BG28" t="str">
        <f t="shared" si="57"/>
        <v>(3 to 6)</v>
      </c>
      <c r="BH28" t="str">
        <f t="shared" si="58"/>
        <v>18 fewer per 1000</v>
      </c>
    </row>
    <row r="29" spans="2:60" x14ac:dyDescent="0.2">
      <c r="B29" s="4">
        <v>3</v>
      </c>
      <c r="C29" s="5" t="s">
        <v>32</v>
      </c>
      <c r="D29" s="5"/>
      <c r="E29" s="4">
        <f t="array" ref="E29">HARMEAN(IF($B$4:$B$16=$B29, $E$4:$E$16))</f>
        <v>304.63578149641609</v>
      </c>
      <c r="F29" s="4" t="s">
        <v>14</v>
      </c>
      <c r="G29" s="6">
        <f t="shared" si="59"/>
        <v>5.0426009121008197E-2</v>
      </c>
      <c r="H29" s="6">
        <f t="shared" si="60"/>
        <v>2.2642941698321428E-2</v>
      </c>
      <c r="I29" s="6">
        <f t="shared" si="61"/>
        <v>8.7961947740830437E-2</v>
      </c>
      <c r="J29" s="32">
        <f t="shared" si="62"/>
        <v>5.3103822983115168E-2</v>
      </c>
      <c r="K29" s="32">
        <f t="shared" si="63"/>
        <v>2.3167522560963879E-2</v>
      </c>
      <c r="L29" s="32">
        <f t="shared" si="64"/>
        <v>9.6445480013628543E-2</v>
      </c>
      <c r="M29" s="7">
        <f t="array" ref="M29">SUM(IF($B$4:$B$16=$B29, $M$4:$M$16*$X$4:$X$16))</f>
        <v>0.4595989572460879</v>
      </c>
      <c r="N29" s="7">
        <f>M29-P29*_xlfn.NORM.S.INV(0.975)</f>
        <v>0.31225125019723343</v>
      </c>
      <c r="O29" s="7">
        <f>M29+P29*_xlfn.NORM.S.INV(0.975)</f>
        <v>0.60694666429494237</v>
      </c>
      <c r="P29" s="7">
        <f t="array" ref="P29">1/SQRT(SUMIF($B$4:$B$16, $B29, $W$4:$W$16))</f>
        <v>7.5178782983317274E-2</v>
      </c>
      <c r="Q29" s="5">
        <f t="shared" si="67"/>
        <v>176.93323500088201</v>
      </c>
      <c r="R29" s="14">
        <f t="shared" si="68"/>
        <v>0.30551332800556397</v>
      </c>
      <c r="S29" s="7">
        <f t="shared" si="69"/>
        <v>9.9623491155458876E-2</v>
      </c>
      <c r="U29" s="2"/>
      <c r="Y29" s="1"/>
      <c r="Z29" s="1"/>
      <c r="AA29" s="1"/>
      <c r="AB29" s="1"/>
      <c r="AC29" s="1"/>
      <c r="AE29" s="7">
        <f>LN($J29)+OR!K29</f>
        <v>-3.8498796796520747</v>
      </c>
      <c r="AF29" s="7">
        <f>AE29-AH29*_xlfn.NORM.S.INV(0.975)</f>
        <v>-4.6637122312068584</v>
      </c>
      <c r="AG29" s="7">
        <f>AE29+AH29*_xlfn.NORM.S.INV(0.975)</f>
        <v>-3.0360471280972914</v>
      </c>
      <c r="AH29" s="7">
        <f>SQRT(((LN(L29)-LN(K29))/_xlfn.NORM.S.INV(0.975)/2)^2+OR!N29^2)</f>
        <v>0.41522831948657773</v>
      </c>
      <c r="AI29" s="7">
        <f t="shared" si="70"/>
        <v>2.1282296977708597E-2</v>
      </c>
      <c r="AJ29" s="7">
        <f t="shared" si="65"/>
        <v>9.4313858509787653E-3</v>
      </c>
      <c r="AK29" s="7">
        <f t="shared" si="66"/>
        <v>4.8024348892520365E-2</v>
      </c>
      <c r="AL29" s="7">
        <f>AI29/(1+AI29)</f>
        <v>2.0838799458964011E-2</v>
      </c>
      <c r="AM29" s="7">
        <f>AJ29/(1+AJ29)</f>
        <v>9.3432659051192919E-3</v>
      </c>
      <c r="AN29" s="7">
        <f>AK29/(1+AK29)</f>
        <v>4.5823695740723182E-2</v>
      </c>
      <c r="AO29" t="str">
        <f>TEXT(G29*1000, "0") &amp; " per 1000"</f>
        <v>50 per 1000</v>
      </c>
      <c r="AP29" t="str">
        <f>"(" &amp; TEXT(H29*1000, "0") &amp; " to " &amp; TEXT(I29*1000, "0") &amp; ")"</f>
        <v>(23 to 88)</v>
      </c>
      <c r="AQ29" t="str">
        <f t="shared" si="49"/>
        <v>21 per 1000</v>
      </c>
      <c r="AR29" t="str">
        <f t="shared" si="50"/>
        <v>(9 to 46)</v>
      </c>
      <c r="AS29" t="str">
        <f t="shared" si="51"/>
        <v>30 fewer per 1000</v>
      </c>
      <c r="AT29" t="str">
        <f t="shared" si="52"/>
        <v>(41 fewer to 5 fewer)</v>
      </c>
      <c r="AV29" s="7">
        <f>LN($J29)+OR!L29</f>
        <v>-4.2420441076394537</v>
      </c>
      <c r="AW29" s="7">
        <f>LN($J29)+OR!M29</f>
        <v>-3.4577152516646956</v>
      </c>
      <c r="AX29" s="7">
        <f>EXP(AE29)</f>
        <v>2.1282296977708597E-2</v>
      </c>
      <c r="AY29" s="7">
        <f t="shared" si="53"/>
        <v>1.4378171254229152E-2</v>
      </c>
      <c r="AZ29" s="7">
        <f t="shared" si="53"/>
        <v>3.1501653210185485E-2</v>
      </c>
      <c r="BA29" s="7">
        <f>AX29/(1+AX29)</f>
        <v>2.0838799458964011E-2</v>
      </c>
      <c r="BB29" s="7">
        <f>AY29/(1+AY29)</f>
        <v>1.4174369738705284E-2</v>
      </c>
      <c r="BC29" s="7">
        <f>AZ29/(1+AZ29)</f>
        <v>3.0539605159281797E-2</v>
      </c>
      <c r="BD29" t="str">
        <f t="shared" si="54"/>
        <v>50 per 1000</v>
      </c>
      <c r="BE29" t="str">
        <f t="shared" si="55"/>
        <v>(23 to 88)</v>
      </c>
      <c r="BF29" t="str">
        <f t="shared" si="56"/>
        <v>21 per 1000</v>
      </c>
      <c r="BG29" t="str">
        <f t="shared" si="57"/>
        <v>(14 to 31)</v>
      </c>
      <c r="BH29" t="str">
        <f t="shared" si="58"/>
        <v>30 fewer per 1000</v>
      </c>
    </row>
    <row r="30" spans="2:60" x14ac:dyDescent="0.2">
      <c r="M30" s="5">
        <f>SUMPRODUCT(M27:M29, R27:R29)</f>
        <v>0.35997546609062903</v>
      </c>
      <c r="Q30" s="5">
        <f>SUM(Q27:Q29)</f>
        <v>579.13425956218748</v>
      </c>
      <c r="Y30" s="4">
        <f>COUNTA(C27:C29)</f>
        <v>3</v>
      </c>
      <c r="Z30" s="15" cm="1">
        <f t="array" ref="Z30">SUMPRODUCT(Q27:Q29, S27:S29^2)</f>
        <v>2.8945788477422729</v>
      </c>
      <c r="AA30" s="18" t="str">
        <f>_xlfn.LET(_xlpm.p, _xlfn.CHISQ.DIST.RT(Z30, $Y30-1), IF(_xlpm.p&lt;0.001, "p&lt;0.001", "p="&amp;TEXT(_xlpm.p, "0.000")))</f>
        <v>p=0.235</v>
      </c>
      <c r="AB30" s="16" cm="1">
        <f t="array" ref="AB30">MAX(0, (Z30-(COUNTA(C27:C29)-1)) / (Q30-(SUM(Q27:Q29^2)/Q30)))</f>
        <v>2.7586156471918755E-3</v>
      </c>
      <c r="AC30" s="17">
        <f>MAX(0, (Z30-COUNTA($C27:$C29)+1)/Z30)</f>
        <v>0.30905319730365288</v>
      </c>
    </row>
  </sheetData>
  <mergeCells count="17">
    <mergeCell ref="AV16:BC16"/>
    <mergeCell ref="AV17:AW17"/>
    <mergeCell ref="AX17:AZ17"/>
    <mergeCell ref="BA17:BC17"/>
    <mergeCell ref="AE16:AN16"/>
    <mergeCell ref="AE17:AH17"/>
    <mergeCell ref="AI17:AK17"/>
    <mergeCell ref="AL17:AN17"/>
    <mergeCell ref="J2:L2"/>
    <mergeCell ref="M2:P2"/>
    <mergeCell ref="Q2:U2"/>
    <mergeCell ref="V2:X2"/>
    <mergeCell ref="B2:B3"/>
    <mergeCell ref="C2:C3"/>
    <mergeCell ref="E2:E3"/>
    <mergeCell ref="F2:F3"/>
    <mergeCell ref="G2:I2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DFAAC-4B9B-4CC9-8FC0-B117ED826F90}">
  <sheetPr codeName="Sheet6"/>
  <dimension ref="B2:AC30"/>
  <sheetViews>
    <sheetView workbookViewId="0">
      <pane xSplit="3" ySplit="3" topLeftCell="D4" activePane="bottomRight" state="frozen"/>
      <selection pane="topRight" activeCell="D1" sqref="D1"/>
      <selection pane="bottomLeft" activeCell="A4" sqref="A4"/>
      <selection pane="bottomRight" activeCell="AC27" sqref="AC27:AC29"/>
    </sheetView>
  </sheetViews>
  <sheetFormatPr defaultRowHeight="12" x14ac:dyDescent="0.2"/>
  <cols>
    <col min="1" max="1" width="2.7109375" customWidth="1"/>
    <col min="2" max="2" width="9.140625" style="1"/>
    <col min="3" max="3" width="24.42578125" bestFit="1" customWidth="1"/>
    <col min="4" max="18" width="9.5703125" style="1" customWidth="1"/>
    <col min="19" max="19" width="10.28515625" style="1" customWidth="1"/>
    <col min="20" max="22" width="9.5703125" style="1" customWidth="1"/>
    <col min="23" max="27" width="9.140625" style="1"/>
  </cols>
  <sheetData>
    <row r="2" spans="2:22" ht="12" customHeight="1" x14ac:dyDescent="0.25">
      <c r="B2" s="24" t="s">
        <v>31</v>
      </c>
      <c r="C2" s="25" t="s">
        <v>28</v>
      </c>
      <c r="D2" s="29" t="s">
        <v>35</v>
      </c>
      <c r="E2" s="31"/>
      <c r="F2" s="29" t="s">
        <v>36</v>
      </c>
      <c r="G2" s="31"/>
      <c r="H2" s="29" t="s">
        <v>12</v>
      </c>
      <c r="I2" s="30"/>
      <c r="J2" s="31"/>
      <c r="K2" s="24" t="s">
        <v>37</v>
      </c>
      <c r="L2" s="24"/>
      <c r="M2" s="24"/>
      <c r="N2" s="24"/>
      <c r="O2" s="26" t="s">
        <v>33</v>
      </c>
      <c r="P2" s="27"/>
      <c r="Q2" s="27"/>
      <c r="R2" s="27"/>
      <c r="S2" s="28"/>
      <c r="T2" s="26" t="s">
        <v>34</v>
      </c>
      <c r="U2" s="27"/>
      <c r="V2" s="28"/>
    </row>
    <row r="3" spans="2:22" ht="12.75" x14ac:dyDescent="0.25">
      <c r="B3" s="24"/>
      <c r="C3" s="25"/>
      <c r="D3" s="10" t="s">
        <v>0</v>
      </c>
      <c r="E3" s="10" t="s">
        <v>1</v>
      </c>
      <c r="F3" s="10" t="s">
        <v>0</v>
      </c>
      <c r="G3" s="10" t="s">
        <v>1</v>
      </c>
      <c r="H3" s="10" t="s">
        <v>30</v>
      </c>
      <c r="I3" s="9" t="s">
        <v>4</v>
      </c>
      <c r="J3" s="9" t="s">
        <v>5</v>
      </c>
      <c r="K3" s="10" t="s">
        <v>30</v>
      </c>
      <c r="L3" s="9" t="s">
        <v>4</v>
      </c>
      <c r="M3" s="9" t="s">
        <v>5</v>
      </c>
      <c r="N3" s="10" t="s">
        <v>29</v>
      </c>
      <c r="O3" s="9" t="s">
        <v>7</v>
      </c>
      <c r="P3" s="9" t="s">
        <v>8</v>
      </c>
      <c r="Q3" s="9" t="s">
        <v>9</v>
      </c>
      <c r="R3" s="9" t="s">
        <v>10</v>
      </c>
      <c r="S3" s="9" t="s">
        <v>11</v>
      </c>
      <c r="T3" s="9" t="s">
        <v>7</v>
      </c>
      <c r="U3" s="9" t="s">
        <v>10</v>
      </c>
      <c r="V3" s="9" t="s">
        <v>11</v>
      </c>
    </row>
    <row r="4" spans="2:22" x14ac:dyDescent="0.2">
      <c r="B4" s="4">
        <v>1</v>
      </c>
      <c r="C4" s="5" t="s">
        <v>15</v>
      </c>
      <c r="D4" s="4">
        <v>108</v>
      </c>
      <c r="E4" s="4">
        <v>2</v>
      </c>
      <c r="F4" s="4">
        <v>107</v>
      </c>
      <c r="G4" s="4">
        <v>9</v>
      </c>
      <c r="H4" s="7">
        <f t="shared" ref="H4:H16" si="0">_xlfn.LET(_xlpm.Nv, D4 + IF(OR(E4=0, G4=0, D4=E4, F4=G4), 1), _xlpm.Nc, F4 + IF(OR(E4=0, G4=0, D4=E4, F4=G4), 1), _xlpm.Kv, E4 + IF(OR(E4=0, G4=0, D4=E4, F4=G4), 0.5), _xlpm.Kc, G4 + IF(OR(E4=0, G4=0, D4=E4, F4=G4), 0.5), _xlpm.Rv, (_xlpm.Nv-_xlpm.Kv), _xlpm.Rc, (_xlpm.Nc-_xlpm.Kc), (_xlpm.Kv/_xlpm.Rv)/(_xlpm.Kc/_xlpm.Rc))</f>
        <v>0.20545073375262052</v>
      </c>
      <c r="I4" s="7">
        <f t="shared" ref="I4:I16" si="1">EXP(L4)</f>
        <v>4.3319739312137916E-2</v>
      </c>
      <c r="J4" s="7">
        <f t="shared" ref="J4:J16" si="2">EXP(M4)</f>
        <v>0.97438268719366894</v>
      </c>
      <c r="K4" s="7">
        <f t="shared" ref="K4:K16" si="3">LN(H4)</f>
        <v>-1.5825490122177694</v>
      </c>
      <c r="L4" s="7">
        <f t="shared" ref="L4:L16" si="4">K4-N4*_xlfn.NORM.S.INV(0.975)</f>
        <v>-3.139146874592802</v>
      </c>
      <c r="M4" s="7">
        <f t="shared" ref="M4:M16" si="5">K4+N4*_xlfn.NORM.S.INV(0.975)</f>
        <v>-2.5951149842736942E-2</v>
      </c>
      <c r="N4" s="7">
        <f t="shared" ref="N4:N16" si="6">_xlfn.LET(_xlpm.Nv, D4 + IF(OR(E4=0, G4=0, D4=E4, F4=G4), 1), _xlpm.Nc, F4 + IF(OR(E4=0, G4=0, D4=E4, F4=G4), 1), _xlpm.Kv, E4 + IF(OR(E4=0, G4=0, D4=E4, F4=G4), 0.5), _xlpm.Kc, G4 + IF(OR(E4=0, G4=0, D4=E4, F4=G4), 0.5), _xlpm.Rv, (_xlpm.Nv-_xlpm.Kv), _xlpm.Rc, (_xlpm.Nc-_xlpm.Kc), SQRT(SUM(1/_xlpm.Kv, 1/_xlpm.Rv, 1/_xlpm.Kc, 1/_xlpm.Rc)))</f>
        <v>0.7941971764038922</v>
      </c>
      <c r="O4" s="7">
        <f t="shared" ref="O4:O16" si="7">1/N4^2</f>
        <v>1.5854163133796848</v>
      </c>
      <c r="P4" s="6">
        <f t="shared" ref="P4:P16" si="8">O4/$O$17</f>
        <v>1.4563619513328541E-2</v>
      </c>
      <c r="Q4" s="7">
        <f t="shared" ref="Q4:Q16" si="9">K4-$K$19</f>
        <v>-0.31170017519524218</v>
      </c>
      <c r="R4" s="7">
        <f t="shared" ref="R4:R16" si="10">1/(N4^2+$Z$19)</f>
        <v>1.0453608955129463</v>
      </c>
      <c r="S4" s="6">
        <f t="shared" ref="S4:S16" si="11">R4/$R$17</f>
        <v>4.3307514964965328E-2</v>
      </c>
      <c r="T4" s="6">
        <f t="shared" ref="T4:T16" si="12">O4 / SUMIF($B$4:$B$16, $B4, $O$4:$O$16)</f>
        <v>0.21182748494385206</v>
      </c>
      <c r="U4" s="7" cm="1">
        <f t="array" ref="U4">1/(N4^2+INDEX($Z$22:$Z$24, $B4))</f>
        <v>1.3351389412050634</v>
      </c>
      <c r="V4" s="6">
        <f t="shared" ref="V4:V16" si="13">U4 / SUMIF($B$4:$B$16, $B4, $U$4:$U$16)</f>
        <v>0.24187555287562296</v>
      </c>
    </row>
    <row r="5" spans="2:22" x14ac:dyDescent="0.2">
      <c r="B5" s="4">
        <v>1</v>
      </c>
      <c r="C5" s="5" t="s">
        <v>17</v>
      </c>
      <c r="D5" s="4">
        <v>245</v>
      </c>
      <c r="E5" s="4">
        <v>1</v>
      </c>
      <c r="F5" s="4">
        <v>123</v>
      </c>
      <c r="G5" s="4">
        <v>5</v>
      </c>
      <c r="H5" s="7">
        <f t="shared" si="0"/>
        <v>9.6721311475409841E-2</v>
      </c>
      <c r="I5" s="7">
        <f t="shared" si="1"/>
        <v>1.1173918856424195E-2</v>
      </c>
      <c r="J5" s="7">
        <f t="shared" si="2"/>
        <v>0.8372185455906358</v>
      </c>
      <c r="K5" s="7">
        <f t="shared" si="3"/>
        <v>-2.3359215132616375</v>
      </c>
      <c r="L5" s="7">
        <f t="shared" si="4"/>
        <v>-4.4941728897914688</v>
      </c>
      <c r="M5" s="7">
        <f t="shared" si="5"/>
        <v>-0.17767013673180632</v>
      </c>
      <c r="N5" s="7">
        <f t="shared" si="6"/>
        <v>1.1011688957316783</v>
      </c>
      <c r="O5" s="7">
        <f t="shared" si="7"/>
        <v>0.8246926593416668</v>
      </c>
      <c r="P5" s="6">
        <f t="shared" si="8"/>
        <v>7.5756191006284652E-3</v>
      </c>
      <c r="Q5" s="7">
        <f t="shared" si="9"/>
        <v>-1.0650726762391103</v>
      </c>
      <c r="R5" s="7">
        <f t="shared" si="10"/>
        <v>0.65001281308710945</v>
      </c>
      <c r="S5" s="6">
        <f t="shared" si="11"/>
        <v>2.6928919716645908E-2</v>
      </c>
      <c r="T5" s="6">
        <f t="shared" si="12"/>
        <v>0.11018719209947087</v>
      </c>
      <c r="U5" s="7" cm="1">
        <f t="array" ref="U5">1/(N5^2+INDEX($Z$22:$Z$24, $B5))</f>
        <v>0.75142234799292162</v>
      </c>
      <c r="V5" s="6">
        <f t="shared" si="13"/>
        <v>0.13612867564168488</v>
      </c>
    </row>
    <row r="6" spans="2:22" x14ac:dyDescent="0.2">
      <c r="B6" s="4">
        <v>1</v>
      </c>
      <c r="C6" s="5" t="s">
        <v>18</v>
      </c>
      <c r="D6" s="4">
        <v>2572</v>
      </c>
      <c r="E6" s="4">
        <v>5</v>
      </c>
      <c r="F6" s="4">
        <v>1302</v>
      </c>
      <c r="G6" s="4">
        <v>60</v>
      </c>
      <c r="H6" s="7">
        <f t="shared" si="0"/>
        <v>4.0319439033891701E-2</v>
      </c>
      <c r="I6" s="7">
        <f t="shared" si="1"/>
        <v>1.6151425433962065E-2</v>
      </c>
      <c r="J6" s="7">
        <f t="shared" si="2"/>
        <v>0.10065100264088106</v>
      </c>
      <c r="K6" s="7">
        <f t="shared" si="3"/>
        <v>-3.2109215681657166</v>
      </c>
      <c r="L6" s="7">
        <f t="shared" si="4"/>
        <v>-4.1257469710435135</v>
      </c>
      <c r="M6" s="7">
        <f t="shared" si="5"/>
        <v>-2.2960961652879202</v>
      </c>
      <c r="N6" s="7">
        <f t="shared" si="6"/>
        <v>0.4667562312847699</v>
      </c>
      <c r="O6" s="7">
        <f t="shared" si="7"/>
        <v>4.590074672968333</v>
      </c>
      <c r="P6" s="6">
        <f t="shared" si="8"/>
        <v>4.2164383266862199E-2</v>
      </c>
      <c r="Q6" s="7">
        <f t="shared" si="9"/>
        <v>-1.9400727311431893</v>
      </c>
      <c r="R6" s="7">
        <f t="shared" si="10"/>
        <v>1.8391830997431355</v>
      </c>
      <c r="S6" s="6">
        <f t="shared" si="11"/>
        <v>7.6194211929415653E-2</v>
      </c>
      <c r="T6" s="6">
        <f t="shared" si="12"/>
        <v>0.61327990980909197</v>
      </c>
      <c r="U6" s="7" cm="1">
        <f t="array" ref="U6">1/(N6^2+INDEX($Z$22:$Z$24, $B6))</f>
        <v>2.9753231734475745</v>
      </c>
      <c r="V6" s="6">
        <f t="shared" si="13"/>
        <v>0.53901351788282026</v>
      </c>
    </row>
    <row r="7" spans="2:22" x14ac:dyDescent="0.2">
      <c r="B7" s="4">
        <v>1</v>
      </c>
      <c r="C7" s="5" t="s">
        <v>16</v>
      </c>
      <c r="D7" s="4">
        <v>5263</v>
      </c>
      <c r="E7" s="4">
        <v>0</v>
      </c>
      <c r="F7" s="4">
        <v>5256</v>
      </c>
      <c r="G7" s="4">
        <v>15</v>
      </c>
      <c r="H7" s="7">
        <f t="shared" si="0"/>
        <v>3.212323457039809E-2</v>
      </c>
      <c r="I7" s="7">
        <f t="shared" si="1"/>
        <v>1.9216044915292471E-3</v>
      </c>
      <c r="J7" s="7">
        <f t="shared" si="2"/>
        <v>0.537000305637094</v>
      </c>
      <c r="K7" s="7">
        <f t="shared" si="3"/>
        <v>-3.4381756922838984</v>
      </c>
      <c r="L7" s="7">
        <f t="shared" si="4"/>
        <v>-6.2545947692509625</v>
      </c>
      <c r="M7" s="7">
        <f t="shared" si="5"/>
        <v>-0.62175661531683479</v>
      </c>
      <c r="N7" s="7">
        <f t="shared" si="6"/>
        <v>1.4369749134079088</v>
      </c>
      <c r="O7" s="7">
        <f t="shared" si="7"/>
        <v>0.48428567990289556</v>
      </c>
      <c r="P7" s="6">
        <f t="shared" si="8"/>
        <v>4.4486437526458748E-3</v>
      </c>
      <c r="Q7" s="7">
        <f t="shared" si="9"/>
        <v>-2.1673268552613711</v>
      </c>
      <c r="R7" s="7">
        <f t="shared" si="10"/>
        <v>0.41827787704662067</v>
      </c>
      <c r="S7" s="6">
        <f t="shared" si="11"/>
        <v>1.7328537443350455E-2</v>
      </c>
      <c r="T7" s="6">
        <f t="shared" si="12"/>
        <v>6.47054131475851E-2</v>
      </c>
      <c r="U7" s="7" cm="1">
        <f t="array" ref="U7">1/(N7^2+INDEX($Z$22:$Z$24, $B7))</f>
        <v>0.45805719880716833</v>
      </c>
      <c r="V7" s="6">
        <f t="shared" si="13"/>
        <v>8.2982253599871866E-2</v>
      </c>
    </row>
    <row r="8" spans="2:22" x14ac:dyDescent="0.2">
      <c r="B8" s="4">
        <v>2</v>
      </c>
      <c r="C8" s="5" t="s">
        <v>19</v>
      </c>
      <c r="D8" s="4">
        <v>1575</v>
      </c>
      <c r="E8" s="4">
        <v>8</v>
      </c>
      <c r="F8" s="4">
        <v>1573</v>
      </c>
      <c r="G8" s="4">
        <v>32</v>
      </c>
      <c r="H8" s="7">
        <f t="shared" si="0"/>
        <v>0.24585194639438421</v>
      </c>
      <c r="I8" s="7">
        <f t="shared" si="1"/>
        <v>0.11293374659304856</v>
      </c>
      <c r="J8" s="7">
        <f t="shared" si="2"/>
        <v>0.53520919449977433</v>
      </c>
      <c r="K8" s="7">
        <f t="shared" si="3"/>
        <v>-1.4030257681557956</v>
      </c>
      <c r="L8" s="7">
        <f t="shared" si="4"/>
        <v>-2.1809539455545277</v>
      </c>
      <c r="M8" s="7">
        <f t="shared" si="5"/>
        <v>-0.6250975907570635</v>
      </c>
      <c r="N8" s="7">
        <f t="shared" si="6"/>
        <v>0.39690942462970263</v>
      </c>
      <c r="O8" s="7">
        <f t="shared" si="7"/>
        <v>6.3477114587292682</v>
      </c>
      <c r="P8" s="6">
        <f t="shared" si="8"/>
        <v>5.8310018438159791E-2</v>
      </c>
      <c r="Q8" s="7">
        <f t="shared" si="9"/>
        <v>-0.13217693113326834</v>
      </c>
      <c r="R8" s="7">
        <f t="shared" si="10"/>
        <v>2.068700010328445</v>
      </c>
      <c r="S8" s="6">
        <f t="shared" si="11"/>
        <v>8.5702705199587711E-2</v>
      </c>
      <c r="T8" s="6">
        <f t="shared" si="12"/>
        <v>0.1502073854522461</v>
      </c>
      <c r="U8" s="7" cm="1">
        <f t="array" ref="U8">1/(N8^2+INDEX($Z$22:$Z$24, $B8))</f>
        <v>6.3477114587292682</v>
      </c>
      <c r="V8" s="6">
        <f t="shared" si="13"/>
        <v>0.1502073854522461</v>
      </c>
    </row>
    <row r="9" spans="2:22" x14ac:dyDescent="0.2">
      <c r="B9" s="4">
        <v>2</v>
      </c>
      <c r="C9" s="5" t="s">
        <v>20</v>
      </c>
      <c r="D9" s="4">
        <v>10159</v>
      </c>
      <c r="E9" s="4">
        <v>18</v>
      </c>
      <c r="F9" s="4">
        <v>10010</v>
      </c>
      <c r="G9" s="4">
        <v>94</v>
      </c>
      <c r="H9" s="7">
        <f t="shared" si="0"/>
        <v>0.18724075639860938</v>
      </c>
      <c r="I9" s="7">
        <f t="shared" si="1"/>
        <v>0.11299836043683378</v>
      </c>
      <c r="J9" s="7">
        <f t="shared" si="2"/>
        <v>0.31026203142408831</v>
      </c>
      <c r="K9" s="7">
        <f t="shared" si="3"/>
        <v>-1.6753600228307546</v>
      </c>
      <c r="L9" s="7">
        <f t="shared" si="4"/>
        <v>-2.1803819697836095</v>
      </c>
      <c r="M9" s="7">
        <f t="shared" si="5"/>
        <v>-1.1703380758778994</v>
      </c>
      <c r="N9" s="7">
        <f t="shared" si="6"/>
        <v>0.25766899337763549</v>
      </c>
      <c r="O9" s="7">
        <f t="shared" si="7"/>
        <v>15.061758447759049</v>
      </c>
      <c r="P9" s="6">
        <f t="shared" si="8"/>
        <v>0.13835717305520909</v>
      </c>
      <c r="Q9" s="7">
        <f t="shared" si="9"/>
        <v>-0.40451118580822731</v>
      </c>
      <c r="R9" s="7">
        <f t="shared" si="10"/>
        <v>2.549384214367783</v>
      </c>
      <c r="S9" s="6">
        <f t="shared" si="11"/>
        <v>0.10561663009309667</v>
      </c>
      <c r="T9" s="6">
        <f t="shared" si="12"/>
        <v>0.35640992371194968</v>
      </c>
      <c r="U9" s="7" cm="1">
        <f t="array" ref="U9">1/(N9^2+INDEX($Z$22:$Z$24, $B9))</f>
        <v>15.061758447759049</v>
      </c>
      <c r="V9" s="6">
        <f t="shared" si="13"/>
        <v>0.35640992371194968</v>
      </c>
    </row>
    <row r="10" spans="2:22" x14ac:dyDescent="0.2">
      <c r="B10" s="4">
        <v>2</v>
      </c>
      <c r="C10" s="5" t="s">
        <v>21</v>
      </c>
      <c r="D10" s="4">
        <v>1527</v>
      </c>
      <c r="E10" s="4">
        <v>28</v>
      </c>
      <c r="F10" s="4">
        <v>517</v>
      </c>
      <c r="G10" s="4">
        <v>40</v>
      </c>
      <c r="H10" s="7">
        <f t="shared" si="0"/>
        <v>0.22274849899933288</v>
      </c>
      <c r="I10" s="7">
        <f t="shared" si="1"/>
        <v>0.13594279499244311</v>
      </c>
      <c r="J10" s="7">
        <f t="shared" si="2"/>
        <v>0.36498362277466745</v>
      </c>
      <c r="K10" s="7">
        <f t="shared" si="3"/>
        <v>-1.5017119511529888</v>
      </c>
      <c r="L10" s="7">
        <f t="shared" si="4"/>
        <v>-1.9955211067891834</v>
      </c>
      <c r="M10" s="7">
        <f t="shared" si="5"/>
        <v>-1.0079027955167943</v>
      </c>
      <c r="N10" s="7">
        <f t="shared" si="6"/>
        <v>0.25194807635818733</v>
      </c>
      <c r="O10" s="7">
        <f t="shared" si="7"/>
        <v>15.753530797988239</v>
      </c>
      <c r="P10" s="6">
        <f t="shared" si="8"/>
        <v>0.14471178743223817</v>
      </c>
      <c r="Q10" s="7">
        <f t="shared" si="9"/>
        <v>-0.23086311413046157</v>
      </c>
      <c r="R10" s="7">
        <f t="shared" si="10"/>
        <v>2.5684748427395316</v>
      </c>
      <c r="S10" s="6">
        <f t="shared" si="11"/>
        <v>0.10640752219308709</v>
      </c>
      <c r="T10" s="6">
        <f t="shared" si="12"/>
        <v>0.37277949512861952</v>
      </c>
      <c r="U10" s="7" cm="1">
        <f t="array" ref="U10">1/(N10^2+INDEX($Z$22:$Z$24, $B10))</f>
        <v>15.753530797988239</v>
      </c>
      <c r="V10" s="6">
        <f t="shared" si="13"/>
        <v>0.37277949512861952</v>
      </c>
    </row>
    <row r="11" spans="2:22" x14ac:dyDescent="0.2">
      <c r="B11" s="4">
        <v>2</v>
      </c>
      <c r="C11" s="5" t="s">
        <v>22</v>
      </c>
      <c r="D11" s="4">
        <v>4211</v>
      </c>
      <c r="E11" s="4">
        <v>7</v>
      </c>
      <c r="F11" s="4">
        <v>2099</v>
      </c>
      <c r="G11" s="4">
        <v>19</v>
      </c>
      <c r="H11" s="7">
        <f t="shared" si="0"/>
        <v>0.18228253793379737</v>
      </c>
      <c r="I11" s="7">
        <f t="shared" si="1"/>
        <v>7.6507284902430986E-2</v>
      </c>
      <c r="J11" s="7">
        <f t="shared" si="2"/>
        <v>0.43429751399438954</v>
      </c>
      <c r="K11" s="7">
        <f t="shared" si="3"/>
        <v>-1.7021973894126055</v>
      </c>
      <c r="L11" s="7">
        <f t="shared" si="4"/>
        <v>-2.5703693152007379</v>
      </c>
      <c r="M11" s="7">
        <f t="shared" si="5"/>
        <v>-0.83402546362447305</v>
      </c>
      <c r="N11" s="7">
        <f t="shared" si="6"/>
        <v>0.44295299946129729</v>
      </c>
      <c r="O11" s="7">
        <f t="shared" si="7"/>
        <v>5.0966487769221542</v>
      </c>
      <c r="P11" s="6">
        <f t="shared" si="8"/>
        <v>4.6817768275599629E-2</v>
      </c>
      <c r="Q11" s="7">
        <f t="shared" si="9"/>
        <v>-0.43134855239007819</v>
      </c>
      <c r="R11" s="7">
        <f t="shared" si="10"/>
        <v>1.915467965902476</v>
      </c>
      <c r="S11" s="6">
        <f t="shared" si="11"/>
        <v>7.9354563533322667E-2</v>
      </c>
      <c r="T11" s="6">
        <f t="shared" si="12"/>
        <v>0.12060319570718468</v>
      </c>
      <c r="U11" s="7" cm="1">
        <f t="array" ref="U11">1/(N11^2+INDEX($Z$22:$Z$24, $B11))</f>
        <v>5.0966487769221542</v>
      </c>
      <c r="V11" s="6">
        <f t="shared" si="13"/>
        <v>0.12060319570718468</v>
      </c>
    </row>
    <row r="12" spans="2:22" x14ac:dyDescent="0.2">
      <c r="B12" s="4">
        <v>3</v>
      </c>
      <c r="C12" s="5" t="s">
        <v>23</v>
      </c>
      <c r="D12" s="4">
        <v>350</v>
      </c>
      <c r="E12" s="4">
        <v>14</v>
      </c>
      <c r="F12" s="4">
        <v>350</v>
      </c>
      <c r="G12" s="4">
        <v>39</v>
      </c>
      <c r="H12" s="7">
        <f t="shared" si="0"/>
        <v>0.33226495726495725</v>
      </c>
      <c r="I12" s="7">
        <f t="shared" si="1"/>
        <v>0.17699337794314701</v>
      </c>
      <c r="J12" s="7">
        <f t="shared" si="2"/>
        <v>0.62375216016130308</v>
      </c>
      <c r="K12" s="7">
        <f t="shared" si="3"/>
        <v>-1.1018225642983579</v>
      </c>
      <c r="L12" s="7">
        <f t="shared" si="4"/>
        <v>-1.7316429598587642</v>
      </c>
      <c r="M12" s="7">
        <f t="shared" si="5"/>
        <v>-0.47200216873795164</v>
      </c>
      <c r="N12" s="7">
        <f t="shared" si="6"/>
        <v>0.32134284126052792</v>
      </c>
      <c r="O12" s="7">
        <f t="shared" si="7"/>
        <v>9.6841775084655133</v>
      </c>
      <c r="P12" s="6">
        <f t="shared" si="8"/>
        <v>8.8958764548204464E-2</v>
      </c>
      <c r="Q12" s="7">
        <f t="shared" si="9"/>
        <v>0.16902627272416937</v>
      </c>
      <c r="R12" s="7">
        <f t="shared" si="10"/>
        <v>2.330353216663152</v>
      </c>
      <c r="S12" s="6">
        <f t="shared" si="11"/>
        <v>9.6542550268989544E-2</v>
      </c>
      <c r="T12" s="6">
        <f t="shared" si="12"/>
        <v>0.16381291379757965</v>
      </c>
      <c r="U12" s="7" cm="1">
        <f t="array" ref="U12">1/(N12^2+INDEX($Z$22:$Z$24, $B12))</f>
        <v>5.0188100362127148</v>
      </c>
      <c r="V12" s="6">
        <f t="shared" si="13"/>
        <v>0.20092823577314753</v>
      </c>
    </row>
    <row r="13" spans="2:22" x14ac:dyDescent="0.2">
      <c r="B13" s="4">
        <v>3</v>
      </c>
      <c r="C13" s="5" t="s">
        <v>24</v>
      </c>
      <c r="D13" s="4">
        <v>1182</v>
      </c>
      <c r="E13" s="4">
        <v>52</v>
      </c>
      <c r="F13" s="4">
        <v>591</v>
      </c>
      <c r="G13" s="4">
        <v>47</v>
      </c>
      <c r="H13" s="7">
        <f t="shared" si="0"/>
        <v>0.53263038975710786</v>
      </c>
      <c r="I13" s="7">
        <f t="shared" si="1"/>
        <v>0.35435981461027133</v>
      </c>
      <c r="J13" s="7">
        <f t="shared" si="2"/>
        <v>0.80058494331480412</v>
      </c>
      <c r="K13" s="7">
        <f t="shared" si="3"/>
        <v>-0.62992754797907491</v>
      </c>
      <c r="L13" s="7">
        <f t="shared" si="4"/>
        <v>-1.0374424566062057</v>
      </c>
      <c r="M13" s="7">
        <f t="shared" si="5"/>
        <v>-0.22241263935194422</v>
      </c>
      <c r="N13" s="7">
        <f t="shared" si="6"/>
        <v>0.20791959027898288</v>
      </c>
      <c r="O13" s="7">
        <f t="shared" si="7"/>
        <v>23.131786681073155</v>
      </c>
      <c r="P13" s="6">
        <f t="shared" si="8"/>
        <v>0.21248837737041226</v>
      </c>
      <c r="Q13" s="7">
        <f t="shared" si="9"/>
        <v>0.64092128904345236</v>
      </c>
      <c r="R13" s="7">
        <f t="shared" si="10"/>
        <v>2.7093748581376658</v>
      </c>
      <c r="S13" s="6">
        <f t="shared" si="11"/>
        <v>0.11224476897705479</v>
      </c>
      <c r="T13" s="6">
        <f t="shared" si="12"/>
        <v>0.39128623719032402</v>
      </c>
      <c r="U13" s="7" cm="1">
        <f t="array" ref="U13">1/(N13^2+INDEX($Z$22:$Z$24, $B13))</f>
        <v>7.1828887736785774</v>
      </c>
      <c r="V13" s="6">
        <f t="shared" si="13"/>
        <v>0.28756720390618384</v>
      </c>
    </row>
    <row r="14" spans="2:22" x14ac:dyDescent="0.2">
      <c r="B14" s="4">
        <v>3</v>
      </c>
      <c r="C14" s="5" t="s">
        <v>25</v>
      </c>
      <c r="D14" s="4">
        <v>2116</v>
      </c>
      <c r="E14" s="4">
        <v>16</v>
      </c>
      <c r="F14" s="4">
        <v>1050</v>
      </c>
      <c r="G14" s="4">
        <v>36</v>
      </c>
      <c r="H14" s="7">
        <f t="shared" si="0"/>
        <v>0.2146031746031746</v>
      </c>
      <c r="I14" s="7">
        <f t="shared" si="1"/>
        <v>0.11852740733583987</v>
      </c>
      <c r="J14" s="7">
        <f t="shared" si="2"/>
        <v>0.38855589255629358</v>
      </c>
      <c r="K14" s="7">
        <f t="shared" si="3"/>
        <v>-1.5389646557767147</v>
      </c>
      <c r="L14" s="7">
        <f t="shared" si="4"/>
        <v>-2.1326110596148133</v>
      </c>
      <c r="M14" s="7">
        <f t="shared" si="5"/>
        <v>-0.94531825193861596</v>
      </c>
      <c r="N14" s="7">
        <f t="shared" si="6"/>
        <v>0.30288638389312561</v>
      </c>
      <c r="O14" s="7">
        <f t="shared" si="7"/>
        <v>10.900351417828887</v>
      </c>
      <c r="P14" s="6">
        <f t="shared" si="8"/>
        <v>0.10013052677149611</v>
      </c>
      <c r="Q14" s="7">
        <f t="shared" si="9"/>
        <v>-0.26811581875418744</v>
      </c>
      <c r="R14" s="7">
        <f t="shared" si="10"/>
        <v>2.3946449789194819</v>
      </c>
      <c r="S14" s="6">
        <f t="shared" si="11"/>
        <v>9.9206048079163292E-2</v>
      </c>
      <c r="T14" s="6">
        <f t="shared" si="12"/>
        <v>0.1843851298276197</v>
      </c>
      <c r="U14" s="7" cm="1">
        <f t="array" ref="U14">1/(N14^2+INDEX($Z$22:$Z$24, $B14))</f>
        <v>5.3268173317018412</v>
      </c>
      <c r="V14" s="6">
        <f t="shared" si="13"/>
        <v>0.21325931864764303</v>
      </c>
    </row>
    <row r="15" spans="2:22" x14ac:dyDescent="0.2">
      <c r="B15" s="4">
        <v>3</v>
      </c>
      <c r="C15" s="5" t="s">
        <v>26</v>
      </c>
      <c r="D15" s="4">
        <v>379</v>
      </c>
      <c r="E15" s="4">
        <v>5</v>
      </c>
      <c r="F15" s="4">
        <v>96</v>
      </c>
      <c r="G15" s="4">
        <v>3</v>
      </c>
      <c r="H15" s="7">
        <f t="shared" si="0"/>
        <v>0.41443850267379678</v>
      </c>
      <c r="I15" s="7">
        <f t="shared" si="1"/>
        <v>9.7286898509769112E-2</v>
      </c>
      <c r="J15" s="7">
        <f t="shared" si="2"/>
        <v>1.7654923235244402</v>
      </c>
      <c r="K15" s="7">
        <f t="shared" si="3"/>
        <v>-0.88083068049528535</v>
      </c>
      <c r="L15" s="7">
        <f t="shared" si="4"/>
        <v>-2.3300909493212254</v>
      </c>
      <c r="M15" s="7">
        <f t="shared" si="5"/>
        <v>0.56842958833065482</v>
      </c>
      <c r="N15" s="7">
        <f t="shared" si="6"/>
        <v>0.73943209174123636</v>
      </c>
      <c r="O15" s="7">
        <f t="shared" si="7"/>
        <v>1.8289566397088981</v>
      </c>
      <c r="P15" s="6">
        <f t="shared" si="8"/>
        <v>1.6800778686523649E-2</v>
      </c>
      <c r="Q15" s="7">
        <f t="shared" si="9"/>
        <v>0.39001815652724192</v>
      </c>
      <c r="R15" s="7">
        <f t="shared" si="10"/>
        <v>1.145976696264968</v>
      </c>
      <c r="S15" s="6">
        <f t="shared" si="11"/>
        <v>4.7475855597835487E-2</v>
      </c>
      <c r="T15" s="6">
        <f t="shared" si="12"/>
        <v>3.0937755539718337E-2</v>
      </c>
      <c r="U15" s="7" cm="1">
        <f t="array" ref="U15">1/(N15^2+INDEX($Z$22:$Z$24, $B15))</f>
        <v>1.5558172419238885</v>
      </c>
      <c r="V15" s="6">
        <f t="shared" si="13"/>
        <v>6.228719783168174E-2</v>
      </c>
    </row>
    <row r="16" spans="2:22" x14ac:dyDescent="0.2">
      <c r="B16" s="4">
        <v>3</v>
      </c>
      <c r="C16" s="5" t="s">
        <v>27</v>
      </c>
      <c r="D16" s="4">
        <v>1816</v>
      </c>
      <c r="E16" s="4">
        <v>21</v>
      </c>
      <c r="F16" s="4">
        <v>2021</v>
      </c>
      <c r="G16" s="4">
        <v>40</v>
      </c>
      <c r="H16" s="7">
        <f t="shared" si="0"/>
        <v>0.57940111420612816</v>
      </c>
      <c r="I16" s="7">
        <f t="shared" si="1"/>
        <v>0.34035111972083998</v>
      </c>
      <c r="J16" s="7">
        <f t="shared" si="2"/>
        <v>0.98635095256525818</v>
      </c>
      <c r="K16" s="7">
        <f t="shared" si="3"/>
        <v>-0.54576027061434162</v>
      </c>
      <c r="L16" s="7">
        <f t="shared" si="4"/>
        <v>-1.0777774891836722</v>
      </c>
      <c r="M16" s="7">
        <f t="shared" si="5"/>
        <v>-1.3743052045011028E-2</v>
      </c>
      <c r="N16" s="7">
        <f t="shared" si="6"/>
        <v>0.27144234422969743</v>
      </c>
      <c r="O16" s="7">
        <f t="shared" si="7"/>
        <v>13.572029826141403</v>
      </c>
      <c r="P16" s="6">
        <f t="shared" si="8"/>
        <v>0.12467253978869185</v>
      </c>
      <c r="Q16" s="7">
        <f t="shared" si="9"/>
        <v>0.72508856640818564</v>
      </c>
      <c r="R16" s="7">
        <f t="shared" si="10"/>
        <v>2.5028831866511543</v>
      </c>
      <c r="S16" s="6">
        <f t="shared" si="11"/>
        <v>0.10369017200348543</v>
      </c>
      <c r="T16" s="6">
        <f t="shared" si="12"/>
        <v>0.2295779636447583</v>
      </c>
      <c r="U16" s="7" cm="1">
        <f t="array" ref="U16">1/(N16^2+INDEX($Z$22:$Z$24, $B16))</f>
        <v>5.8937888644634135</v>
      </c>
      <c r="V16" s="6">
        <f t="shared" si="13"/>
        <v>0.23595804384134383</v>
      </c>
    </row>
    <row r="17" spans="2:29" x14ac:dyDescent="0.2">
      <c r="O17" s="7">
        <f>SUM(O4:O16)</f>
        <v>108.86142088020914</v>
      </c>
      <c r="R17" s="7">
        <f>SUM(R4:R16)</f>
        <v>24.138094655364469</v>
      </c>
    </row>
    <row r="18" spans="2:29" x14ac:dyDescent="0.2">
      <c r="R18" s="3"/>
    </row>
    <row r="19" spans="2:29" x14ac:dyDescent="0.2">
      <c r="C19" s="5" t="s">
        <v>38</v>
      </c>
      <c r="D19" s="4" t="s">
        <v>13</v>
      </c>
      <c r="E19" s="4"/>
      <c r="F19" s="4"/>
      <c r="G19" s="4"/>
      <c r="H19" s="7">
        <f t="shared" ref="H19:J20" si="14">EXP(K19)</f>
        <v>0.28059334264510005</v>
      </c>
      <c r="I19" s="7">
        <f t="shared" si="14"/>
        <v>0.23253865947494987</v>
      </c>
      <c r="J19" s="7">
        <f t="shared" si="14"/>
        <v>0.33857864371679658</v>
      </c>
      <c r="K19" s="7">
        <f>SUMPRODUCT(K4:K16, P4:P16)</f>
        <v>-1.2708488370225273</v>
      </c>
      <c r="L19" s="7">
        <f>K19-N19*_xlfn.NORM.S.INV(0.975)</f>
        <v>-1.4586987904656536</v>
      </c>
      <c r="M19" s="7">
        <f>K19+N19*_xlfn.NORM.S.INV(0.975)</f>
        <v>-1.0829988835794009</v>
      </c>
      <c r="N19" s="7">
        <f>1/SQRT(O17)</f>
        <v>9.5843574129352876E-2</v>
      </c>
      <c r="W19" s="4">
        <f>COUNTA(C4:C16)</f>
        <v>13</v>
      </c>
      <c r="X19" s="15" cm="1">
        <f t="array" ref="X19">SUMPRODUCT(O4:O16, Q4:Q16^2)</f>
        <v>42.980338630369843</v>
      </c>
      <c r="Y19" s="18" t="str">
        <f>_xlfn.LET(_xlpm.p, _xlfn.CHISQ.DIST.RT(X19, $W19-1), IF(_xlpm.p&lt;0.001, "p&lt;0.001", "p="&amp;TEXT(_xlpm.p, "0.000")))</f>
        <v>p&lt;0.001</v>
      </c>
      <c r="Z19" s="16" cm="1">
        <f t="array" ref="Z19">MAX(0, (X19-(COUNTA(F4:F16)-1)) / (O17-(SUM(O4:O16^2)/O17)))</f>
        <v>0.32585827529902384</v>
      </c>
      <c r="AA19" s="17">
        <f>MAX(0, (X19-COUNTA($C$4:$C$16)+1)/X19)</f>
        <v>0.72080257200391584</v>
      </c>
    </row>
    <row r="20" spans="2:29" x14ac:dyDescent="0.2">
      <c r="C20" s="5" t="s">
        <v>38</v>
      </c>
      <c r="D20" s="4" t="s">
        <v>14</v>
      </c>
      <c r="E20" s="4"/>
      <c r="F20" s="4"/>
      <c r="G20" s="4"/>
      <c r="H20" s="7">
        <f t="shared" si="14"/>
        <v>0.23319192188147222</v>
      </c>
      <c r="I20" s="7">
        <f t="shared" si="14"/>
        <v>0.1564805786952003</v>
      </c>
      <c r="J20" s="7">
        <f t="shared" si="14"/>
        <v>0.34750940266328773</v>
      </c>
      <c r="K20" s="7">
        <f>SUMPRODUCT(K4:K16, S4:S16)</f>
        <v>-1.4558934654082236</v>
      </c>
      <c r="L20" s="7">
        <f>K20-N20*_xlfn.NORM.S.INV(0.975)</f>
        <v>-1.8548233744969449</v>
      </c>
      <c r="M20" s="7">
        <f>K20+N20*_xlfn.NORM.S.INV(0.975)</f>
        <v>-1.0569635563195023</v>
      </c>
      <c r="N20" s="7">
        <f>1/SQRT(R17)</f>
        <v>0.20353940798679448</v>
      </c>
      <c r="X20" s="11"/>
      <c r="Y20" s="11"/>
      <c r="AA20" s="2"/>
    </row>
    <row r="21" spans="2:29" x14ac:dyDescent="0.2">
      <c r="H21" s="3"/>
      <c r="I21" s="3"/>
      <c r="J21" s="3"/>
      <c r="K21" s="3"/>
      <c r="L21" s="3"/>
      <c r="M21" s="3"/>
      <c r="N21" s="3"/>
      <c r="X21" s="11"/>
      <c r="Y21" s="11"/>
    </row>
    <row r="22" spans="2:29" x14ac:dyDescent="0.2">
      <c r="B22" s="4">
        <v>1</v>
      </c>
      <c r="C22" s="5" t="s">
        <v>32</v>
      </c>
      <c r="D22" s="4" t="s">
        <v>13</v>
      </c>
      <c r="E22" s="4"/>
      <c r="F22" s="4"/>
      <c r="G22" s="4"/>
      <c r="H22" s="7">
        <f>EXP(K22)</f>
        <v>6.177365635684217E-2</v>
      </c>
      <c r="I22" s="7">
        <f>EXP(L22)</f>
        <v>3.0176310427626103E-2</v>
      </c>
      <c r="J22" s="7">
        <f>EXP(M22)</f>
        <v>0.12645630183469123</v>
      </c>
      <c r="K22" s="7">
        <f t="array" ref="K22">SUM(IF($B$4:$B$16=$B22, $K$4:$K$16*$T$4:$T$16))</f>
        <v>-2.7842782779414668</v>
      </c>
      <c r="L22" s="7">
        <f>K22-N22*_xlfn.NORM.S.INV(0.975)</f>
        <v>-3.5006980853482497</v>
      </c>
      <c r="M22" s="7">
        <f>K22+N22*_xlfn.NORM.S.INV(0.975)</f>
        <v>-2.0678584705346839</v>
      </c>
      <c r="N22" s="7">
        <f>1/SQRT(SUMIF($B$4:$B$16, $B22, $O$4:$O$16))</f>
        <v>0.36552702654630964</v>
      </c>
      <c r="O22" s="7">
        <f>N22^-2</f>
        <v>7.4844693255925785</v>
      </c>
      <c r="P22" s="6">
        <f>O22/$O$25</f>
        <v>6.8752265633465051E-2</v>
      </c>
      <c r="Q22" s="7">
        <f>K22-$K$25</f>
        <v>-1.5134294409189397</v>
      </c>
      <c r="S22" s="21"/>
      <c r="W22" s="4">
        <f>COUNTIF($B$4:$B$16, $B22)</f>
        <v>4</v>
      </c>
      <c r="X22" s="15">
        <f t="array" ref="X22">SUM(IF($B$4:$B$16=$B22, ($K$4:$K$16-$K22)^2 * $O$4:$O$16))</f>
        <v>3.4979447200087854</v>
      </c>
      <c r="Y22" s="18" t="str">
        <f>_xlfn.LET(_xlpm.p, _xlfn.CHISQ.DIST.RT(X22, $W22-1), IF(_xlpm.p&lt;0.001, "p&lt;0.001", "p="&amp;TEXT(_xlpm.p, "0.000")))</f>
        <v>p=0.321</v>
      </c>
      <c r="Z22" s="16" cm="1">
        <f t="array" ref="Z22">MAX(0, (X22-($W22-1)) / (SUMIF($B$4:$B$16, $B22, $O$4:$O$16)-(SUM(IF($B$4:$B$16=$B22, $O$4:$O$16^2))/SUMIF($B$4:$B$16, $B22, $O$4:$O$16))))</f>
        <v>0.11823656410939619</v>
      </c>
      <c r="AA22" s="17">
        <f>MAX(0, (X22-COUNTIF($B$4:$B$16, $B22)+1)/X22)</f>
        <v>0.14235351323892129</v>
      </c>
      <c r="AC22" t="str">
        <f>"OR "&amp;TEXT(H22, "0.00")&amp;" ("&amp;TEXT(I22, "0.00")&amp;" to "&amp;TEXT(J22, "0.00")&amp;")"</f>
        <v>OR 0.06 (0.03 to 0.13)</v>
      </c>
    </row>
    <row r="23" spans="2:29" x14ac:dyDescent="0.2">
      <c r="B23" s="4">
        <v>2</v>
      </c>
      <c r="C23" s="5" t="s">
        <v>32</v>
      </c>
      <c r="D23" s="4" t="s">
        <v>13</v>
      </c>
      <c r="E23" s="4"/>
      <c r="F23" s="4"/>
      <c r="G23" s="4"/>
      <c r="H23" s="7">
        <f t="shared" ref="H23:J24" si="15">EXP(K23)</f>
        <v>0.20743076904257066</v>
      </c>
      <c r="I23" s="7">
        <f t="shared" si="15"/>
        <v>0.15343839451446967</v>
      </c>
      <c r="J23" s="7">
        <f t="shared" si="15"/>
        <v>0.28042214650215647</v>
      </c>
      <c r="K23" s="7">
        <f t="array" ref="K23">SUM(IF($B$4:$B$16=$B23, $K$4:$K$16*$T$4:$T$16))</f>
        <v>-1.5729576381509833</v>
      </c>
      <c r="L23" s="7">
        <f>K23-N23*_xlfn.NORM.S.INV(0.975)</f>
        <v>-1.8744561311807533</v>
      </c>
      <c r="M23" s="7">
        <f>K23+N23*_xlfn.NORM.S.INV(0.975)</f>
        <v>-1.2714591451212134</v>
      </c>
      <c r="N23" s="7">
        <f>1/SQRT(SUMIF($B$4:$B$16, $B23, $O$4:$O$16))</f>
        <v>0.15382858838629263</v>
      </c>
      <c r="O23" s="4">
        <f t="shared" ref="O23:O24" si="16">N23^-2</f>
        <v>42.259649481398711</v>
      </c>
      <c r="P23" s="6">
        <f t="shared" ref="P23:P24" si="17">O23/$O$25</f>
        <v>0.38819674720120662</v>
      </c>
      <c r="Q23" s="7">
        <f t="shared" ref="Q23:Q24" si="18">K23-$K$25</f>
        <v>-0.30210880112845628</v>
      </c>
      <c r="S23" s="21"/>
      <c r="W23" s="4">
        <f t="shared" ref="W23:W24" si="19">COUNTIF($B$4:$B$16, $B23)</f>
        <v>4</v>
      </c>
      <c r="X23" s="15">
        <f t="array" ref="X23">SUM(IF($B$4:$B$16=$B23, ($K$4:$K$16-$K23)^2 * $O$4:$O$16))</f>
        <v>0.50633617569179945</v>
      </c>
      <c r="Y23" s="18" t="str">
        <f>_xlfn.LET(_xlpm.p, _xlfn.CHISQ.DIST.RT(X23, $W23-1), IF(_xlpm.p&lt;0.001, "p&lt;0.001", "p="&amp;TEXT(_xlpm.p, "0.000")))</f>
        <v>p=0.917</v>
      </c>
      <c r="Z23" s="16">
        <f t="array" ref="Z23">MAX(0, (X23-(COUNTIF($B$4:$B$16, $B23)-1)) / (SUMIF($B$4:$B$16, $B23, $O$4:$O$16)-(SUM(IF($B$4:$B$16=$B23, $O$4:$O$16^2))/SUMIF($B$4:$B$16, $B23, $O$4:$O$16))))</f>
        <v>0</v>
      </c>
      <c r="AA23" s="17">
        <f>MAX(0, (X23-COUNTIF($B$4:$B$16, $B23)+1)/X23)</f>
        <v>0</v>
      </c>
      <c r="AC23" t="str">
        <f t="shared" ref="AC23:AC24" si="20">"OR "&amp;TEXT(H23, "0.00")&amp;" ("&amp;TEXT(I23, "0.00")&amp;" to "&amp;TEXT(J23, "0.00")&amp;")"</f>
        <v>OR 0.21 (0.15 to 0.28)</v>
      </c>
    </row>
    <row r="24" spans="2:29" x14ac:dyDescent="0.2">
      <c r="B24" s="4">
        <v>3</v>
      </c>
      <c r="C24" s="5" t="s">
        <v>32</v>
      </c>
      <c r="D24" s="4" t="s">
        <v>13</v>
      </c>
      <c r="E24" s="4"/>
      <c r="F24" s="4"/>
      <c r="G24" s="4"/>
      <c r="H24" s="7">
        <f t="shared" si="15"/>
        <v>0.421775372894309</v>
      </c>
      <c r="I24" s="7">
        <f t="shared" si="15"/>
        <v>0.32686936074491291</v>
      </c>
      <c r="J24" s="7">
        <f t="shared" si="15"/>
        <v>0.54423719853926977</v>
      </c>
      <c r="K24" s="7">
        <f t="array" ref="K24">SUM(IF($B$4:$B$16=$B24, $K$4:$K$16*$T$4:$T$16))</f>
        <v>-0.8632823983833019</v>
      </c>
      <c r="L24" s="7">
        <f>K24-N24*_xlfn.NORM.S.INV(0.975)</f>
        <v>-1.1181946963349785</v>
      </c>
      <c r="M24" s="7">
        <f>K24+N24*_xlfn.NORM.S.INV(0.975)</f>
        <v>-0.60837010043162532</v>
      </c>
      <c r="N24" s="7">
        <f>1/SQRT(SUMIF($B$4:$B$16, $B24, $O$4:$O$16))</f>
        <v>0.13005968475053228</v>
      </c>
      <c r="O24" s="4">
        <f t="shared" si="16"/>
        <v>59.117302073217857</v>
      </c>
      <c r="P24" s="6">
        <f t="shared" si="17"/>
        <v>0.54305098716532829</v>
      </c>
      <c r="Q24" s="7">
        <f t="shared" si="18"/>
        <v>0.40756643863922515</v>
      </c>
      <c r="S24" s="21"/>
      <c r="W24" s="4">
        <f t="shared" si="19"/>
        <v>5</v>
      </c>
      <c r="X24" s="15">
        <f t="array" ref="X24">SUM(IF($B$4:$B$16=$B24, ($K$4:$K$16-$K24)^2 * $O$4:$O$16))</f>
        <v>8.1560897044584948</v>
      </c>
      <c r="Y24" s="18" t="str">
        <f>_xlfn.LET(_xlpm.p, _xlfn.CHISQ.DIST.RT(X24, $W24-1), IF(_xlpm.p&lt;0.001, "p&lt;0.001", "p="&amp;TEXT(_xlpm.p, "0.000")))</f>
        <v>p=0.086</v>
      </c>
      <c r="Z24" s="16">
        <f t="array" ref="Z24">MAX(0, (X24-(COUNTIF($B$4:$B$16, $B24)-1)) / (SUMIF($B$4:$B$16, $B24, $O$4:$O$16)-(SUM(IF($B$4:$B$16=$B24, $O$4:$O$16^2))/SUMIF($B$4:$B$16, $B24, $O$4:$O$16))))</f>
        <v>9.5989196853199926E-2</v>
      </c>
      <c r="AA24" s="17">
        <f>MAX(0, (X24-COUNTIF($B$4:$B$16, $B24)+1)/X24)</f>
        <v>0.50956890557329015</v>
      </c>
      <c r="AC24" t="str">
        <f t="shared" si="20"/>
        <v>OR 0.42 (0.33 to 0.54)</v>
      </c>
    </row>
    <row r="25" spans="2:29" x14ac:dyDescent="0.2">
      <c r="K25" s="4">
        <f>SUMPRODUCT(K22:K24, P22:P24)</f>
        <v>-1.270848837022527</v>
      </c>
      <c r="O25" s="4">
        <f>SUM(O22:O24)</f>
        <v>108.86142088020915</v>
      </c>
      <c r="W25" s="4">
        <f>COUNTA(B22:B24)</f>
        <v>3</v>
      </c>
      <c r="X25" s="15" cm="1">
        <f t="array" ref="X25">SUMPRODUCT(O22:O24, Q22:Q24^2)</f>
        <v>30.819968030210745</v>
      </c>
      <c r="Y25" s="18" t="str">
        <f>_xlfn.LET(_xlpm.p, _xlfn.CHISQ.DIST.RT(X25, $W25-1), IF(_xlpm.p&lt;0.001, "p&lt;0.001", "p="&amp;TEXT(_xlpm.p, "0.000")))</f>
        <v>p&lt;0.001</v>
      </c>
      <c r="Z25" s="16" cm="1">
        <f t="array" ref="Z25">MAX(0, (X25-($W25-1)) / (O25-(SUM(O22:O24^2)/O25)))</f>
        <v>0.48163257477901089</v>
      </c>
      <c r="AA25" s="17">
        <f>MAX(0, (X25-COUNTA($C22:$C24)+1)/X25)</f>
        <v>0.93510700601507657</v>
      </c>
    </row>
    <row r="26" spans="2:29" x14ac:dyDescent="0.2">
      <c r="Q26" s="11"/>
    </row>
    <row r="27" spans="2:29" x14ac:dyDescent="0.2">
      <c r="B27" s="4">
        <v>1</v>
      </c>
      <c r="C27" s="5" t="s">
        <v>32</v>
      </c>
      <c r="D27" s="4" t="s">
        <v>14</v>
      </c>
      <c r="E27" s="4"/>
      <c r="F27" s="4"/>
      <c r="G27" s="4"/>
      <c r="H27" s="7">
        <f>EXP(K27)</f>
        <v>6.6085658881661985E-2</v>
      </c>
      <c r="I27" s="7">
        <f>EXP(L27)</f>
        <v>2.8695240797842272E-2</v>
      </c>
      <c r="J27" s="7">
        <f>EXP(M27)</f>
        <v>0.15219646841757073</v>
      </c>
      <c r="K27" s="7">
        <f t="array" ref="K27">SUM(IF($B$4:$B$16=$B27, $K$4:$K$16*$V$4:$V$16))</f>
        <v>-2.7168035166070132</v>
      </c>
      <c r="L27" s="7">
        <f>K27-N27*_xlfn.NORM.S.INV(0.975)</f>
        <v>-3.5510239958263439</v>
      </c>
      <c r="M27" s="7">
        <f>K27+N27*_xlfn.NORM.S.INV(0.975)</f>
        <v>-1.8825830373876826</v>
      </c>
      <c r="N27" s="7">
        <f t="array" ref="N27">1/SQRT(SUMIF($B$4:$B$16, $B27, $U$4:$U$16))</f>
        <v>0.42563051453983619</v>
      </c>
      <c r="O27" s="4">
        <f>N27^-2</f>
        <v>5.5199416614527284</v>
      </c>
      <c r="P27" s="6">
        <f>O27/$O$30</f>
        <v>7.5867442834566728E-2</v>
      </c>
      <c r="Q27" s="7">
        <f>K27-$K$30</f>
        <v>-1.2831608261394907</v>
      </c>
      <c r="S27" s="2"/>
      <c r="AC27" t="str">
        <f>"OR "&amp;TEXT(H27, "0.00")&amp;" ("&amp;TEXT(I27, "0.00")&amp;" to "&amp;TEXT(J27, "0.00")&amp;")"</f>
        <v>OR 0.07 (0.03 to 0.15)</v>
      </c>
    </row>
    <row r="28" spans="2:29" x14ac:dyDescent="0.2">
      <c r="B28" s="4">
        <v>2</v>
      </c>
      <c r="C28" s="5" t="s">
        <v>32</v>
      </c>
      <c r="D28" s="4" t="s">
        <v>14</v>
      </c>
      <c r="E28" s="4"/>
      <c r="F28" s="4"/>
      <c r="G28" s="4"/>
      <c r="H28" s="7">
        <f t="shared" ref="H28:J29" si="21">EXP(K28)</f>
        <v>0.20743076904257066</v>
      </c>
      <c r="I28" s="7">
        <f t="shared" si="21"/>
        <v>0.15343839451446967</v>
      </c>
      <c r="J28" s="7">
        <f t="shared" si="21"/>
        <v>0.28042214650215647</v>
      </c>
      <c r="K28" s="7">
        <f t="array" ref="K28">SUM(IF($B$4:$B$16=$B28, $K$4:$K$16*$V$4:$V$16))</f>
        <v>-1.5729576381509833</v>
      </c>
      <c r="L28" s="7">
        <f>K28-N28*_xlfn.NORM.S.INV(0.975)</f>
        <v>-1.8744561311807533</v>
      </c>
      <c r="M28" s="7">
        <f>K28+N28*_xlfn.NORM.S.INV(0.975)</f>
        <v>-1.2714591451212134</v>
      </c>
      <c r="N28" s="7">
        <f t="array" ref="N28">1/SQRT(SUMIF($B$4:$B$16, $B28, $U$4:$U$16))</f>
        <v>0.15382858838629263</v>
      </c>
      <c r="O28" s="4">
        <f t="shared" ref="O28:O29" si="22">N28^-2</f>
        <v>42.259649481398711</v>
      </c>
      <c r="P28" s="6">
        <f t="shared" ref="P28:P29" si="23">O28/$O$30</f>
        <v>0.58082706989969535</v>
      </c>
      <c r="Q28" s="7">
        <f t="shared" ref="Q28:Q29" si="24">K28-$K$30</f>
        <v>-0.13931494768346075</v>
      </c>
      <c r="S28" s="2"/>
      <c r="AC28" t="str">
        <f t="shared" ref="AC28:AC29" si="25">"OR "&amp;TEXT(H28, "0.00")&amp;" ("&amp;TEXT(I28, "0.00")&amp;" to "&amp;TEXT(J28, "0.00")&amp;")"</f>
        <v>OR 0.21 (0.15 to 0.28)</v>
      </c>
    </row>
    <row r="29" spans="2:29" x14ac:dyDescent="0.2">
      <c r="B29" s="4">
        <v>3</v>
      </c>
      <c r="C29" s="5" t="s">
        <v>32</v>
      </c>
      <c r="D29" s="4" t="s">
        <v>14</v>
      </c>
      <c r="E29" s="4"/>
      <c r="F29" s="4"/>
      <c r="G29" s="4"/>
      <c r="H29" s="7">
        <f t="shared" si="21"/>
        <v>0.40076769961506326</v>
      </c>
      <c r="I29" s="7">
        <f t="shared" si="21"/>
        <v>0.27075585987097045</v>
      </c>
      <c r="J29" s="7">
        <f t="shared" si="21"/>
        <v>0.5932087642767585</v>
      </c>
      <c r="K29" s="7">
        <f t="array" ref="K29">SUM(IF($B$4:$B$16=$B29, $K$4:$K$16*$V$4:$V$16))</f>
        <v>-0.91437332224178935</v>
      </c>
      <c r="L29" s="7">
        <f>K29-N29*_xlfn.NORM.S.INV(0.975)</f>
        <v>-1.3065377502291684</v>
      </c>
      <c r="M29" s="7">
        <f>K29+N29*_xlfn.NORM.S.INV(0.975)</f>
        <v>-0.52220889425441031</v>
      </c>
      <c r="N29" s="7">
        <f t="array" ref="N29">1/SQRT(SUMIF($B$4:$B$16, $B29, $U$4:$U$16))</f>
        <v>0.20008756848632026</v>
      </c>
      <c r="O29" s="4">
        <f t="shared" si="22"/>
        <v>24.978122247980444</v>
      </c>
      <c r="P29" s="6">
        <f t="shared" si="23"/>
        <v>0.34330548726573795</v>
      </c>
      <c r="Q29" s="7">
        <f t="shared" si="24"/>
        <v>0.51926936822573322</v>
      </c>
      <c r="S29" s="2"/>
      <c r="AC29" t="str">
        <f t="shared" si="25"/>
        <v>OR 0.40 (0.27 to 0.59)</v>
      </c>
    </row>
    <row r="30" spans="2:29" x14ac:dyDescent="0.2">
      <c r="K30" s="4">
        <f>SUMPRODUCT(K27:K29, P27:P29)</f>
        <v>-1.4336426904675226</v>
      </c>
      <c r="O30" s="4">
        <f>SUM(O27:O29)</f>
        <v>72.757713390831881</v>
      </c>
      <c r="W30" s="4">
        <f>COUNTA(B27:B29)</f>
        <v>3</v>
      </c>
      <c r="X30" s="15" cm="1">
        <f t="array" ref="X30">SUMPRODUCT(O27:O29, Q27:Q29^2)</f>
        <v>16.643914091071373</v>
      </c>
      <c r="Y30" s="18" t="str">
        <f>_xlfn.LET(_xlpm.p, _xlfn.CHISQ.DIST.RT(X30, $W30-1), IF(_xlpm.p&lt;0.001, "p&lt;0.001", "p="&amp;TEXT(_xlpm.p, "0.000")))</f>
        <v>p&lt;0.001</v>
      </c>
      <c r="Z30" s="16" cm="1">
        <f t="array" ref="Z30">MAX(0, (X30-(COUNTA(B27:B29)-1)) / (O30-(SUM(O27:O29^2)/O30)))</f>
        <v>0.37339535366124366</v>
      </c>
      <c r="AA30" s="17">
        <f>MAX(0, (X30-COUNTA($C27:$C29)+1)/X30)</f>
        <v>0.87983595751236787</v>
      </c>
    </row>
  </sheetData>
  <mergeCells count="8">
    <mergeCell ref="T2:V2"/>
    <mergeCell ref="F2:G2"/>
    <mergeCell ref="D2:E2"/>
    <mergeCell ref="B2:B3"/>
    <mergeCell ref="C2:C3"/>
    <mergeCell ref="H2:J2"/>
    <mergeCell ref="K2:N2"/>
    <mergeCell ref="O2:S2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PropLogit</vt:lpstr>
      <vt:lpstr>PropFT</vt:lpstr>
      <vt:lpstr>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Rogers</dc:creator>
  <cp:lastModifiedBy>Gabriel Rogers</cp:lastModifiedBy>
  <dcterms:created xsi:type="dcterms:W3CDTF">2022-04-12T15:36:34Z</dcterms:created>
  <dcterms:modified xsi:type="dcterms:W3CDTF">2022-04-27T19:36:21Z</dcterms:modified>
</cp:coreProperties>
</file>