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gcaglion\Documents\MyTrader\"/>
    </mc:Choice>
  </mc:AlternateContent>
  <bookViews>
    <workbookView xWindow="-15" yWindow="-15" windowWidth="14415" windowHeight="12795"/>
  </bookViews>
  <sheets>
    <sheet name="Balancing" sheetId="1" r:id="rId1"/>
    <sheet name="Pairs" sheetId="4" r:id="rId2"/>
    <sheet name="Deploy" sheetId="7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0" hidden="1">Balancing!$B$101:$P$141</definedName>
    <definedName name="MyData">[1]Equity!$B$22</definedName>
    <definedName name="Query_from_Augusto_Alpari" localSheetId="0" hidden="1">Balancing!$C$4:$G$4</definedName>
    <definedName name="Query_from_Augusto_Alpari_1" localSheetId="0" hidden="1">Balancing!$C$5:$G$5</definedName>
    <definedName name="Query_from_Augusto_Alpari_2" localSheetId="0" hidden="1">Balancing!$C$3:$G$3</definedName>
    <definedName name="Query_from_Augusto_Alpari_3" localSheetId="0" hidden="1">Balancing!$C$6:$G$6</definedName>
    <definedName name="Query_from_FXCM_Tiziana" localSheetId="0" hidden="1">Balancing!$C$22:$G$22</definedName>
    <definedName name="Query_from_FXCM_Tiziana_1" localSheetId="0" hidden="1">Balancing!$C$21:$G$21</definedName>
    <definedName name="Query_from_FXCM_Tiziana_2" localSheetId="0" hidden="1">Balancing!$C$20:$G$20</definedName>
    <definedName name="Query_from_FXCM_Tiziana_3" localSheetId="0" hidden="1">Balancing!$C$23:$G$23</definedName>
    <definedName name="Query_from_Giacomo_Alpari" localSheetId="0" hidden="1">Balancing!$C$1:$G$1</definedName>
    <definedName name="Query_from_Giacomo_Alpari_1" localSheetId="0" hidden="1">Balancing!$C$2:$G$2</definedName>
    <definedName name="Query_from_Giacomo2_lpari" localSheetId="0" hidden="1">Balancing!$C$7:$G$7</definedName>
    <definedName name="Query_from_Giacomo2_lpari_1" localSheetId="0" hidden="1">Balancing!$C$9:$G$9</definedName>
    <definedName name="Query_from_Giacomo2_lpari_2" localSheetId="0" hidden="1">Balancing!$C$10:$G$10</definedName>
    <definedName name="Query_from_Giacomo2_lpari_3" localSheetId="0" hidden="1">Balancing!$C$8:$G$8</definedName>
    <definedName name="Query_from_IA_Alpari" localSheetId="0" hidden="1">Balancing!$C$13:$G$13</definedName>
    <definedName name="Query_from_IA_Alpari_1" localSheetId="0" hidden="1">Balancing!$C$12:$G$12</definedName>
    <definedName name="Query_from_IA_Alpari_2" localSheetId="0" hidden="1">Balancing!$C$11:$G$11</definedName>
    <definedName name="Query_from_IA_XM" localSheetId="0" hidden="1">Balancing!$C$16:$G$16</definedName>
    <definedName name="Query_from_IA_XM_1" localSheetId="0" hidden="1">Balancing!$C$18:$G$18</definedName>
    <definedName name="Query_from_IA_XM_2" localSheetId="0" hidden="1">Balancing!$C$17:$G$17</definedName>
    <definedName name="Query_from_IA_XM_3" localSheetId="0" hidden="1">Balancing!$C$19:$G$19</definedName>
    <definedName name="Query_from_IN_Alpari" localSheetId="0" hidden="1">Balancing!$C$28:$G$28</definedName>
    <definedName name="Query_from_IN_Alpari_1" localSheetId="0" hidden="1">Balancing!$C$27:$G$27</definedName>
    <definedName name="Query_from_IN_Alpari_2" localSheetId="0" hidden="1">Balancing!$C$29:$G$29</definedName>
    <definedName name="Query_from_IN_Alpari_3" localSheetId="0" hidden="1">Balancing!$C$30:$G$30</definedName>
    <definedName name="Query_from_Luca_XM" localSheetId="0" hidden="1">Balancing!$C$14:$G$14</definedName>
    <definedName name="Query_from_Luca_XM_1" localSheetId="0" hidden="1">Balancing!$C$15:$G$15</definedName>
    <definedName name="Query_from_Mavi_Alpari" localSheetId="0" hidden="1">Balancing!$C$38:$G$38</definedName>
    <definedName name="Query_from_Mavi_Alpari_1" localSheetId="0" hidden="1">Balancing!$C$39:$G$39</definedName>
    <definedName name="Query_from_Mavi_Alpari_2" localSheetId="0" hidden="1">Balancing!$C$40:$G$40</definedName>
    <definedName name="Query_from_Roberto_Alpari" localSheetId="0" hidden="1">Balancing!$C$36:$G$36</definedName>
    <definedName name="Query_from_Roberto_Alpari_1" localSheetId="0" hidden="1">Balancing!$C$35:$G$35</definedName>
    <definedName name="Query_from_Roberto_Alpari_2" localSheetId="0" hidden="1">Balancing!$C$37:$G$37</definedName>
    <definedName name="Query_from_Sara_Alpari" localSheetId="0" hidden="1">Balancing!$C$24:$G$24</definedName>
    <definedName name="Query_from_Sara_Alpari_1" localSheetId="0" hidden="1">Balancing!$C$25:$G$25</definedName>
    <definedName name="Query_from_Sara_Alpari_2" localSheetId="0" hidden="1">Balancing!$C$26:$G$26</definedName>
    <definedName name="Query_from_Vittorio_Alpari" localSheetId="0" hidden="1">Balancing!$C$33:$G$33</definedName>
    <definedName name="Query_from_Vittorio_Alpari_1" localSheetId="0" hidden="1">Balancing!$C$34:$G$34</definedName>
    <definedName name="Query_from_Vittorio_Alpari_2" localSheetId="0" hidden="1">Balancing!$C$32:$G$32</definedName>
    <definedName name="Query_from_Vittorio_Alpari_3" localSheetId="0" hidden="1">Balancing!$C$31:$G$31</definedName>
  </definedNames>
  <calcPr calcId="152511"/>
</workbook>
</file>

<file path=xl/calcChain.xml><?xml version="1.0" encoding="utf-8"?>
<calcChain xmlns="http://schemas.openxmlformats.org/spreadsheetml/2006/main">
  <c r="B2" i="7" l="1"/>
  <c r="C2" i="7" s="1"/>
  <c r="G2" i="7"/>
  <c r="B3" i="7"/>
  <c r="F3" i="7" s="1"/>
  <c r="B4" i="7"/>
  <c r="F4" i="7" s="1"/>
  <c r="B5" i="7"/>
  <c r="E5" i="7" s="1"/>
  <c r="B6" i="7"/>
  <c r="C6" i="7" s="1"/>
  <c r="F6" i="7"/>
  <c r="G6" i="7"/>
  <c r="B7" i="7"/>
  <c r="F7" i="7" s="1"/>
  <c r="B8" i="7"/>
  <c r="F8" i="7" s="1"/>
  <c r="G8" i="7"/>
  <c r="B9" i="7"/>
  <c r="E9" i="7" s="1"/>
  <c r="B10" i="7"/>
  <c r="C10" i="7" s="1"/>
  <c r="F10" i="7"/>
  <c r="G10" i="7"/>
  <c r="B11" i="7"/>
  <c r="F11" i="7" s="1"/>
  <c r="B12" i="7"/>
  <c r="F12" i="7" s="1"/>
  <c r="G12" i="7"/>
  <c r="B13" i="7"/>
  <c r="E13" i="7" s="1"/>
  <c r="B14" i="7"/>
  <c r="C14" i="7" s="1"/>
  <c r="B15" i="7"/>
  <c r="E15" i="7" s="1"/>
  <c r="C9" i="7" l="1"/>
  <c r="F5" i="7"/>
  <c r="G3" i="7"/>
  <c r="C5" i="7"/>
  <c r="G14" i="7"/>
  <c r="E12" i="7"/>
  <c r="E10" i="7"/>
  <c r="E8" i="7"/>
  <c r="E6" i="7"/>
  <c r="G4" i="7"/>
  <c r="F2" i="7"/>
  <c r="F14" i="7"/>
  <c r="D12" i="7"/>
  <c r="D10" i="7"/>
  <c r="D8" i="7"/>
  <c r="D6" i="7"/>
  <c r="E4" i="7"/>
  <c r="E2" i="7"/>
  <c r="E14" i="7"/>
  <c r="C12" i="7"/>
  <c r="C8" i="7"/>
  <c r="D4" i="7"/>
  <c r="D2" i="7"/>
  <c r="D14" i="7"/>
  <c r="C4" i="7"/>
  <c r="G11" i="7"/>
  <c r="F9" i="7"/>
  <c r="G7" i="7"/>
  <c r="G5" i="7"/>
  <c r="F15" i="7"/>
  <c r="G15" i="7"/>
  <c r="F13" i="7"/>
  <c r="C15" i="7"/>
  <c r="G13" i="7"/>
  <c r="C11" i="7"/>
  <c r="G9" i="7"/>
  <c r="C7" i="7"/>
  <c r="C3" i="7"/>
  <c r="D15" i="7"/>
  <c r="D11" i="7"/>
  <c r="D7" i="7"/>
  <c r="D3" i="7"/>
  <c r="E11" i="7"/>
  <c r="E7" i="7"/>
  <c r="E3" i="7"/>
  <c r="C13" i="7"/>
  <c r="D13" i="7"/>
  <c r="D9" i="7"/>
  <c r="D5" i="7"/>
  <c r="C117" i="1"/>
  <c r="J117" i="1" s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  <c r="L108" i="1"/>
  <c r="M108" i="1"/>
  <c r="N108" i="1"/>
  <c r="O108" i="1"/>
  <c r="L109" i="1"/>
  <c r="M109" i="1"/>
  <c r="N109" i="1"/>
  <c r="O109" i="1"/>
  <c r="L120" i="1"/>
  <c r="M120" i="1"/>
  <c r="N120" i="1"/>
  <c r="O120" i="1"/>
  <c r="L102" i="1"/>
  <c r="M102" i="1"/>
  <c r="N102" i="1"/>
  <c r="O102" i="1"/>
  <c r="L103" i="1"/>
  <c r="M103" i="1"/>
  <c r="N103" i="1"/>
  <c r="O103" i="1"/>
  <c r="L104" i="1"/>
  <c r="M104" i="1"/>
  <c r="N104" i="1"/>
  <c r="O104" i="1"/>
  <c r="L105" i="1"/>
  <c r="M105" i="1"/>
  <c r="N105" i="1"/>
  <c r="O105" i="1"/>
  <c r="L106" i="1"/>
  <c r="M106" i="1"/>
  <c r="N106" i="1"/>
  <c r="O106" i="1"/>
  <c r="L107" i="1"/>
  <c r="M107" i="1"/>
  <c r="N107" i="1"/>
  <c r="O107" i="1"/>
  <c r="L110" i="1"/>
  <c r="M110" i="1"/>
  <c r="N110" i="1"/>
  <c r="O110" i="1"/>
  <c r="L111" i="1"/>
  <c r="M111" i="1"/>
  <c r="N111" i="1"/>
  <c r="O111" i="1"/>
  <c r="L112" i="1"/>
  <c r="M112" i="1"/>
  <c r="N112" i="1"/>
  <c r="O112" i="1"/>
  <c r="L113" i="1"/>
  <c r="M113" i="1"/>
  <c r="N113" i="1"/>
  <c r="O113" i="1"/>
  <c r="L114" i="1"/>
  <c r="M114" i="1"/>
  <c r="N114" i="1"/>
  <c r="O114" i="1"/>
  <c r="L115" i="1"/>
  <c r="M115" i="1"/>
  <c r="N115" i="1"/>
  <c r="O115" i="1"/>
  <c r="L116" i="1"/>
  <c r="M116" i="1"/>
  <c r="N116" i="1"/>
  <c r="O116" i="1"/>
  <c r="L117" i="1"/>
  <c r="M117" i="1"/>
  <c r="N117" i="1"/>
  <c r="O117" i="1"/>
  <c r="L118" i="1"/>
  <c r="M118" i="1"/>
  <c r="N118" i="1"/>
  <c r="O118" i="1"/>
  <c r="L119" i="1"/>
  <c r="M119" i="1"/>
  <c r="N119" i="1"/>
  <c r="O119" i="1"/>
  <c r="L121" i="1"/>
  <c r="M121" i="1"/>
  <c r="N121" i="1"/>
  <c r="O121" i="1"/>
  <c r="L122" i="1"/>
  <c r="M122" i="1"/>
  <c r="N122" i="1"/>
  <c r="O122" i="1"/>
  <c r="L123" i="1"/>
  <c r="M123" i="1"/>
  <c r="N123" i="1"/>
  <c r="O123" i="1"/>
  <c r="L124" i="1"/>
  <c r="M124" i="1"/>
  <c r="N124" i="1"/>
  <c r="O124" i="1"/>
  <c r="L125" i="1"/>
  <c r="M125" i="1"/>
  <c r="N125" i="1"/>
  <c r="O125" i="1"/>
  <c r="L126" i="1"/>
  <c r="M126" i="1"/>
  <c r="N126" i="1"/>
  <c r="O126" i="1"/>
  <c r="L127" i="1"/>
  <c r="M127" i="1"/>
  <c r="N127" i="1"/>
  <c r="O127" i="1"/>
  <c r="L128" i="1"/>
  <c r="M128" i="1"/>
  <c r="N128" i="1"/>
  <c r="O128" i="1"/>
  <c r="L129" i="1"/>
  <c r="M129" i="1"/>
  <c r="N129" i="1"/>
  <c r="O129" i="1"/>
  <c r="L130" i="1"/>
  <c r="M130" i="1"/>
  <c r="N130" i="1"/>
  <c r="O130" i="1"/>
  <c r="L131" i="1"/>
  <c r="M131" i="1"/>
  <c r="N131" i="1"/>
  <c r="O131" i="1"/>
  <c r="L132" i="1"/>
  <c r="M132" i="1"/>
  <c r="N132" i="1"/>
  <c r="O132" i="1"/>
  <c r="L133" i="1"/>
  <c r="M133" i="1"/>
  <c r="N133" i="1"/>
  <c r="O133" i="1"/>
  <c r="L134" i="1"/>
  <c r="M134" i="1"/>
  <c r="N134" i="1"/>
  <c r="O134" i="1"/>
  <c r="L135" i="1"/>
  <c r="M135" i="1"/>
  <c r="N135" i="1"/>
  <c r="O135" i="1"/>
  <c r="L136" i="1"/>
  <c r="M136" i="1"/>
  <c r="N136" i="1"/>
  <c r="O136" i="1"/>
  <c r="L137" i="1"/>
  <c r="M137" i="1"/>
  <c r="N137" i="1"/>
  <c r="O137" i="1"/>
  <c r="L138" i="1"/>
  <c r="M138" i="1"/>
  <c r="N138" i="1"/>
  <c r="O138" i="1"/>
  <c r="L139" i="1"/>
  <c r="M139" i="1"/>
  <c r="N139" i="1"/>
  <c r="O139" i="1"/>
  <c r="P139" i="1"/>
  <c r="L140" i="1"/>
  <c r="M140" i="1"/>
  <c r="N140" i="1"/>
  <c r="O140" i="1"/>
  <c r="P140" i="1"/>
  <c r="L141" i="1"/>
  <c r="M141" i="1"/>
  <c r="N141" i="1"/>
  <c r="O141" i="1"/>
  <c r="P141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19" i="1"/>
  <c r="B118" i="1"/>
  <c r="B117" i="1"/>
  <c r="B116" i="1"/>
  <c r="B115" i="1"/>
  <c r="B114" i="1"/>
  <c r="B113" i="1"/>
  <c r="B112" i="1"/>
  <c r="B111" i="1"/>
  <c r="B110" i="1"/>
  <c r="B107" i="1"/>
  <c r="B106" i="1"/>
  <c r="B105" i="1"/>
  <c r="B104" i="1"/>
  <c r="B103" i="1"/>
  <c r="B102" i="1"/>
  <c r="B120" i="1"/>
  <c r="B109" i="1"/>
  <c r="B108" i="1"/>
  <c r="C141" i="1"/>
  <c r="J141" i="1" s="1"/>
  <c r="C140" i="1"/>
  <c r="J140" i="1" s="1"/>
  <c r="C139" i="1"/>
  <c r="J139" i="1" s="1"/>
  <c r="C138" i="1"/>
  <c r="J138" i="1" s="1"/>
  <c r="C137" i="1"/>
  <c r="J137" i="1" s="1"/>
  <c r="C136" i="1"/>
  <c r="J136" i="1" s="1"/>
  <c r="C135" i="1"/>
  <c r="J135" i="1" s="1"/>
  <c r="C134" i="1"/>
  <c r="J134" i="1" s="1"/>
  <c r="C133" i="1"/>
  <c r="J133" i="1" s="1"/>
  <c r="C132" i="1"/>
  <c r="J132" i="1" s="1"/>
  <c r="C131" i="1"/>
  <c r="J131" i="1" s="1"/>
  <c r="C130" i="1"/>
  <c r="J130" i="1" s="1"/>
  <c r="C129" i="1"/>
  <c r="J129" i="1" s="1"/>
  <c r="C128" i="1"/>
  <c r="J128" i="1" s="1"/>
  <c r="C127" i="1"/>
  <c r="J127" i="1" s="1"/>
  <c r="C126" i="1"/>
  <c r="J126" i="1" s="1"/>
  <c r="C125" i="1"/>
  <c r="J125" i="1" s="1"/>
  <c r="C124" i="1"/>
  <c r="J124" i="1" s="1"/>
  <c r="C123" i="1"/>
  <c r="J123" i="1" s="1"/>
  <c r="C122" i="1"/>
  <c r="J122" i="1" s="1"/>
  <c r="C121" i="1"/>
  <c r="J121" i="1" s="1"/>
  <c r="C119" i="1"/>
  <c r="J119" i="1" s="1"/>
  <c r="C118" i="1"/>
  <c r="J118" i="1" s="1"/>
  <c r="C116" i="1"/>
  <c r="J116" i="1" s="1"/>
  <c r="C115" i="1"/>
  <c r="J115" i="1" s="1"/>
  <c r="C114" i="1"/>
  <c r="J114" i="1" s="1"/>
  <c r="C113" i="1"/>
  <c r="J113" i="1" s="1"/>
  <c r="C112" i="1"/>
  <c r="J112" i="1" s="1"/>
  <c r="C111" i="1"/>
  <c r="J111" i="1" s="1"/>
  <c r="C110" i="1"/>
  <c r="J110" i="1" s="1"/>
  <c r="C107" i="1"/>
  <c r="J107" i="1" s="1"/>
  <c r="C105" i="1"/>
  <c r="J105" i="1" s="1"/>
  <c r="C104" i="1"/>
  <c r="J104" i="1" s="1"/>
  <c r="C103" i="1"/>
  <c r="J103" i="1" s="1"/>
  <c r="C102" i="1"/>
  <c r="J102" i="1" s="1"/>
  <c r="C120" i="1"/>
  <c r="J120" i="1" s="1"/>
  <c r="C109" i="1"/>
  <c r="J109" i="1" s="1"/>
  <c r="C108" i="1"/>
  <c r="J108" i="1" s="1"/>
  <c r="A135" i="1" l="1"/>
  <c r="A133" i="1"/>
  <c r="A139" i="1"/>
  <c r="A103" i="1"/>
  <c r="A113" i="1"/>
  <c r="A122" i="1"/>
  <c r="A130" i="1"/>
  <c r="A138" i="1"/>
  <c r="A112" i="1"/>
  <c r="A121" i="1"/>
  <c r="A129" i="1"/>
  <c r="A137" i="1"/>
  <c r="A120" i="1"/>
  <c r="A111" i="1"/>
  <c r="A119" i="1"/>
  <c r="A128" i="1"/>
  <c r="A136" i="1"/>
  <c r="A109" i="1"/>
  <c r="A108" i="1"/>
  <c r="A107" i="1"/>
  <c r="A117" i="1"/>
  <c r="A126" i="1"/>
  <c r="A134" i="1"/>
  <c r="A116" i="1"/>
  <c r="A125" i="1"/>
  <c r="A141" i="1"/>
  <c r="A105" i="1"/>
  <c r="A115" i="1"/>
  <c r="A124" i="1"/>
  <c r="A132" i="1"/>
  <c r="A140" i="1"/>
  <c r="A123" i="1"/>
  <c r="A131" i="1"/>
  <c r="A114" i="1"/>
  <c r="A104" i="1"/>
  <c r="A127" i="1"/>
  <c r="A110" i="1"/>
  <c r="A118" i="1"/>
  <c r="A102" i="1"/>
  <c r="G102" i="1" s="1"/>
  <c r="P123" i="1"/>
  <c r="P114" i="1"/>
  <c r="P129" i="1"/>
  <c r="C106" i="1"/>
  <c r="J106" i="1" s="1"/>
  <c r="P136" i="1"/>
  <c r="P134" i="1"/>
  <c r="P132" i="1"/>
  <c r="P124" i="1"/>
  <c r="P130" i="1"/>
  <c r="P135" i="1"/>
  <c r="P128" i="1"/>
  <c r="P127" i="1"/>
  <c r="P125" i="1"/>
  <c r="P121" i="1"/>
  <c r="P116" i="1"/>
  <c r="P109" i="1"/>
  <c r="P112" i="1"/>
  <c r="P106" i="1"/>
  <c r="P102" i="1"/>
  <c r="P118" i="1"/>
  <c r="P133" i="1"/>
  <c r="P137" i="1"/>
  <c r="P115" i="1"/>
  <c r="P113" i="1"/>
  <c r="P111" i="1"/>
  <c r="P107" i="1"/>
  <c r="P105" i="1"/>
  <c r="P120" i="1"/>
  <c r="P122" i="1"/>
  <c r="P119" i="1"/>
  <c r="P117" i="1"/>
  <c r="P138" i="1"/>
  <c r="P126" i="1"/>
  <c r="P104" i="1"/>
  <c r="P110" i="1"/>
  <c r="P108" i="1"/>
  <c r="P103" i="1"/>
  <c r="P131" i="1"/>
  <c r="D128" i="1" l="1"/>
  <c r="E128" i="1"/>
  <c r="F128" i="1"/>
  <c r="G128" i="1"/>
  <c r="D138" i="1"/>
  <c r="E138" i="1"/>
  <c r="F138" i="1"/>
  <c r="G138" i="1"/>
  <c r="D131" i="1"/>
  <c r="G131" i="1"/>
  <c r="E131" i="1"/>
  <c r="F131" i="1"/>
  <c r="G125" i="1"/>
  <c r="D125" i="1"/>
  <c r="E125" i="1"/>
  <c r="F125" i="1"/>
  <c r="D136" i="1"/>
  <c r="E136" i="1"/>
  <c r="F136" i="1"/>
  <c r="G136" i="1"/>
  <c r="D112" i="1"/>
  <c r="E112" i="1"/>
  <c r="F112" i="1"/>
  <c r="G112" i="1"/>
  <c r="D135" i="1"/>
  <c r="E135" i="1"/>
  <c r="F135" i="1"/>
  <c r="G135" i="1"/>
  <c r="D104" i="1"/>
  <c r="E104" i="1"/>
  <c r="F104" i="1"/>
  <c r="G104" i="1"/>
  <c r="D105" i="1"/>
  <c r="G105" i="1"/>
  <c r="E105" i="1"/>
  <c r="F105" i="1"/>
  <c r="D108" i="1"/>
  <c r="E108" i="1"/>
  <c r="F108" i="1"/>
  <c r="G108" i="1"/>
  <c r="G129" i="1"/>
  <c r="D129" i="1"/>
  <c r="E129" i="1"/>
  <c r="F129" i="1"/>
  <c r="D139" i="1"/>
  <c r="E139" i="1"/>
  <c r="G139" i="1"/>
  <c r="F139" i="1"/>
  <c r="G123" i="1"/>
  <c r="D123" i="1"/>
  <c r="E123" i="1"/>
  <c r="F123" i="1"/>
  <c r="G141" i="1"/>
  <c r="D141" i="1"/>
  <c r="E141" i="1"/>
  <c r="F141" i="1"/>
  <c r="G133" i="1"/>
  <c r="D133" i="1"/>
  <c r="E133" i="1"/>
  <c r="F133" i="1"/>
  <c r="G127" i="1"/>
  <c r="D127" i="1"/>
  <c r="E127" i="1"/>
  <c r="F127" i="1"/>
  <c r="G115" i="1"/>
  <c r="D115" i="1"/>
  <c r="E115" i="1"/>
  <c r="F115" i="1"/>
  <c r="D107" i="1"/>
  <c r="E107" i="1"/>
  <c r="G107" i="1"/>
  <c r="F107" i="1"/>
  <c r="G137" i="1"/>
  <c r="D137" i="1"/>
  <c r="E137" i="1"/>
  <c r="F137" i="1"/>
  <c r="D103" i="1"/>
  <c r="E103" i="1"/>
  <c r="F103" i="1"/>
  <c r="G103" i="1"/>
  <c r="D116" i="1"/>
  <c r="E116" i="1"/>
  <c r="F116" i="1"/>
  <c r="G116" i="1"/>
  <c r="D121" i="1"/>
  <c r="G121" i="1"/>
  <c r="E121" i="1"/>
  <c r="F121" i="1"/>
  <c r="D110" i="1"/>
  <c r="E110" i="1"/>
  <c r="F110" i="1"/>
  <c r="G110" i="1"/>
  <c r="D124" i="1"/>
  <c r="E124" i="1"/>
  <c r="F124" i="1"/>
  <c r="G124" i="1"/>
  <c r="D117" i="1"/>
  <c r="E117" i="1"/>
  <c r="G117" i="1"/>
  <c r="F117" i="1"/>
  <c r="D120" i="1"/>
  <c r="E120" i="1"/>
  <c r="F120" i="1"/>
  <c r="G120" i="1"/>
  <c r="D113" i="1"/>
  <c r="G113" i="1"/>
  <c r="E113" i="1"/>
  <c r="F113" i="1"/>
  <c r="D114" i="1"/>
  <c r="E114" i="1"/>
  <c r="F114" i="1"/>
  <c r="G114" i="1"/>
  <c r="G109" i="1"/>
  <c r="D109" i="1"/>
  <c r="E109" i="1"/>
  <c r="F109" i="1"/>
  <c r="D118" i="1"/>
  <c r="E118" i="1"/>
  <c r="F118" i="1"/>
  <c r="G118" i="1"/>
  <c r="D132" i="1"/>
  <c r="E132" i="1"/>
  <c r="F132" i="1"/>
  <c r="G132" i="1"/>
  <c r="D126" i="1"/>
  <c r="E126" i="1"/>
  <c r="F126" i="1"/>
  <c r="G126" i="1"/>
  <c r="D111" i="1"/>
  <c r="E111" i="1"/>
  <c r="F111" i="1"/>
  <c r="G111" i="1"/>
  <c r="D122" i="1"/>
  <c r="E122" i="1"/>
  <c r="F122" i="1"/>
  <c r="G122" i="1"/>
  <c r="D140" i="1"/>
  <c r="E140" i="1"/>
  <c r="F140" i="1"/>
  <c r="G140" i="1"/>
  <c r="D134" i="1"/>
  <c r="E134" i="1"/>
  <c r="F134" i="1"/>
  <c r="G134" i="1"/>
  <c r="D119" i="1"/>
  <c r="E119" i="1"/>
  <c r="F119" i="1"/>
  <c r="G119" i="1"/>
  <c r="D130" i="1"/>
  <c r="E130" i="1"/>
  <c r="F130" i="1"/>
  <c r="G130" i="1"/>
  <c r="F102" i="1"/>
  <c r="E102" i="1"/>
  <c r="D102" i="1"/>
  <c r="A106" i="1"/>
  <c r="H127" i="1" l="1"/>
  <c r="H141" i="1"/>
  <c r="H125" i="1"/>
  <c r="H124" i="1"/>
  <c r="H130" i="1"/>
  <c r="H126" i="1"/>
  <c r="H114" i="1"/>
  <c r="H122" i="1"/>
  <c r="H113" i="1"/>
  <c r="H105" i="1"/>
  <c r="H131" i="1"/>
  <c r="H134" i="1"/>
  <c r="H118" i="1"/>
  <c r="H120" i="1"/>
  <c r="H103" i="1"/>
  <c r="H108" i="1"/>
  <c r="H104" i="1"/>
  <c r="H112" i="1"/>
  <c r="H138" i="1"/>
  <c r="H109" i="1"/>
  <c r="H137" i="1"/>
  <c r="H115" i="1"/>
  <c r="H133" i="1"/>
  <c r="H123" i="1"/>
  <c r="H129" i="1"/>
  <c r="I132" i="1"/>
  <c r="K132" i="1"/>
  <c r="K110" i="1"/>
  <c r="I110" i="1"/>
  <c r="K116" i="1"/>
  <c r="I116" i="1"/>
  <c r="K135" i="1"/>
  <c r="I135" i="1"/>
  <c r="K136" i="1"/>
  <c r="I136" i="1"/>
  <c r="K128" i="1"/>
  <c r="I128" i="1"/>
  <c r="I140" i="1"/>
  <c r="K140" i="1"/>
  <c r="K109" i="1"/>
  <c r="I109" i="1"/>
  <c r="K113" i="1"/>
  <c r="I113" i="1"/>
  <c r="K137" i="1"/>
  <c r="I137" i="1"/>
  <c r="I115" i="1"/>
  <c r="K115" i="1"/>
  <c r="K133" i="1"/>
  <c r="I133" i="1"/>
  <c r="I123" i="1"/>
  <c r="K123" i="1"/>
  <c r="I129" i="1"/>
  <c r="K129" i="1"/>
  <c r="I105" i="1"/>
  <c r="K105" i="1"/>
  <c r="I131" i="1"/>
  <c r="K131" i="1"/>
  <c r="H117" i="1"/>
  <c r="I119" i="1"/>
  <c r="K119" i="1"/>
  <c r="I117" i="1"/>
  <c r="K117" i="1"/>
  <c r="H140" i="1"/>
  <c r="H111" i="1"/>
  <c r="H132" i="1"/>
  <c r="H110" i="1"/>
  <c r="H116" i="1"/>
  <c r="H135" i="1"/>
  <c r="H136" i="1"/>
  <c r="H128" i="1"/>
  <c r="K130" i="1"/>
  <c r="I130" i="1"/>
  <c r="I134" i="1"/>
  <c r="K134" i="1"/>
  <c r="K122" i="1"/>
  <c r="I122" i="1"/>
  <c r="I126" i="1"/>
  <c r="K126" i="1"/>
  <c r="I118" i="1"/>
  <c r="K118" i="1"/>
  <c r="I114" i="1"/>
  <c r="K114" i="1"/>
  <c r="K120" i="1"/>
  <c r="I120" i="1"/>
  <c r="K124" i="1"/>
  <c r="I124" i="1"/>
  <c r="K103" i="1"/>
  <c r="I103" i="1"/>
  <c r="I107" i="1"/>
  <c r="K107" i="1"/>
  <c r="I139" i="1"/>
  <c r="K139" i="1"/>
  <c r="I108" i="1"/>
  <c r="K108" i="1"/>
  <c r="K104" i="1"/>
  <c r="I104" i="1"/>
  <c r="I112" i="1"/>
  <c r="K112" i="1"/>
  <c r="K138" i="1"/>
  <c r="I138" i="1"/>
  <c r="H119" i="1"/>
  <c r="H121" i="1"/>
  <c r="K111" i="1"/>
  <c r="I111" i="1"/>
  <c r="D106" i="1"/>
  <c r="E106" i="1"/>
  <c r="F106" i="1"/>
  <c r="G106" i="1"/>
  <c r="K121" i="1"/>
  <c r="I121" i="1"/>
  <c r="K127" i="1"/>
  <c r="I127" i="1"/>
  <c r="K141" i="1"/>
  <c r="I141" i="1"/>
  <c r="K125" i="1"/>
  <c r="I125" i="1"/>
  <c r="H107" i="1"/>
  <c r="H139" i="1"/>
  <c r="H102" i="1"/>
  <c r="I102" i="1"/>
  <c r="K102" i="1"/>
  <c r="G19" i="4"/>
  <c r="G18" i="4"/>
  <c r="G17" i="4"/>
  <c r="F19" i="4"/>
  <c r="F18" i="4"/>
  <c r="F17" i="4"/>
  <c r="G16" i="4"/>
  <c r="F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K106" i="1" l="1"/>
  <c r="I106" i="1"/>
  <c r="H106" i="1"/>
</calcChain>
</file>

<file path=xl/connections.xml><?xml version="1.0" encoding="utf-8"?>
<connections xmlns="http://schemas.openxmlformats.org/spreadsheetml/2006/main">
  <connection id="1" name="Query from Augusto-Alpari" type="1" refreshedVersion="3" background="1" saveData="1">
    <dbPr connection="DBQ=T:\MT4-AUGUSTO\MQL4\FILES;DefaultDir=T:\MT4-AUGUSTO\MQL4\FILES;Driver={Microsoft Text Driver (*.txt; *.csv)};DriverId=27;FIL=text;MaxBufferSize=2048;MaxScanRows=8;PageTimeout=5;SafeTransactions=0;Threads=3;UserCommitSync=Yes;" command="SELECT NEW_GBPNZD.Symbol, NEW_GBPNZD.chMin, NEW_GBPNZD.chMax, NEW_GBPNZD.chAvg, NEW_GBPNZD.Bid_x000d__x000a_FROM NEW_GBPNZD.csv NEW_GBPNZD"/>
  </connection>
  <connection id="2" name="Query from Augusto-Alpari1" type="1" refreshedVersion="3" background="1" saveData="1">
    <dbPr connection="DBQ=T:\MT4-AUGUSTO\MQL4\FILES;DefaultDir=T:\MT4-AUGUSTO\MQL4\FILES;Driver={Microsoft Text Driver (*.txt; *.csv)};DriverId=27;FIL=text;MaxBufferSize=2048;MaxScanRows=8;PageTimeout=5;SafeTransactions=0;Threads=3;UserCommitSync=Yes;" command="SELECT NEW_AUDUSD.Symbol, NEW_AUDUSD.chMin, NEW_AUDUSD.chMax, NEW_AUDUSD.chAvg, NEW_AUDUSD.Bid_x000d__x000a_FROM NEW_AUDUSD.csv NEW_AUDUSD"/>
  </connection>
  <connection id="3" name="Query from Augusto-Alpari2" type="1" refreshedVersion="3" background="1" saveData="1">
    <dbPr connection="DBQ=T:\MT4-AUGUSTO\MQL4\FILES;DefaultDir=T:\MT4-AUGUSTO\MQL4\FILES;Driver={Microsoft Text Driver (*.txt; *.csv)};DriverId=27;FIL=text;MaxBufferSize=2048;MaxScanRows=8;PageTimeout=5;SafeTransactions=0;Threads=3;UserCommitSync=Yes;" command="SELECT NEW_USDJPY.Symbol, NEW_USDJPY.chMin, NEW_USDJPY.chMax, NEW_USDJPY.chAvg, NEW_USDJPY.Bid_x000d__x000a_FROM NEW_USDJPY.csv NEW_USDJPY"/>
  </connection>
  <connection id="4" name="Query from Augusto-Alpari3" type="1" refreshedVersion="3" background="1" saveData="1">
    <dbPr connection="DBQ=T:\MT4-AUGUSTO\MQL4\FILES;DefaultDir=T:\MT4-AUGUSTO\MQL4\FILES;Driver={Microsoft Text Driver (*.txt; *.csv)};DriverId=27;FIL=text;MaxBufferSize=2048;MaxScanRows=8;PageTimeout=5;SafeTransactions=0;Threads=3;UserCommitSync=Yes;" command="SELECT NEW_EURGBP.Symbol, NEW_EURGBP.chMin, NEW_EURGBP.chMax, NEW_EURGBP.chAvg, NEW_EURGBP.Bid_x000d__x000a_FROM NEW_EURGBP.csv NEW_EURGBP"/>
  </connection>
  <connection id="5" name="Query from FXCM-Tiziana" type="1" refreshedVersion="3" background="1" saveData="1">
    <dbPr connection="DBQ=T:\MT4-TIZIANA\MQL4\FILES;DefaultDir=T:\MT4-TIZIANA\MQL4\FILES;Driver={Microsoft Access Text Driver (*.txt, *.csv)};DriverId=27;Extensions=txt,csv,tab,asc;FIL=text;MaxBufferSize=2048;MaxScanRows=25;PageTimeout=5;SafeTransactions=0;Threads=3;UserCommitSync=Yes;" command="SELECT NEW_AUDJPY.Symbol, NEW_AUDJPY.chMin, NEW_AUDJPY.chMax, NEW_AUDJPY.chAvg, NEW_AUDJPY.Bid_x000d__x000a_FROM NEW_AUDJPY.csv NEW_AUDJPY"/>
  </connection>
  <connection id="6" name="Query from FXCM-Tiziana1" type="1" refreshedVersion="3" background="1" saveData="1">
    <dbPr connection="DBQ=T:\MT4-TIZIANA\MQL4\FILES;DefaultDir=T:\MT4-TIZIANA\MQL4\FILES;Driver={Microsoft Access Text Driver (*.txt, *.csv)};DriverId=27;Extensions=txt,csv,tab,asc;FIL=text;MaxBufferSize=2048;MaxScanRows=25;PageTimeout=5;SafeTransactions=0;Threads=3;UserCommitSync=Yes;" command="SELECT NEW_EURGBP.Symbol, NEW_EURGBP.chMin, NEW_EURGBP.chMax, NEW_EURGBP.chAvg, NEW_EURGBP.Bid_x000d__x000a_FROM NEW_EURGBP.csv NEW_EURGBP"/>
  </connection>
  <connection id="7" name="Query from FXCM-Tiziana2" type="1" refreshedVersion="3" background="1" saveData="1">
    <dbPr connection="DBQ=T:\MT4-TIZIANA\MQL4\FILES;DefaultDir=T:\MT4-TIZIANA\MQL4\FILES;Driver={Microsoft Access Text Driver (*.txt, *.csv)};DriverId=27;Extensions=txt,csv,tab,asc;FIL=text;MaxBufferSize=2048;MaxScanRows=25;PageTimeout=5;SafeTransactions=0;Threads=3;UserCommitSync=Yes;" command="SELECT NEW_NZDUSD.Symbol, NEW_NZDUSD.chMin, NEW_NZDUSD.chMax, NEW_NZDUSD.chAvg, NEW_NZDUSD.Bid_x000d__x000a_FROM NEW_NZDUSD.csv NEW_NZDUSD"/>
  </connection>
  <connection id="8" name="Query from FXCM-Tiziana3" type="1" refreshedVersion="3" background="1" saveData="1">
    <dbPr connection="DBQ=T:\MT4-TIZIANA\MQL4\FILES;DefaultDir=T:\MT4-TIZIANA\MQL4\FILES;Driver={Microsoft Access Text Driver (*.txt, *.csv)};DriverId=27;Extensions=txt,csv,tab,asc;FIL=text;MaxBufferSize=2048;MaxScanRows=25;PageTimeout=5;SafeTransactions=0;Threads=3;UserCommitSync=Yes;" command="SELECT NEW_USDCHF.Symbol, NEW_USDCHF.chMin, NEW_USDCHF.chMax, NEW_USDCHF.chAvg, NEW_USDCHF.Bid_x000d__x000a_FROM NEW_USDCHF.csv NEW_USDCHF"/>
  </connection>
  <connection id="9" name="Query from Giacomo2-lpari" type="1" refreshedVersion="3" background="1" saveData="1">
    <dbPr connection="DBQ=T:\MT4-GC2\MQL4\FILES;DefaultDir=T:\MT4-GC2\MQL4\FILES;Driver={Microsoft Text Driver (*.txt; *.csv)};DriverId=27;FIL=text;MaxBufferSize=2048;MaxScanRows=8;PageTimeout=5;SafeTransactions=0;Threads=3;UserCommitSync=Yes;" command="SELECT NEW_EURAUD.Symbol, NEW_EURAUD.chMin, NEW_EURAUD.chMax, NEW_EURAUD.chAvg, NEW_EURAUD.Bid_x000d__x000a_FROM NEW_EURAUD.csv NEW_EURAUD"/>
  </connection>
  <connection id="10" name="Query from Giacomo2-lpari1" type="1" refreshedVersion="3" background="1" saveData="1">
    <dbPr connection="DBQ=T:\MT4-GC2\MQL4\FILES;DefaultDir=T:\MT4-GC2\MQL4\FILES;Driver={Microsoft Text Driver (*.txt; *.csv)};DriverId=27;FIL=text;MaxBufferSize=2048;MaxScanRows=8;PageTimeout=5;SafeTransactions=0;Threads=3;UserCommitSync=Yes;" command="SELECT NEW_GBPNZD.Symbol, NEW_GBPNZD.chMin, NEW_GBPNZD.chMax, NEW_GBPNZD.chAvg, NEW_GBPNZD.Bid_x000d__x000a_FROM NEW_GBPNZD.csv NEW_GBPNZD"/>
  </connection>
  <connection id="11" name="Query from Giacomo2-lpari2" type="1" refreshedVersion="3" background="1" saveData="1">
    <dbPr connection="DBQ=T:\MT4-GC2\MQL4\FILES;DefaultDir=T:\MT4-GC2\MQL4\FILES;Driver={Microsoft Text Driver (*.txt; *.csv)};DriverId=27;FIL=text;MaxBufferSize=2048;MaxScanRows=8;PageTimeout=5;SafeTransactions=0;Threads=3;UserCommitSync=Yes;" command="SELECT NEW_USDJPY.Symbol, NEW_USDJPY.chMin, NEW_USDJPY.chMax, NEW_USDJPY.chAvg, NEW_USDJPY.Bid_x000d__x000a_FROM NEW_USDJPY.csv NEW_USDJPY"/>
  </connection>
  <connection id="12" name="Query from Giacomo2-lpari3" type="1" refreshedVersion="3" background="1" saveData="1">
    <dbPr connection="DBQ=T:\MT4-GC2\MQL4\FILES;DefaultDir=T:\MT4-GC2\MQL4\FILES;Driver={Microsoft Text Driver (*.txt; *.csv)};DriverId=27;FIL=text;MaxBufferSize=2048;MaxScanRows=8;PageTimeout=5;SafeTransactions=0;Threads=3;UserCommitSync=Yes;" command="SELECT NEW_XAUUSD.Symbol, NEW_XAUUSD.chMin, NEW_XAUUSD.chMax, NEW_XAUUSD.chAvg, NEW_XAUUSD.Bid_x000d__x000a_FROM NEW_XAUUSD.csv NEW_XAUUSD"/>
  </connection>
  <connection id="13" name="Query from Giacomo-Alpari" type="1" refreshedVersion="3" background="1" saveData="1">
    <dbPr connection="DBQ=T:\METATRADER - ALPARI UK\MQL4\FILES;DefaultDir=T:\METATRADER - ALPARI UK\MQL4\FILES;Driver={Microsoft Text Driver (*.txt; *.csv)};DriverId=27;FIL=text;MaxBufferSize=2048;MaxScanRows=8;PageTimeout=5;SafeTransactions=0;Threads=3;UID=admin;UserCommitSync=Yes;" command="SELECT NEW_GBPNZD.Symbol, NEW_GBPNZD.chMin, NEW_GBPNZD.chMax, NEW_GBPNZD.chAvg, NEW_GBPNZD.Bid_x000d__x000a_FROM NEW_GBPNZD.csv NEW_GBPNZD"/>
  </connection>
  <connection id="14" name="Query from Giacomo-Alpari1" type="1" refreshedVersion="3" background="1" saveData="1">
    <dbPr connection="DBQ=T:\METATRADER - ALPARI UK\MQL4\FILES;DefaultDir=T:\METATRADER - ALPARI UK\MQL4\FILES;Driver={Microsoft Text Driver (*.txt; *.csv)};DriverId=27;FIL=text;MaxBufferSize=2048;MaxScanRows=8;PageTimeout=5;SafeTransactions=0;Threads=3;UserCommitSync=Yes;" command="SELECT NEW_USDCHF.Symbol, NEW_USDCHF.chMin, NEW_USDCHF.chMax, NEW_USDCHF.chAvg, NEW_USDCHF.Bid_x000d__x000a_FROM NEW_USDCHF.csv NEW_USDCHF"/>
  </connection>
  <connection id="15" name="Query from IA-Alpari" type="1" refreshedVersion="3" background="1" saveData="1">
    <dbPr connection="DBQ=T:\METATRADER-IA\MQL4\FILES;DefaultDir=T:\METATRADER-IA\MQL4\FILES;Driver={Microsoft Text Driver (*.txt; *.csv)};DriverId=27;FIL=text;MaxBufferSize=2048;MaxScanRows=8;PageTimeout=5;SafeTransactions=0;Threads=3;UID=admin;UserCommitSync=Yes;" command="SELECT NEW_CADJPY.Symbol, NEW_CADJPY.chMin, NEW_CADJPY.chMax, NEW_CADJPY.chAvg, NEW_CADJPY.Bid_x000d__x000a_FROM NEW_CADJPY.csv NEW_CADJPY"/>
  </connection>
  <connection id="16" name="Query from IA-Alpari1" type="1" refreshedVersion="3" background="1" saveData="1">
    <dbPr connection="DBQ=T:\METATRADER-IA\MQL4\FILES;DefaultDir=T:\METATRADER-IA\MQL4\FILES;Driver={Microsoft Text Driver (*.txt; *.csv)};DriverId=27;FIL=text;MaxBufferSize=2048;MaxScanRows=8;PageTimeout=5;SafeTransactions=0;Threads=3;UserCommitSync=Yes;" command="SELECT NEW_EURUSD.Symbol, NEW_EURUSD.chMin, NEW_EURUSD.chMax, NEW_EURUSD.chAvg, NEW_EURUSD.Bid_x000d__x000a_FROM NEW_EURUSD.csv NEW_EURUSD"/>
  </connection>
  <connection id="17" name="Query from IA-Alpari2" type="1" refreshedVersion="3" background="1" saveData="1">
    <dbPr connection="DBQ=T:\METATRADER-IA\MQL4\FILES;DefaultDir=T:\METATRADER-IA\MQL4\FILES;Driver={Microsoft Text Driver (*.txt; *.csv)};DriverId=27;FIL=text;MaxBufferSize=2048;MaxScanRows=8;PageTimeout=5;SafeTransactions=0;Threads=3;UserCommitSync=Yes;" command="SELECT NEW_GBPNZD.Symbol, NEW_GBPNZD.chMin, NEW_GBPNZD.chMax, NEW_GBPNZD.chAvg, NEW_GBPNZD.Bid_x000d__x000a_FROM NEW_GBPNZD.csv NEW_GBPNZD"/>
  </connection>
  <connection id="18" name="Query from IA-XM" type="1" refreshedVersion="3" background="1" saveData="1">
    <dbPr connection="DBQ=T:\XM MT4-IA\MQL4\FILES;DefaultDir=T:\XM MT4-IA\MQL4\FILES;Driver={Microsoft Text Driver (*.txt; *.csv)};DriverId=27;FIL=text;MaxBufferSize=2048;MaxScanRows=8;PageTimeout=5;SafeTransactions=0;Threads=3;UserCommitSync=Yes;" command="SELECT NEW_EURAUD.Symbol, NEW_EURAUD.chMin, NEW_EURAUD.chMax, NEW_EURAUD.chAvg, NEW_EURAUD.Bid_x000d__x000a_FROM NEW_EURAUD.csv NEW_EURAUD"/>
  </connection>
  <connection id="19" name="Query from IA-XM1" type="1" refreshedVersion="3" background="1" saveData="1">
    <dbPr connection="DBQ=T:\XM MT4-IA\MQL4\FILES;DefaultDir=T:\XM MT4-IA\MQL4\FILES;Driver={Microsoft Text Driver (*.txt; *.csv)};DriverId=27;FIL=text;MaxBufferSize=2048;MaxScanRows=8;PageTimeout=5;SafeTransactions=0;Threads=3;UserCommitSync=Yes;" command="SELECT NEW_GBPNZD.Symbol, NEW_GBPNZD.chMin, NEW_GBPNZD.chMax, NEW_GBPNZD.chAvg, NEW_GBPNZD.Bid_x000d__x000a_FROM NEW_GBPNZD.csv NEW_GBPNZD"/>
  </connection>
  <connection id="20" name="Query from IA-XM2" type="1" refreshedVersion="3" background="1" saveData="1">
    <dbPr connection="DBQ=T:\XM MT4-IA\MQL4\FILES;DefaultDir=T:\XM MT4-IA\MQL4\FILES;Driver={Microsoft Text Driver (*.txt; *.csv)};DriverId=27;FIL=text;MaxBufferSize=2048;MaxScanRows=8;PageTimeout=5;SafeTransactions=0;Threads=3;UserCommitSync=Yes;" command="SELECT NEW_GOLD.Symbol, NEW_GOLD.chMin, NEW_GOLD.chMax, NEW_GOLD.chAvg, NEW_GOLD.Bid_x000d__x000a_FROM NEW_GOLD.csv NEW_GOLD"/>
  </connection>
  <connection id="21" name="Query from IA-XM3" type="1" refreshedVersion="3" background="1" saveData="1">
    <dbPr connection="DBQ=T:\XM MT4-IA\MQL4\FILES;DefaultDir=T:\XM MT4-IA\MQL4\FILES;Driver={Microsoft Text Driver (*.txt; *.csv)};DriverId=27;FIL=text;MaxBufferSize=2048;MaxScanRows=8;PageTimeout=5;SafeTransactions=0;Threads=3;UserCommitSync=Yes;" command="SELECT NEW_USDJPY.Symbol, NEW_USDJPY.chMin, NEW_USDJPY.chMax, NEW_USDJPY.chAvg, NEW_USDJPY.Bid_x000d__x000a_FROM NEW_USDJPY.csv NEW_USDJPY"/>
  </connection>
  <connection id="22" name="Query from IN-Alpari" type="1" refreshedVersion="3" background="1" saveData="1">
    <dbPr connection="DBQ=T:\MT4-IN\MQL4\FILES;DefaultDir=T:\MT4-IN\MQL4\FILES;Driver={Microsoft Text Driver (*.txt; *.csv)};DriverId=27;FIL=text;MaxBufferSize=2048;MaxScanRows=8;PageTimeout=5;SafeTransactions=0;Threads=3;UserCommitSync=Yes;" command="SELECT NEW_AUDJPY.Symbol, NEW_AUDJPY.chMin, NEW_AUDJPY.chMax, NEW_AUDJPY.chAvg, NEW_AUDJPY.Bid_x000d__x000a_FROM NEW_AUDJPY.csv NEW_AUDJPY"/>
  </connection>
  <connection id="23" name="Query from IN-Alpari1" type="1" refreshedVersion="3" background="1" saveData="1">
    <dbPr connection="DBQ=T:\MT4-IN\MQL4\FILES;DefaultDir=T:\MT4-IN\MQL4\FILES;Driver={Microsoft Text Driver (*.txt; *.csv)};DriverId=27;FIL=text;MaxBufferSize=2048;MaxScanRows=8;PageTimeout=5;SafeTransactions=0;Threads=3;UserCommitSync=Yes;" command="SELECT NEW_EURUSD.Symbol, NEW_EURUSD.chMin, NEW_EURUSD.chMax, NEW_EURUSD.chAvg, NEW_EURUSD.Bid_x000d__x000a_FROM NEW_EURUSD.csv NEW_EURUSD"/>
  </connection>
  <connection id="24" name="Query from IN-Alpari2" type="1" refreshedVersion="3" background="1" saveData="1">
    <dbPr connection="DBQ=T:\MT4-IN\MQL4\FILES;DefaultDir=T:\MT4-IN\MQL4\FILES;Driver={Microsoft Text Driver (*.txt; *.csv)};DriverId=27;FIL=text;MaxBufferSize=2048;MaxScanRows=8;PageTimeout=5;SafeTransactions=0;Threads=3;UserCommitSync=Yes;" command="SELECT NEW_GBPNZD.Symbol, NEW_GBPNZD.chMin, NEW_GBPNZD.chMax, NEW_GBPNZD.chAvg, NEW_GBPNZD.Bid_x000d__x000a_FROM NEW_GBPNZD.csv NEW_GBPNZD"/>
  </connection>
  <connection id="25" name="Query from IN-Alpari3" type="1" refreshedVersion="3" background="1" saveData="1">
    <dbPr connection="DBQ=T:\MT4-IN\MQL4\FILES;DefaultDir=T:\MT4-IN\MQL4\FILES;Driver={Microsoft Text Driver (*.txt; *.csv)};DriverId=27;FIL=text;MaxBufferSize=2048;MaxScanRows=8;PageTimeout=5;SafeTransactions=0;Threads=3;UserCommitSync=Yes;" command="SELECT NEW_USDJPY.Symbol, NEW_USDJPY.chMin, NEW_USDJPY.chMax, NEW_USDJPY.chAvg, NEW_USDJPY.Bid_x000d__x000a_FROM NEW_USDJPY.csv NEW_USDJPY"/>
  </connection>
  <connection id="26" name="Query from Luca-XM" type="1" refreshedVersion="3" background="1" saveData="1">
    <dbPr connection="DBQ=T:\XM MT4\MQL4\FILES;DefaultDir=T:\XM MT4\MQL4\FILES;Driver={Microsoft Access Text Driver (*.txt, *.csv)};DriverId=27;Extensions=txt,csv,tab,asc;FIL=text;MaxBufferSize=2048;MaxScanRows=25;PageTimeout=5;SafeTransactions=0;Threads=3;UserCommitSync=Yes;" command="SELECT NEW_EURGBP.Symbol, NEW_EURGBP.chMin, NEW_EURGBP.chMax, NEW_EURGBP.chAvg, NEW_EURGBP.Bid_x000d__x000a_FROM NEW_EURGBP.csv NEW_EURGBP"/>
  </connection>
  <connection id="27" name="Query from Luca-XM1" type="1" refreshedVersion="3" background="1" saveData="1">
    <dbPr connection="DBQ=T:\XM MT4\MQL4\FILES;DefaultDir=T:\XM MT4\MQL4\FILES;Driver={Microsoft Access Text Driver (*.txt, *.csv)};DriverId=27;Extensions=txt,csv,tab,asc;FIL=text;MaxBufferSize=2048;MaxScanRows=25;PageTimeout=5;SafeTransactions=0;Threads=3;UserCommitSync=Yes;" command="SELECT NEW_USDJPY.Symbol, NEW_USDJPY.chMin, NEW_USDJPY.chMax, NEW_USDJPY.chAvg, NEW_USDJPY.Bid_x000d__x000a_FROM NEW_USDJPY.csv NEW_USDJPY"/>
  </connection>
  <connection id="28" name="Query from Mavi-Alpari" type="1" refreshedVersion="3" background="1" saveData="1">
    <dbPr connection="DBQ=T:\MT4-MAVI\MQL4\FILES;DefaultDir=T:\MT4-MAVI\MQL4\FILES;Driver={Microsoft Text Driver (*.txt; *.csv)};DriverId=27;FIL=text;MaxBufferSize=2048;MaxScanRows=8;PageTimeout=5;SafeTransactions=0;Threads=3;UID=admin;UserCommitSync=Yes;" command="SELECT NEW_AUDJPY.Symbol, NEW_AUDJPY.chMin, NEW_AUDJPY.chMax, NEW_AUDJPY.chAvg, NEW_AUDJPY.Bid_x000d__x000a_FROM NEW_AUDJPY.csv NEW_AUDJPY"/>
  </connection>
  <connection id="29" name="Query from Mavi-Alpari1" type="1" refreshedVersion="3" background="1" saveData="1">
    <dbPr connection="DBQ=T:\MT4-MAVI\MQL4\FILES;DefaultDir=T:\MT4-MAVI\MQL4\FILES;Driver={Microsoft Text Driver (*.txt; *.csv)};DriverId=27;FIL=text;MaxBufferSize=2048;MaxScanRows=8;PageTimeout=5;SafeTransactions=0;Threads=3;UserCommitSync=Yes;" command="SELECT NEW_EURUSD.Symbol, NEW_EURUSD.chMin, NEW_EURUSD.chMax, NEW_EURUSD.chAvg, NEW_EURUSD.Bid_x000d__x000a_FROM NEW_EURUSD.csv NEW_EURUSD"/>
  </connection>
  <connection id="30" name="Query from Mavi-Alpari2" type="1" refreshedVersion="3" background="1" saveData="1">
    <dbPr connection="DBQ=T:\MT4-MAVI\MQL4\FILES;DefaultDir=T:\MT4-MAVI\MQL4\FILES;Driver={Microsoft Text Driver (*.txt; *.csv)};DriverId=27;FIL=text;MaxBufferSize=2048;MaxScanRows=8;PageTimeout=5;SafeTransactions=0;Threads=3;UserCommitSync=Yes;" command="SELECT NEW_NZDUSD.Symbol, NEW_NZDUSD.chMin, NEW_NZDUSD.chMax, NEW_NZDUSD.chAvg, NEW_NZDUSD.Bid_x000d__x000a_FROM NEW_NZDUSD.csv NEW_NZDUSD"/>
  </connection>
  <connection id="31" name="Query from Roberto-Alpari" type="1" refreshedVersion="3" background="1" saveData="1">
    <dbPr connection="DBQ=T:\MT4-ROBERTO\MQL4\FILES;DefaultDir=T:\MT4-ROBERTO\MQL4\FILES;Driver={Microsoft Text Driver (*.txt; *.csv)};DriverId=27;FIL=text;MaxBufferSize=2048;MaxScanRows=8;PageTimeout=5;SafeTransactions=0;Threads=3;UserCommitSync=Yes;" command="SELECT NEW_AUDUSD.Symbol, NEW_AUDUSD.chMin, NEW_AUDUSD.chMax, NEW_AUDUSD.chAvg, NEW_AUDUSD.Bid_x000d__x000a_FROM NEW_AUDUSD.csv NEW_AUDUSD"/>
  </connection>
  <connection id="32" name="Query from Roberto-Alpari1" type="1" refreshedVersion="3" background="1" saveData="1">
    <dbPr connection="DBQ=T:\MT4-ROBERTO\MQL4\FILES;DefaultDir=T:\MT4-ROBERTO\MQL4\FILES;Driver={Microsoft Text Driver (*.txt; *.csv)};DriverId=27;FIL=text;MaxBufferSize=2048;MaxScanRows=8;PageTimeout=5;SafeTransactions=0;Threads=3;UserCommitSync=Yes;" command="SELECT NEW_CADJPY.Symbol, NEW_CADJPY.chMin, NEW_CADJPY.chMax, NEW_CADJPY.chAvg, NEW_CADJPY.Bid_x000d__x000a_FROM NEW_CADJPY.csv NEW_CADJPY"/>
  </connection>
  <connection id="33" name="Query from Roberto-Alpari2" type="1" refreshedVersion="3" background="1" saveData="1">
    <dbPr connection="DBQ=T:\MT4-ROBERTO\MQL4\FILES;DefaultDir=T:\MT4-ROBERTO\MQL4\FILES;Driver={Microsoft Text Driver (*.txt; *.csv)};DriverId=27;FIL=text;MaxBufferSize=2048;MaxScanRows=8;PageTimeout=5;SafeTransactions=0;Threads=3;UserCommitSync=Yes;" command="SELECT NEW_EURGBP.Symbol, NEW_EURGBP.chMin, NEW_EURGBP.chMax, NEW_EURGBP.chAvg, NEW_EURGBP.Bid_x000d__x000a_FROM NEW_EURGBP.csv NEW_EURGBP"/>
  </connection>
  <connection id="34" name="Query from Sara-Alpari" type="1" refreshedVersion="3" background="1" saveData="1">
    <dbPr connection="DBQ=T:\MT4-SARA\MQL4\FILES;DefaultDir=T:\MT4-SARA\MQL4\FILES;Driver={Microsoft Text Driver (*.txt; *.csv)};DriverId=27;FIL=text;MaxBufferSize=2048;MaxScanRows=8;PageTimeout=5;SafeTransactions=0;Threads=3;UserCommitSync=Yes;" command="SELECT NEW_AUDJPY.Symbol, NEW_AUDJPY.chMin, NEW_AUDJPY.chMax, NEW_AUDJPY.chAvg, NEW_AUDJPY.Bid_x000d__x000a_FROM NEW_AUDJPY.csv NEW_AUDJPY"/>
  </connection>
  <connection id="35" name="Query from Sara-Alpari1" type="1" refreshedVersion="3" background="1" saveData="1">
    <dbPr connection="DBQ=T:\MT4-SARA\MQL4\FILES;DefaultDir=T:\MT4-SARA\MQL4\FILES;Driver={Microsoft Text Driver (*.txt; *.csv)};DriverId=27;FIL=text;MaxBufferSize=2048;MaxScanRows=8;PageTimeout=5;SafeTransactions=0;Threads=3;UserCommitSync=Yes;" command="SELECT NEW_GBPNZD.Symbol, NEW_GBPNZD.chMin, NEW_GBPNZD.chMax, NEW_GBPNZD.chAvg, NEW_GBPNZD.Bid_x000d__x000a_FROM NEW_GBPNZD.csv NEW_GBPNZD"/>
  </connection>
  <connection id="36" name="Query from Sara-Alpari2" type="1" refreshedVersion="3" background="1" saveData="1">
    <dbPr connection="DBQ=T:\MT4-SARA\MQL4\FILES;DefaultDir=T:\MT4-SARA\MQL4\FILES;Driver={Microsoft Text Driver (*.txt; *.csv)};DriverId=27;FIL=text;MaxBufferSize=2048;MaxScanRows=8;PageTimeout=5;SafeTransactions=0;Threads=3;UserCommitSync=Yes;" command="SELECT NEW_USDCHF.Symbol, NEW_USDCHF.chMin, NEW_USDCHF.chMax, NEW_USDCHF.chAvg, NEW_USDCHF.Bid_x000d__x000a_FROM NEW_USDCHF.csv NEW_USDCHF"/>
  </connection>
  <connection id="37" name="Query from Vittorio-Alpari" type="1" refreshedVersion="3" background="1" saveData="1">
    <dbPr connection="DBQ=T:\MT4-VITTORIO\MQL4\FILES;DefaultDir=T:\MT4-VITTORIO\MQL4\FILES;Driver={Microsoft Text Driver (*.txt; *.csv)};DriverId=27;FIL=text;MaxBufferSize=2048;MaxScanRows=8;PageTimeout=5;SafeTransactions=0;Threads=3;UserCommitSync=Yes;" command="SELECT NEW_CADJPY.Symbol, NEW_CADJPY.chMin, NEW_CADJPY.chMax, NEW_CADJPY.chAvg, NEW_CADJPY.Bid_x000d__x000a_FROM NEW_CADJPY.csv NEW_CADJPY"/>
  </connection>
  <connection id="38" name="Query from Vittorio-Alpari1" type="1" refreshedVersion="3" background="1" saveData="1">
    <dbPr connection="DBQ=T:\MT4-VITTORIO\MQL4\FILES;DefaultDir=T:\MT4-VITTORIO\MQL4\FILES;Driver={Microsoft Text Driver (*.txt; *.csv)};DriverId=27;FIL=text;MaxBufferSize=2048;MaxScanRows=8;PageTimeout=5;SafeTransactions=0;Threads=3;UserCommitSync=Yes;" command="SELECT NEW_EURUSD.Symbol, NEW_EURUSD.chMin, NEW_EURUSD.chMax, NEW_EURUSD.chAvg, NEW_EURUSD.Bid_x000d__x000a_FROM NEW_EURUSD.csv NEW_EURUSD"/>
  </connection>
  <connection id="39" name="Query from Vittorio-Alpari2" type="1" refreshedVersion="3" background="1" saveData="1">
    <dbPr connection="DBQ=T:\MT4-VITTORIO\MQL4\FILES;DefaultDir=T:\MT4-VITTORIO\MQL4\FILES;Driver={Microsoft Text Driver (*.txt; *.csv)};DriverId=27;FIL=text;MaxBufferSize=2048;MaxScanRows=8;PageTimeout=5;SafeTransactions=0;Threads=3;UserCommitSync=Yes;" command="SELECT NEW_GBPNZD.Symbol, NEW_GBPNZD.chMin, NEW_GBPNZD.chMax, NEW_GBPNZD.chAvg, NEW_GBPNZD.Bid_x000d__x000a_FROM NEW_GBPNZD.csv NEW_GBPNZD"/>
  </connection>
  <connection id="40" name="Query from Vittorio-Alpari3" type="1" refreshedVersion="3" background="1" saveData="1">
    <dbPr connection="DBQ=T:\MT4-VITTORIO\MQL4\FILES;DefaultDir=T:\MT4-VITTORIO\MQL4\FILES;Driver={Microsoft Text Driver (*.txt; *.csv)};DriverId=27;FIL=text;MaxBufferSize=2048;MaxScanRows=8;PageTimeout=5;SafeTransactions=0;Threads=3;UserCommitSync=Yes;" command="SELECT NEW_USDCHF.Symbol, NEW_USDCHF.chMin, NEW_USDCHF.chMax, NEW_USDCHF.chAvg, NEW_USDCHF.Bid_x000d__x000a_FROM NEW_USDCHF.csv NEW_USDCHF"/>
  </connection>
</connections>
</file>

<file path=xl/sharedStrings.xml><?xml version="1.0" encoding="utf-8"?>
<sst xmlns="http://schemas.openxmlformats.org/spreadsheetml/2006/main" count="141" uniqueCount="72">
  <si>
    <t>P/L</t>
  </si>
  <si>
    <t>Closed Profits</t>
  </si>
  <si>
    <t>Invested Amount</t>
  </si>
  <si>
    <t>Net Profit</t>
  </si>
  <si>
    <t>Net Profit %</t>
  </si>
  <si>
    <t>Symbol</t>
  </si>
  <si>
    <t>PIPsPerStep</t>
  </si>
  <si>
    <t>Cmin</t>
  </si>
  <si>
    <t>Cmax</t>
  </si>
  <si>
    <t>pScale</t>
  </si>
  <si>
    <t>EURUSD</t>
  </si>
  <si>
    <t>NZDUSD</t>
  </si>
  <si>
    <t>USDCAD</t>
  </si>
  <si>
    <t>USDJPY</t>
  </si>
  <si>
    <t>EURJPY</t>
  </si>
  <si>
    <t>GBPNZD</t>
  </si>
  <si>
    <t>NZDCHF</t>
  </si>
  <si>
    <t>EURGBP</t>
  </si>
  <si>
    <t>EURNOK</t>
  </si>
  <si>
    <t>GBPUSD</t>
  </si>
  <si>
    <t>USDCHF</t>
  </si>
  <si>
    <t>AUDJPY</t>
  </si>
  <si>
    <t>GBPCHF</t>
  </si>
  <si>
    <t>CADJPY</t>
  </si>
  <si>
    <t>G-Alpari</t>
  </si>
  <si>
    <t>Current BID</t>
  </si>
  <si>
    <t>Current ASK</t>
  </si>
  <si>
    <t>A-Alpari</t>
  </si>
  <si>
    <t>AUDUSD</t>
  </si>
  <si>
    <t>G-Alpari2</t>
  </si>
  <si>
    <t>EURAUD</t>
  </si>
  <si>
    <t>XAUUSD</t>
  </si>
  <si>
    <t>I-Alpari</t>
  </si>
  <si>
    <t>L-XM</t>
  </si>
  <si>
    <t>I-XM</t>
  </si>
  <si>
    <t>GOLD</t>
  </si>
  <si>
    <t>T-FXCM</t>
  </si>
  <si>
    <t>S-Alpari</t>
  </si>
  <si>
    <t>IN-Alpari</t>
  </si>
  <si>
    <t>V-Alpari</t>
  </si>
  <si>
    <t>R-Alpari</t>
  </si>
  <si>
    <t>M-Alpari</t>
  </si>
  <si>
    <t>Average</t>
  </si>
  <si>
    <t>Max</t>
  </si>
  <si>
    <t>Min</t>
  </si>
  <si>
    <t>Current</t>
  </si>
  <si>
    <t>Position</t>
  </si>
  <si>
    <t>Width</t>
  </si>
  <si>
    <t>Step</t>
  </si>
  <si>
    <t>Trades</t>
  </si>
  <si>
    <t>Account</t>
  </si>
  <si>
    <t>XM MT4-IA</t>
  </si>
  <si>
    <t>XM MT4</t>
  </si>
  <si>
    <t>XeMarkets MT4</t>
  </si>
  <si>
    <t>MT4-Vittorio</t>
  </si>
  <si>
    <t>MT4-Tiziana</t>
  </si>
  <si>
    <t>Mt4-Sara</t>
  </si>
  <si>
    <t>MT4-Roberto</t>
  </si>
  <si>
    <t>MT4-Mavi</t>
  </si>
  <si>
    <t>MT4-Leo</t>
  </si>
  <si>
    <t>MT4-IN</t>
  </si>
  <si>
    <t>MT4-GC2</t>
  </si>
  <si>
    <t>MT4-Augusto</t>
  </si>
  <si>
    <t>MetaTrader-IA</t>
  </si>
  <si>
    <t>MetaTrader - Alpari UK</t>
  </si>
  <si>
    <t>Profiles</t>
  </si>
  <si>
    <t>Templates</t>
  </si>
  <si>
    <t>Indicators</t>
  </si>
  <si>
    <t>Libraries</t>
  </si>
  <si>
    <t>Experts</t>
  </si>
  <si>
    <t>Full Path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</si>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</sst>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€-2]\ #,##0"/>
    <numFmt numFmtId="165" formatCode="0.0000"/>
    <numFmt numFmtId="166" formatCode="0.0%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164" fontId="0" fillId="0" borderId="0"/>
    <xf numFmtId="43" fontId="1" fillId="0" borderId="0" applyFont="0" applyFill="0" applyBorder="0" applyAlignment="0" applyProtection="0"/>
    <xf numFmtId="164" fontId="3" fillId="0" borderId="0"/>
    <xf numFmtId="0" fontId="1" fillId="0" borderId="0"/>
    <xf numFmtId="0" fontId="1" fillId="0" borderId="0"/>
  </cellStyleXfs>
  <cellXfs count="17">
    <xf numFmtId="164" fontId="0" fillId="0" borderId="0" xfId="0"/>
    <xf numFmtId="164" fontId="2" fillId="0" borderId="0" xfId="0" applyFont="1" applyAlignment="1">
      <alignment horizontal="right" wrapText="1"/>
    </xf>
    <xf numFmtId="164" fontId="0" fillId="0" borderId="0" xfId="0" applyAlignment="1">
      <alignment horizontal="right" wrapText="1"/>
    </xf>
    <xf numFmtId="165" fontId="0" fillId="0" borderId="0" xfId="0" applyNumberFormat="1"/>
    <xf numFmtId="166" fontId="0" fillId="0" borderId="0" xfId="1" applyNumberFormat="1" applyFont="1"/>
    <xf numFmtId="1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0" xfId="3" applyFont="1"/>
    <xf numFmtId="167" fontId="0" fillId="0" borderId="0" xfId="0" applyNumberFormat="1"/>
    <xf numFmtId="164" fontId="2" fillId="0" borderId="0" xfId="0" applyFont="1" applyAlignment="1">
      <alignment horizontal="left" wrapText="1"/>
    </xf>
    <xf numFmtId="4" fontId="0" fillId="0" borderId="0" xfId="0" applyNumberFormat="1"/>
    <xf numFmtId="166" fontId="0" fillId="0" borderId="0" xfId="0" applyNumberFormat="1" applyAlignment="1">
      <alignment horizontal="right" wrapText="1"/>
    </xf>
    <xf numFmtId="1" fontId="0" fillId="0" borderId="0" xfId="0" applyNumberFormat="1" applyFill="1"/>
    <xf numFmtId="164" fontId="2" fillId="0" borderId="0" xfId="0" applyFont="1" applyFill="1" applyAlignment="1">
      <alignment horizontal="right" wrapText="1"/>
    </xf>
    <xf numFmtId="164" fontId="0" fillId="0" borderId="0" xfId="0" applyFill="1"/>
    <xf numFmtId="0" fontId="2" fillId="0" borderId="0" xfId="3" applyFont="1"/>
  </cellXfs>
  <cellStyles count="5">
    <cellStyle name="Comma" xfId="1" builtinId="3"/>
    <cellStyle name="Normal" xfId="0" builtinId="0"/>
    <cellStyle name="Normal 2" xfId="2"/>
    <cellStyle name="Normal 3" xfId="3"/>
    <cellStyle name="Normal 4" xfId="4"/>
  </cellStyles>
  <dxfs count="166"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aglion/AppData/Roaming/Microsoft/Excel/ChannelForeca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%20Reports/MyChannel-August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%20Reports/MyChannel-Giacomo.Alpari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%20Reports/MyChannel-Giacomo.Alpar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%20Reports/MyChannel-IA.Alpar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%20Reports/MyChannel-Luc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%20Reports/MyChannel-IA.XM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%20Reports/MyChannel-Tizian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%20Reports/MyChannel-Sar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%20Reports/MyChannel-Ina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%20Reports/MyChannel-Vittorio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%20Reports/MyChannel-Roberto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%20Reports/MyChannel-Mav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ty"/>
      <sheetName val="Rates"/>
      <sheetName val="Channels"/>
      <sheetName val="Cashflow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%"/>
      <sheetName val="Balancing"/>
      <sheetName val="Rates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>
            <v>-1943.59</v>
          </cell>
          <cell r="J2">
            <v>4512.8599999999997</v>
          </cell>
          <cell r="K2">
            <v>28571.428571428572</v>
          </cell>
          <cell r="L2">
            <v>2569.2699999999995</v>
          </cell>
        </row>
        <row r="3">
          <cell r="I3">
            <v>-8202.090000000002</v>
          </cell>
          <cell r="J3">
            <v>10373.730000000005</v>
          </cell>
          <cell r="K3">
            <v>28571.428571428572</v>
          </cell>
          <cell r="L3">
            <v>2171.6400000000031</v>
          </cell>
        </row>
        <row r="4">
          <cell r="I4">
            <v>-4438.5200000000013</v>
          </cell>
          <cell r="J4">
            <v>2734.5499999999984</v>
          </cell>
          <cell r="K4">
            <v>14285.714285714286</v>
          </cell>
          <cell r="L4">
            <v>-1703.970000000003</v>
          </cell>
        </row>
        <row r="5">
          <cell r="I5">
            <v>-3847.63</v>
          </cell>
          <cell r="J5">
            <v>2895.2000000000003</v>
          </cell>
          <cell r="K5">
            <v>28571.428571428572</v>
          </cell>
          <cell r="L5">
            <v>-952.42999999999984</v>
          </cell>
        </row>
      </sheetData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%"/>
      <sheetName val="Balancing"/>
      <sheetName val="Rates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>
            <v>-28210.979999999996</v>
          </cell>
          <cell r="J2">
            <v>10561.050000000016</v>
          </cell>
          <cell r="K2">
            <v>25000</v>
          </cell>
          <cell r="L2">
            <v>-17649.929999999978</v>
          </cell>
        </row>
        <row r="3">
          <cell r="I3">
            <v>-17077.709999999995</v>
          </cell>
          <cell r="J3">
            <v>12849.92</v>
          </cell>
          <cell r="K3">
            <v>25000</v>
          </cell>
          <cell r="L3">
            <v>-4227.7899999999954</v>
          </cell>
        </row>
        <row r="4">
          <cell r="I4">
            <v>-4162.42</v>
          </cell>
          <cell r="J4">
            <v>9054.2400000000034</v>
          </cell>
          <cell r="K4">
            <v>25000</v>
          </cell>
          <cell r="L4">
            <v>4891.8200000000033</v>
          </cell>
        </row>
        <row r="5">
          <cell r="I5">
            <v>-1942.36</v>
          </cell>
          <cell r="J5">
            <v>4009.8000000000006</v>
          </cell>
          <cell r="K5">
            <v>25000</v>
          </cell>
          <cell r="L5">
            <v>2067.4400000000005</v>
          </cell>
        </row>
      </sheetData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 %"/>
      <sheetName val="Balancing"/>
      <sheetName val="Margin"/>
      <sheetName val="Rates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>
            <v>-14657.22</v>
          </cell>
          <cell r="J2">
            <v>31439.599999999969</v>
          </cell>
          <cell r="K2">
            <v>15000</v>
          </cell>
          <cell r="L2">
            <v>20000</v>
          </cell>
        </row>
        <row r="3">
          <cell r="I3">
            <v>-3819.1099999999992</v>
          </cell>
          <cell r="J3">
            <v>10802.859999999981</v>
          </cell>
          <cell r="K3">
            <v>15000</v>
          </cell>
          <cell r="L3">
            <v>20000</v>
          </cell>
        </row>
      </sheetData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 %"/>
      <sheetName val="Balancing"/>
      <sheetName val="Margin"/>
      <sheetName val="Rates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>
            <v>-9640.4499999999989</v>
          </cell>
          <cell r="J2">
            <v>12203.590000000006</v>
          </cell>
          <cell r="K2">
            <v>16666.666666666668</v>
          </cell>
          <cell r="L2">
            <v>2563.1400000000067</v>
          </cell>
        </row>
        <row r="3">
          <cell r="I3">
            <v>-1655.3399999999997</v>
          </cell>
          <cell r="J3">
            <v>3843.8700000000013</v>
          </cell>
          <cell r="K3">
            <v>16666.666666666668</v>
          </cell>
          <cell r="L3">
            <v>2188.5300000000016</v>
          </cell>
        </row>
        <row r="4">
          <cell r="I4">
            <v>-2547.0299999999993</v>
          </cell>
          <cell r="J4">
            <v>6197.4099999999989</v>
          </cell>
          <cell r="K4">
            <v>16666.666666666668</v>
          </cell>
          <cell r="L4">
            <v>3650.3799999999997</v>
          </cell>
        </row>
      </sheetData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 %"/>
      <sheetName val="Balancing"/>
      <sheetName val="Margin"/>
      <sheetName val="Rates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>
            <v>-3427.6399999999994</v>
          </cell>
          <cell r="J2">
            <v>3745.4600000000014</v>
          </cell>
          <cell r="K2">
            <v>15000</v>
          </cell>
          <cell r="L2">
            <v>7500</v>
          </cell>
        </row>
        <row r="3">
          <cell r="I3">
            <v>-3930.8500000000004</v>
          </cell>
          <cell r="J3">
            <v>5949.6099999999979</v>
          </cell>
          <cell r="K3">
            <v>15000</v>
          </cell>
          <cell r="L3">
            <v>7500</v>
          </cell>
        </row>
      </sheetData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%"/>
      <sheetName val="Balancing"/>
      <sheetName val="Rates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>
            <v>-15467.239999999996</v>
          </cell>
          <cell r="J2">
            <v>6436.219999999993</v>
          </cell>
          <cell r="K2">
            <v>28571.428571428572</v>
          </cell>
          <cell r="L2">
            <v>-9031.0200000000041</v>
          </cell>
        </row>
        <row r="3">
          <cell r="I3">
            <v>-9130.010000000002</v>
          </cell>
          <cell r="J3">
            <v>8278.24</v>
          </cell>
          <cell r="K3">
            <v>14285.714285714286</v>
          </cell>
          <cell r="L3">
            <v>-851.77000000000226</v>
          </cell>
        </row>
        <row r="4">
          <cell r="I4">
            <v>-2291.1499999999996</v>
          </cell>
          <cell r="J4">
            <v>5156.5299999999988</v>
          </cell>
          <cell r="K4">
            <v>28571.428571428572</v>
          </cell>
          <cell r="L4">
            <v>2865.3799999999992</v>
          </cell>
        </row>
        <row r="5">
          <cell r="I5">
            <v>-1068.4599999999998</v>
          </cell>
          <cell r="J5">
            <v>2119.7599999999993</v>
          </cell>
          <cell r="K5">
            <v>14285.714285714286</v>
          </cell>
          <cell r="L5">
            <v>1051.2999999999995</v>
          </cell>
        </row>
      </sheetData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 %"/>
      <sheetName val="Balancing"/>
      <sheetName val="Margin"/>
      <sheetName val="Rates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>
            <v>-1219.92</v>
          </cell>
          <cell r="J2">
            <v>1450.0399999999991</v>
          </cell>
          <cell r="K2">
            <v>6250</v>
          </cell>
          <cell r="L2">
            <v>230.11999999999898</v>
          </cell>
        </row>
        <row r="3">
          <cell r="I3">
            <v>-788.52</v>
          </cell>
          <cell r="J3">
            <v>914.26000000000033</v>
          </cell>
          <cell r="K3">
            <v>6250</v>
          </cell>
          <cell r="L3">
            <v>125.74000000000035</v>
          </cell>
        </row>
        <row r="4">
          <cell r="I4">
            <v>-2038.3800000000003</v>
          </cell>
          <cell r="J4">
            <v>2433.2000000000021</v>
          </cell>
          <cell r="K4">
            <v>6250</v>
          </cell>
          <cell r="L4">
            <v>394.82000000000176</v>
          </cell>
        </row>
        <row r="5">
          <cell r="I5">
            <v>-351.87</v>
          </cell>
          <cell r="J5">
            <v>1020.31</v>
          </cell>
          <cell r="K5">
            <v>6250</v>
          </cell>
          <cell r="L5">
            <v>668.43999999999994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%"/>
      <sheetName val="Balancing"/>
      <sheetName val="Rates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>
            <v>-652.79999999999995</v>
          </cell>
          <cell r="J2">
            <v>624.14000000000033</v>
          </cell>
          <cell r="K2">
            <v>28571.428571428572</v>
          </cell>
          <cell r="L2">
            <v>-28.659999999999627</v>
          </cell>
        </row>
        <row r="3">
          <cell r="I3">
            <v>-443.67999999999989</v>
          </cell>
          <cell r="J3">
            <v>928.57</v>
          </cell>
          <cell r="K3">
            <v>14285.714285714286</v>
          </cell>
          <cell r="L3">
            <v>484.89000000000016</v>
          </cell>
        </row>
        <row r="4">
          <cell r="I4">
            <v>-153.42999999999998</v>
          </cell>
          <cell r="J4">
            <v>331.58999999999986</v>
          </cell>
          <cell r="K4">
            <v>28571.428571428572</v>
          </cell>
          <cell r="L4">
            <v>178.15999999999988</v>
          </cell>
        </row>
      </sheetData>
      <sheetData sheetId="7"/>
      <sheetData sheetId="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%"/>
      <sheetName val="Balancing"/>
      <sheetName val="Rates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>
            <v>-253.69000000000003</v>
          </cell>
          <cell r="J2">
            <v>168.91</v>
          </cell>
          <cell r="K2">
            <v>5000</v>
          </cell>
          <cell r="L2">
            <v>-84.78000000000003</v>
          </cell>
        </row>
        <row r="3">
          <cell r="I3">
            <v>-95.249999999999986</v>
          </cell>
          <cell r="J3">
            <v>136.56</v>
          </cell>
          <cell r="K3">
            <v>5000</v>
          </cell>
          <cell r="L3">
            <v>41.310000000000016</v>
          </cell>
        </row>
        <row r="4">
          <cell r="I4">
            <v>-284.11999999999995</v>
          </cell>
          <cell r="J4">
            <v>292.65000000000009</v>
          </cell>
          <cell r="K4">
            <v>5000</v>
          </cell>
          <cell r="L4">
            <v>8.5300000000001432</v>
          </cell>
        </row>
        <row r="5">
          <cell r="I5">
            <v>-122.03000000000002</v>
          </cell>
          <cell r="J5">
            <v>111.39000000000003</v>
          </cell>
          <cell r="K5">
            <v>5000</v>
          </cell>
          <cell r="L5">
            <v>-10.639999999999986</v>
          </cell>
        </row>
      </sheetData>
      <sheetData sheetId="7"/>
      <sheetData sheetId="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%"/>
      <sheetName val="Balancing"/>
      <sheetName val="Rates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>
            <v>-1152.7</v>
          </cell>
          <cell r="J2">
            <v>811.00000000000034</v>
          </cell>
          <cell r="K2">
            <v>25000</v>
          </cell>
          <cell r="L2">
            <v>-341.6999999999997</v>
          </cell>
        </row>
        <row r="3">
          <cell r="I3">
            <v>-1745.3</v>
          </cell>
          <cell r="J3">
            <v>1772.1399999999999</v>
          </cell>
          <cell r="K3">
            <v>25000</v>
          </cell>
          <cell r="L3">
            <v>26.839999999999918</v>
          </cell>
        </row>
        <row r="4">
          <cell r="I4">
            <v>-721.53</v>
          </cell>
          <cell r="J4">
            <v>736.08000000000015</v>
          </cell>
          <cell r="K4">
            <v>25000</v>
          </cell>
          <cell r="L4">
            <v>14.550000000000182</v>
          </cell>
        </row>
        <row r="5">
          <cell r="I5">
            <v>-1268.0400000000002</v>
          </cell>
          <cell r="J5">
            <v>945.0999999999998</v>
          </cell>
          <cell r="K5">
            <v>25000</v>
          </cell>
          <cell r="L5">
            <v>-322.9400000000004</v>
          </cell>
        </row>
      </sheetData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%"/>
      <sheetName val="Balancing"/>
      <sheetName val="Rates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>
            <v>-1904.65</v>
          </cell>
          <cell r="J2">
            <v>2337.5300000000007</v>
          </cell>
          <cell r="K2">
            <v>28571.428571428572</v>
          </cell>
          <cell r="L2">
            <v>432.88000000000056</v>
          </cell>
        </row>
        <row r="3">
          <cell r="I3">
            <v>-4165.2700000000004</v>
          </cell>
          <cell r="J3">
            <v>2458.3300000000008</v>
          </cell>
          <cell r="K3">
            <v>14285.714285714286</v>
          </cell>
          <cell r="L3">
            <v>-1706.9399999999996</v>
          </cell>
        </row>
        <row r="4">
          <cell r="I4">
            <v>-1924.0199999999995</v>
          </cell>
          <cell r="J4">
            <v>1374.24</v>
          </cell>
          <cell r="K4">
            <v>28571.428571428572</v>
          </cell>
          <cell r="L4">
            <v>-549.77999999999952</v>
          </cell>
        </row>
      </sheetData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 %"/>
      <sheetName val="Balancing"/>
      <sheetName val="Margin"/>
      <sheetName val="Rates"/>
      <sheetName val="Info"/>
    </sheetNames>
    <sheetDataSet>
      <sheetData sheetId="0"/>
      <sheetData sheetId="1"/>
      <sheetData sheetId="2"/>
      <sheetData sheetId="3"/>
      <sheetData sheetId="4"/>
      <sheetData sheetId="5" refreshError="1"/>
      <sheetData sheetId="6">
        <row r="2">
          <cell r="I2">
            <v>-12167.1</v>
          </cell>
          <cell r="J2">
            <v>13013.640000000003</v>
          </cell>
          <cell r="K2">
            <v>15000</v>
          </cell>
          <cell r="L2">
            <v>20000</v>
          </cell>
          <cell r="M2">
            <v>846.54000000000269</v>
          </cell>
        </row>
        <row r="3">
          <cell r="I3">
            <v>-1624.04</v>
          </cell>
          <cell r="J3">
            <v>6414.1199999999981</v>
          </cell>
          <cell r="K3">
            <v>15000</v>
          </cell>
          <cell r="L3">
            <v>20000</v>
          </cell>
          <cell r="M3">
            <v>4790.0799999999981</v>
          </cell>
        </row>
        <row r="4">
          <cell r="I4">
            <v>-6453.2400000000007</v>
          </cell>
          <cell r="J4">
            <v>8522.340000000002</v>
          </cell>
          <cell r="K4">
            <v>15000</v>
          </cell>
          <cell r="L4">
            <v>20000</v>
          </cell>
          <cell r="M4">
            <v>2069.1000000000013</v>
          </cell>
        </row>
      </sheetData>
      <sheetData sheetId="7"/>
      <sheetData sheetId="8"/>
      <sheetData sheetId="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BID">
    <ddeItems>
      <ddeItem name="AUDJPY" advise="1">
        <values>
          <value>
            <val>95.718000000000004</val>
          </value>
        </values>
      </ddeItem>
      <ddeItem name="AUDUSD" advise="1">
        <values>
          <value>
            <val>0.93506</val>
          </value>
        </values>
      </ddeItem>
      <ddeItem name="CADJPY" advise="1">
        <values>
          <value>
            <val>93.685000000000002</val>
          </value>
        </values>
      </ddeItem>
      <ddeItem name="EURAUD" advise="1">
        <values>
          <value>
            <val>1.45706</val>
          </value>
        </values>
      </ddeItem>
      <ddeItem name="EURGBP" advise="1">
        <values>
          <value>
            <val>0.81042999999999998</val>
          </value>
        </values>
      </ddeItem>
      <ddeItem name="EURJPY" advise="1"/>
      <ddeItem name="EURNOK" advise="1"/>
      <ddeItem name="EURUSD" advise="1"/>
      <ddeItem name="GBPCHF" advise="1">
        <values>
          <value>
            <val>1.5015799999999999</val>
          </value>
        </values>
      </ddeItem>
      <ddeItem name="GBPNZD" advise="1"/>
      <ddeItem name="GBPUSD" advise="1">
        <values>
          <value>
            <val>1.6813899999999999</val>
          </value>
        </values>
      </ddeItem>
      <ddeItem name="GOLD" advise="1">
        <values>
          <value t="str">
            <val>N\A</val>
          </value>
        </values>
      </ddeItem>
      <ddeItem name="NZDCHF" advise="1">
        <values>
          <value t="str">
            <val>N\A</val>
          </value>
        </values>
      </ddeItem>
      <ddeItem name="NZDUSD" advise="1"/>
      <ddeItem name="StdDocumentName" ole="1" advise="1"/>
      <ddeItem name="USDCAD" advise="1"/>
      <ddeItem name="USDCHF" advise="1"/>
      <ddeItem name="USDJPY" advise="1"/>
      <ddeItem name="XAUUSD" advise="1">
        <values>
          <value>
            <val>1253.5250000000001</val>
          </value>
        </values>
      </ddeItem>
    </ddeItems>
  </ddeLin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ASK">
    <ddeItems>
      <ddeItem name="AUDJPY" advise="1">
        <values>
          <value>
            <val>95.768000000000001</val>
          </value>
        </values>
      </ddeItem>
      <ddeItem name="AUDUSD" advise="1">
        <values>
          <value>
            <val>0.93535999999999997</val>
          </value>
        </values>
      </ddeItem>
      <ddeItem name="CADJPY" advise="1">
        <values>
          <value>
            <val>93.734999999999999</val>
          </value>
        </values>
      </ddeItem>
      <ddeItem name="EURAUD" advise="1">
        <values>
          <value>
            <val>1.4578100000000001</val>
          </value>
        </values>
      </ddeItem>
      <ddeItem name="EURGBP" advise="1">
        <values>
          <value>
            <val>0.81064000000000003</val>
          </value>
        </values>
      </ddeItem>
      <ddeItem name="EURJPY" advise="1"/>
      <ddeItem name="EURNOK" advise="1"/>
      <ddeItem name="EURUSD" advise="1"/>
      <ddeItem name="GBPCHF" advise="1">
        <values>
          <value>
            <val>1.50223</val>
          </value>
        </values>
      </ddeItem>
      <ddeItem name="GBPNZD" advise="1"/>
      <ddeItem name="GBPUSD" advise="1">
        <values>
          <value>
            <val>1.6816500000000001</val>
          </value>
        </values>
      </ddeItem>
      <ddeItem name="GOLD" advise="1">
        <values>
          <value t="str">
            <val>N\A</val>
          </value>
        </values>
      </ddeItem>
      <ddeItem name="NZDCHF" advise="1">
        <values>
          <value t="str">
            <val>N\A</val>
          </value>
        </values>
      </ddeItem>
      <ddeItem name="NZDUSD" advise="1"/>
      <ddeItem name="StdDocumentName" ole="1" advise="1"/>
      <ddeItem name="USDCAD" advise="1"/>
      <ddeItem name="USDCHF" advise="1"/>
      <ddeItem name="USDJPY" advise="1"/>
      <ddeItem name="XAUUSD" advise="1">
        <values>
          <value>
            <val>1253.925</val>
          </value>
        </values>
      </ddeItem>
    </ddeItems>
  </ddeLink>
</externalLink>
</file>

<file path=xl/queryTables/queryTable1.xml><?xml version="1.0" encoding="utf-8"?>
<queryTable xmlns="http://schemas.openxmlformats.org/spreadsheetml/2006/main" name="Query from Augusto-Alpari" headers="0" adjustColumnWidth="0" connectionId="1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2.xml><?xml version="1.0" encoding="utf-8"?>
<queryTable xmlns="http://schemas.openxmlformats.org/spreadsheetml/2006/main" name="Query from Augusto-Alpari_1" headers="0" adjustColumnWidth="0" connectionId="2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3.xml><?xml version="1.0" encoding="utf-8"?>
<queryTable xmlns="http://schemas.openxmlformats.org/spreadsheetml/2006/main" name="Query from Augusto-Alpari_2" headers="0" adjustColumnWidth="0" connectionId="3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4.xml><?xml version="1.0" encoding="utf-8"?>
<queryTable xmlns="http://schemas.openxmlformats.org/spreadsheetml/2006/main" name="Query from Augusto-Alpari_3" headers="0" adjustColumnWidth="0" connectionId="4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5.xml><?xml version="1.0" encoding="utf-8"?>
<queryTable xmlns="http://schemas.openxmlformats.org/spreadsheetml/2006/main" name="Query from Giacomo2-lpari" headers="0" adjustColumnWidth="0" connectionId="9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6.xml><?xml version="1.0" encoding="utf-8"?>
<queryTable xmlns="http://schemas.openxmlformats.org/spreadsheetml/2006/main" name="Query from Giacomo2-lpari_1" headers="0" adjustColumnWidth="0" connectionId="10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7.xml><?xml version="1.0" encoding="utf-8"?>
<queryTable xmlns="http://schemas.openxmlformats.org/spreadsheetml/2006/main" name="Query from Giacomo2-lpari_2" headers="0" adjustColumnWidth="0" connectionId="11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8.xml><?xml version="1.0" encoding="utf-8"?>
<queryTable xmlns="http://schemas.openxmlformats.org/spreadsheetml/2006/main" name="Query from Giacomo2-lpari_3" headers="0" adjustColumnWidth="0" connectionId="12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9.xml><?xml version="1.0" encoding="utf-8"?>
<queryTable xmlns="http://schemas.openxmlformats.org/spreadsheetml/2006/main" name="Query from Giacomo-Alpari" headers="0" adjustColumnWidth="0" connectionId="13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10.xml><?xml version="1.0" encoding="utf-8"?>
<queryTable xmlns="http://schemas.openxmlformats.org/spreadsheetml/2006/main" name="Query from Giacomo-Alpari_1" headers="0" adjustColumnWidth="0" connectionId="14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11.xml><?xml version="1.0" encoding="utf-8"?>
<queryTable xmlns="http://schemas.openxmlformats.org/spreadsheetml/2006/main" name="Query from IA-Alpari" headers="0" adjustColumnWidth="0" connectionId="15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12.xml><?xml version="1.0" encoding="utf-8"?>
<queryTable xmlns="http://schemas.openxmlformats.org/spreadsheetml/2006/main" name="Query from IA-Alpari_1" headers="0" adjustColumnWidth="0" connectionId="16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13.xml><?xml version="1.0" encoding="utf-8"?>
<queryTable xmlns="http://schemas.openxmlformats.org/spreadsheetml/2006/main" name="Query from IA-Alpari_2" headers="0" adjustColumnWidth="0" connectionId="17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14.xml><?xml version="1.0" encoding="utf-8"?>
<queryTable xmlns="http://schemas.openxmlformats.org/spreadsheetml/2006/main" name="Query from Luca-XM" headers="0" adjustColumnWidth="0" connectionId="26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15.xml><?xml version="1.0" encoding="utf-8"?>
<queryTable xmlns="http://schemas.openxmlformats.org/spreadsheetml/2006/main" name="Query from Luca-XM_1" headers="0" adjustColumnWidth="0" connectionId="27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16.xml><?xml version="1.0" encoding="utf-8"?>
<queryTable xmlns="http://schemas.openxmlformats.org/spreadsheetml/2006/main" name="Query from IA-XM" headers="0" adjustColumnWidth="0" connectionId="18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17.xml><?xml version="1.0" encoding="utf-8"?>
<queryTable xmlns="http://schemas.openxmlformats.org/spreadsheetml/2006/main" name="Query from IA-XM_1" headers="0" adjustColumnWidth="0" connectionId="19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18.xml><?xml version="1.0" encoding="utf-8"?>
<queryTable xmlns="http://schemas.openxmlformats.org/spreadsheetml/2006/main" name="Query from IA-XM_2" headers="0" adjustColumnWidth="0" connectionId="20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19.xml><?xml version="1.0" encoding="utf-8"?>
<queryTable xmlns="http://schemas.openxmlformats.org/spreadsheetml/2006/main" name="Query from IA-XM_3" headers="0" adjustColumnWidth="0" connectionId="21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20.xml><?xml version="1.0" encoding="utf-8"?>
<queryTable xmlns="http://schemas.openxmlformats.org/spreadsheetml/2006/main" name="Query from FXCM-Tiziana" headers="0" adjustColumnWidth="0" connectionId="5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21.xml><?xml version="1.0" encoding="utf-8"?>
<queryTable xmlns="http://schemas.openxmlformats.org/spreadsheetml/2006/main" name="Query from FXCM-Tiziana_1" headers="0" adjustColumnWidth="0" connectionId="6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22.xml><?xml version="1.0" encoding="utf-8"?>
<queryTable xmlns="http://schemas.openxmlformats.org/spreadsheetml/2006/main" name="Query from FXCM-Tiziana_2" headers="0" adjustColumnWidth="0" connectionId="7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23.xml><?xml version="1.0" encoding="utf-8"?>
<queryTable xmlns="http://schemas.openxmlformats.org/spreadsheetml/2006/main" name="Query from FXCM-Tiziana_3" headers="0" adjustColumnWidth="0" connectionId="8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24.xml><?xml version="1.0" encoding="utf-8"?>
<queryTable xmlns="http://schemas.openxmlformats.org/spreadsheetml/2006/main" name="Query from Sara-Alpari" headers="0" adjustColumnWidth="0" connectionId="34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25.xml><?xml version="1.0" encoding="utf-8"?>
<queryTable xmlns="http://schemas.openxmlformats.org/spreadsheetml/2006/main" name="Query from Sara-Alpari_1" headers="0" adjustColumnWidth="0" connectionId="35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26.xml><?xml version="1.0" encoding="utf-8"?>
<queryTable xmlns="http://schemas.openxmlformats.org/spreadsheetml/2006/main" name="Query from Sara-Alpari_2" headers="0" adjustColumnWidth="0" connectionId="36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27.xml><?xml version="1.0" encoding="utf-8"?>
<queryTable xmlns="http://schemas.openxmlformats.org/spreadsheetml/2006/main" name="Query from IN-Alpari" headers="0" adjustColumnWidth="0" connectionId="22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28.xml><?xml version="1.0" encoding="utf-8"?>
<queryTable xmlns="http://schemas.openxmlformats.org/spreadsheetml/2006/main" name="Query from IN-Alpari_1" headers="0" adjustColumnWidth="0" connectionId="23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29.xml><?xml version="1.0" encoding="utf-8"?>
<queryTable xmlns="http://schemas.openxmlformats.org/spreadsheetml/2006/main" name="Query from IN-Alpari_2" headers="0" adjustColumnWidth="0" connectionId="24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30.xml><?xml version="1.0" encoding="utf-8"?>
<queryTable xmlns="http://schemas.openxmlformats.org/spreadsheetml/2006/main" name="Query from IN-Alpari_3" headers="0" adjustColumnWidth="0" connectionId="25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31.xml><?xml version="1.0" encoding="utf-8"?>
<queryTable xmlns="http://schemas.openxmlformats.org/spreadsheetml/2006/main" name="Query from Vittorio-Alpari" headers="0" adjustColumnWidth="0" connectionId="37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32.xml><?xml version="1.0" encoding="utf-8"?>
<queryTable xmlns="http://schemas.openxmlformats.org/spreadsheetml/2006/main" name="Query from Vittorio-Alpari_1" headers="0" adjustColumnWidth="0" connectionId="38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33.xml><?xml version="1.0" encoding="utf-8"?>
<queryTable xmlns="http://schemas.openxmlformats.org/spreadsheetml/2006/main" name="Query from Vittorio-Alpari_2" headers="0" adjustColumnWidth="0" connectionId="39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34.xml><?xml version="1.0" encoding="utf-8"?>
<queryTable xmlns="http://schemas.openxmlformats.org/spreadsheetml/2006/main" name="Query from Vittorio-Alpari_3" headers="0" adjustColumnWidth="0" connectionId="40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35.xml><?xml version="1.0" encoding="utf-8"?>
<queryTable xmlns="http://schemas.openxmlformats.org/spreadsheetml/2006/main" name="Query from Roberto-Alpari" headers="0" adjustColumnWidth="0" connectionId="31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36.xml><?xml version="1.0" encoding="utf-8"?>
<queryTable xmlns="http://schemas.openxmlformats.org/spreadsheetml/2006/main" name="Query from Roberto-Alpari_1" headers="0" adjustColumnWidth="0" connectionId="32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37.xml><?xml version="1.0" encoding="utf-8"?>
<queryTable xmlns="http://schemas.openxmlformats.org/spreadsheetml/2006/main" name="Query from Mavi-Alpari" headers="0" adjustColumnWidth="0" connectionId="28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38.xml><?xml version="1.0" encoding="utf-8"?>
<queryTable xmlns="http://schemas.openxmlformats.org/spreadsheetml/2006/main" name="Query from Mavi-Alpari_1" headers="0" adjustColumnWidth="0" connectionId="29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39.xml><?xml version="1.0" encoding="utf-8"?>
<queryTable xmlns="http://schemas.openxmlformats.org/spreadsheetml/2006/main" name="Query from Mavi-Alpari_2" headers="0" adjustColumnWidth="0" connectionId="30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queryTables/queryTable40.xml><?xml version="1.0" encoding="utf-8"?>
<queryTable xmlns="http://schemas.openxmlformats.org/spreadsheetml/2006/main" name="Query from Roberto-Alpari_2" headers="0" adjustColumnWidth="0" connectionId="33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Symbol" tableColumnId="1"/>
      <queryTableField id="2" name="chMin" tableColumnId="2"/>
      <queryTableField id="3" name="chMax" tableColumnId="3"/>
      <queryTableField id="4" name="chAvg" tableColumnId="4"/>
      <queryTableField id="5" name="B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table1.xml><?xml version="1.0" encoding="utf-8"?>
<table xmlns="http://schemas.openxmlformats.org/spreadsheetml/2006/main" id="1" name="Table_Query_from_Augusto_Alpari" displayName="Table_Query_from_Augusto_Alpari" ref="C4:G4" tableType="queryTable" headerRowCount="0" totalsRowShown="0" headerRowDxfId="165">
  <tableColumns count="5">
    <tableColumn id="1" uniqueName="1" name="Symbol" queryTableFieldId="1" headerRowDxfId="164"/>
    <tableColumn id="2" uniqueName="2" name="chMin" queryTableFieldId="2" headerRowDxfId="163" dataDxfId="162"/>
    <tableColumn id="3" uniqueName="3" name="chMax" queryTableFieldId="3" headerRowDxfId="161" dataDxfId="160"/>
    <tableColumn id="4" uniqueName="4" name="chAvg" queryTableFieldId="4" headerRowDxfId="159" dataDxfId="158"/>
    <tableColumn id="5" uniqueName="5" name="Bid" queryTableFieldId="5" headerRowDxfId="157" dataDxfId="15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Query_from_Augusto_Alpari_1" displayName="Table_Query_from_Augusto_Alpari_1" ref="C5:G5" tableType="queryTable" headerRowCount="0" totalsRowShown="0">
  <tableColumns count="5">
    <tableColumn id="1" uniqueName="1" name="Symbol" queryTableFieldId="1"/>
    <tableColumn id="2" uniqueName="2" name="chMin" queryTableFieldId="2" dataDxfId="155"/>
    <tableColumn id="3" uniqueName="3" name="chMax" queryTableFieldId="3" dataDxfId="154"/>
    <tableColumn id="4" uniqueName="4" name="chAvg" queryTableFieldId="4" dataDxfId="153"/>
    <tableColumn id="5" uniqueName="5" name="Bid" queryTableFieldId="5" dataDxfId="15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_Query_from_Augusto_Alpari_2" displayName="Table_Query_from_Augusto_Alpari_2" ref="C3:G3" tableType="queryTable" headerRowCount="0" totalsRowShown="0">
  <tableColumns count="5">
    <tableColumn id="1" uniqueName="1" name="Symbol" queryTableFieldId="1"/>
    <tableColumn id="2" uniqueName="2" name="chMin" queryTableFieldId="2" dataDxfId="151"/>
    <tableColumn id="3" uniqueName="3" name="chMax" queryTableFieldId="3" dataDxfId="150"/>
    <tableColumn id="4" uniqueName="4" name="chAvg" queryTableFieldId="4" dataDxfId="149"/>
    <tableColumn id="5" uniqueName="5" name="Bid" queryTableFieldId="5" dataDxfId="14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_Query_from_Augusto_Alpari_3" displayName="Table_Query_from_Augusto_Alpari_3" ref="C6:G6" tableType="queryTable" headerRowCount="0" totalsRowShown="0">
  <tableColumns count="5">
    <tableColumn id="1" uniqueName="1" name="Symbol" queryTableFieldId="1"/>
    <tableColumn id="2" uniqueName="2" name="chMin" queryTableFieldId="2" dataDxfId="147"/>
    <tableColumn id="3" uniqueName="3" name="chMax" queryTableFieldId="3" dataDxfId="146"/>
    <tableColumn id="4" uniqueName="4" name="chAvg" queryTableFieldId="4" dataDxfId="145"/>
    <tableColumn id="5" uniqueName="5" name="Bid" queryTableFieldId="5" dataDxfId="1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_Query_from_Giacomo2_lpari" displayName="Table_Query_from_Giacomo2_lpari" ref="C7:G7" tableType="queryTable" headerRowCount="0" totalsRowShown="0">
  <tableColumns count="5">
    <tableColumn id="1" uniqueName="1" name="Symbol" queryTableFieldId="1"/>
    <tableColumn id="2" uniqueName="2" name="chMin" queryTableFieldId="2" dataDxfId="143"/>
    <tableColumn id="3" uniqueName="3" name="chMax" queryTableFieldId="3" dataDxfId="142"/>
    <tableColumn id="4" uniqueName="4" name="chAvg" queryTableFieldId="4" dataDxfId="141"/>
    <tableColumn id="5" uniqueName="5" name="Bid" queryTableFieldId="5" dataDxfId="14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_Query_from_Giacomo2_lpari_1" displayName="Table_Query_from_Giacomo2_lpari_1" ref="C9:G9" tableType="queryTable" headerRowCount="0" totalsRowShown="0">
  <tableColumns count="5">
    <tableColumn id="1" uniqueName="1" name="Symbol" queryTableFieldId="1"/>
    <tableColumn id="2" uniqueName="2" name="chMin" queryTableFieldId="2" dataDxfId="139"/>
    <tableColumn id="3" uniqueName="3" name="chMax" queryTableFieldId="3" dataDxfId="138"/>
    <tableColumn id="4" uniqueName="4" name="chAvg" queryTableFieldId="4" dataDxfId="137"/>
    <tableColumn id="5" uniqueName="5" name="Bid" queryTableFieldId="5" dataDxfId="13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_Query_from_Giacomo2_lpari_2" displayName="Table_Query_from_Giacomo2_lpari_2" ref="C10:G10" tableType="queryTable" headerRowCount="0" totalsRowShown="0">
  <tableColumns count="5">
    <tableColumn id="1" uniqueName="1" name="Symbol" queryTableFieldId="1"/>
    <tableColumn id="2" uniqueName="2" name="chMin" queryTableFieldId="2" dataDxfId="135"/>
    <tableColumn id="3" uniqueName="3" name="chMax" queryTableFieldId="3" dataDxfId="134"/>
    <tableColumn id="4" uniqueName="4" name="chAvg" queryTableFieldId="4" dataDxfId="133"/>
    <tableColumn id="5" uniqueName="5" name="Bid" queryTableFieldId="5" dataDxfId="1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_Query_from_Giacomo2_lpari_3" displayName="Table_Query_from_Giacomo2_lpari_3" ref="C8:G8" tableType="queryTable" headerRowCount="0" totalsRowShown="0">
  <tableColumns count="5">
    <tableColumn id="1" uniqueName="1" name="Symbol" queryTableFieldId="1"/>
    <tableColumn id="2" uniqueName="2" name="chMin" queryTableFieldId="2" dataDxfId="131"/>
    <tableColumn id="3" uniqueName="3" name="chMax" queryTableFieldId="3" dataDxfId="130"/>
    <tableColumn id="4" uniqueName="4" name="chAvg" queryTableFieldId="4" dataDxfId="129"/>
    <tableColumn id="5" uniqueName="5" name="Bid" queryTableFieldId="5" dataDxfId="12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_Query_from_Giacomo_Alpari" displayName="Table_Query_from_Giacomo_Alpari" ref="C1:G1" tableType="queryTable" headerRowCount="0" totalsRowShown="0">
  <tableColumns count="5">
    <tableColumn id="1" uniqueName="1" name="Symbol" queryTableFieldId="1"/>
    <tableColumn id="2" uniqueName="2" name="chMin" queryTableFieldId="2" dataDxfId="127"/>
    <tableColumn id="3" uniqueName="3" name="chMax" queryTableFieldId="3" dataDxfId="126"/>
    <tableColumn id="4" uniqueName="4" name="chAvg" queryTableFieldId="4" dataDxfId="125"/>
    <tableColumn id="5" uniqueName="5" name="Bid" queryTableFieldId="5" dataDxfId="12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_Query_from_Giacomo_Alpari_1" displayName="Table_Query_from_Giacomo_Alpari_1" ref="C2:G2" tableType="queryTable" headerRowCount="0" totalsRowShown="0">
  <tableColumns count="5">
    <tableColumn id="1" uniqueName="1" name="Symbol" queryTableFieldId="1"/>
    <tableColumn id="2" uniqueName="2" name="chMin" queryTableFieldId="2" dataDxfId="123"/>
    <tableColumn id="3" uniqueName="3" name="chMax" queryTableFieldId="3" dataDxfId="122"/>
    <tableColumn id="4" uniqueName="4" name="chAvg" queryTableFieldId="4" dataDxfId="121"/>
    <tableColumn id="5" uniqueName="5" name="Bid" queryTableFieldId="5" dataDxfId="12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_Query_from_IA_Alpari" displayName="Table_Query_from_IA_Alpari" ref="C13:G13" tableType="queryTable" headerRowCount="0" totalsRowShown="0">
  <tableColumns count="5">
    <tableColumn id="1" uniqueName="1" name="Symbol" queryTableFieldId="1"/>
    <tableColumn id="2" uniqueName="2" name="chMin" queryTableFieldId="2" dataDxfId="119"/>
    <tableColumn id="3" uniqueName="3" name="chMax" queryTableFieldId="3" dataDxfId="118"/>
    <tableColumn id="4" uniqueName="4" name="chAvg" queryTableFieldId="4" dataDxfId="117"/>
    <tableColumn id="5" uniqueName="5" name="Bid" queryTableFieldId="5" dataDxfId="116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_Query_from_IA_Alpari_1" displayName="Table_Query_from_IA_Alpari_1" ref="C12:G12" tableType="queryTable" headerRowCount="0" totalsRowShown="0">
  <tableColumns count="5">
    <tableColumn id="1" uniqueName="1" name="Symbol" queryTableFieldId="1"/>
    <tableColumn id="2" uniqueName="2" name="chMin" queryTableFieldId="2" dataDxfId="115"/>
    <tableColumn id="3" uniqueName="3" name="chMax" queryTableFieldId="3" dataDxfId="114"/>
    <tableColumn id="4" uniqueName="4" name="chAvg" queryTableFieldId="4" dataDxfId="113"/>
    <tableColumn id="5" uniqueName="5" name="Bid" queryTableFieldId="5" dataDxfId="112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_Query_from_IA_Alpari_2" displayName="Table_Query_from_IA_Alpari_2" ref="C11:G11" tableType="queryTable" headerRowCount="0" totalsRowShown="0">
  <tableColumns count="5">
    <tableColumn id="1" uniqueName="1" name="Symbol" queryTableFieldId="1"/>
    <tableColumn id="2" uniqueName="2" name="chMin" queryTableFieldId="2" dataDxfId="111"/>
    <tableColumn id="3" uniqueName="3" name="chMax" queryTableFieldId="3" dataDxfId="110"/>
    <tableColumn id="4" uniqueName="4" name="chAvg" queryTableFieldId="4" dataDxfId="109"/>
    <tableColumn id="5" uniqueName="5" name="Bid" queryTableFieldId="5" dataDxfId="108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_Query_from_Luca_XM" displayName="Table_Query_from_Luca_XM" ref="C14:G14" tableType="queryTable" headerRowCount="0" totalsRowShown="0">
  <tableColumns count="5">
    <tableColumn id="1" uniqueName="1" name="Symbol" queryTableFieldId="1"/>
    <tableColumn id="2" uniqueName="2" name="chMin" queryTableFieldId="2" dataDxfId="107"/>
    <tableColumn id="3" uniqueName="3" name="chMax" queryTableFieldId="3" dataDxfId="106"/>
    <tableColumn id="4" uniqueName="4" name="chAvg" queryTableFieldId="4" dataDxfId="105"/>
    <tableColumn id="5" uniqueName="5" name="Bid" queryTableFieldId="5" dataDxfId="104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_Query_from_Luca_XM_1" displayName="Table_Query_from_Luca_XM_1" ref="C15:G15" tableType="queryTable" headerRowCount="0" totalsRowShown="0">
  <tableColumns count="5">
    <tableColumn id="1" uniqueName="1" name="Symbol" queryTableFieldId="1"/>
    <tableColumn id="2" uniqueName="2" name="chMin" queryTableFieldId="2" dataDxfId="103"/>
    <tableColumn id="3" uniqueName="3" name="chMax" queryTableFieldId="3" dataDxfId="102"/>
    <tableColumn id="4" uniqueName="4" name="chAvg" queryTableFieldId="4" dataDxfId="101"/>
    <tableColumn id="5" uniqueName="5" name="Bid" queryTableFieldId="5" dataDxfId="100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_Query_from_IA_XM" displayName="Table_Query_from_IA_XM" ref="C16:G16" tableType="queryTable" headerRowCount="0" totalsRowShown="0">
  <tableColumns count="5">
    <tableColumn id="1" uniqueName="1" name="Symbol" queryTableFieldId="1"/>
    <tableColumn id="2" uniqueName="2" name="chMin" queryTableFieldId="2" dataDxfId="99"/>
    <tableColumn id="3" uniqueName="3" name="chMax" queryTableFieldId="3" dataDxfId="98"/>
    <tableColumn id="4" uniqueName="4" name="chAvg" queryTableFieldId="4" dataDxfId="97"/>
    <tableColumn id="5" uniqueName="5" name="Bid" queryTableFieldId="5" dataDxfId="9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_Query_from_IA_XM_1" displayName="Table_Query_from_IA_XM_1" ref="C18:G18" tableType="queryTable" headerRowCount="0" totalsRowShown="0">
  <tableColumns count="5">
    <tableColumn id="1" uniqueName="1" name="Symbol" queryTableFieldId="1"/>
    <tableColumn id="2" uniqueName="2" name="chMin" queryTableFieldId="2" dataDxfId="95"/>
    <tableColumn id="3" uniqueName="3" name="chMax" queryTableFieldId="3" dataDxfId="94"/>
    <tableColumn id="4" uniqueName="4" name="chAvg" queryTableFieldId="4" dataDxfId="93"/>
    <tableColumn id="5" uniqueName="5" name="Bid" queryTableFieldId="5" dataDxfId="9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_Query_from_IA_XM_2" displayName="Table_Query_from_IA_XM_2" ref="C17:G17" tableType="queryTable" headerRowCount="0" totalsRowShown="0">
  <tableColumns count="5">
    <tableColumn id="1" uniqueName="1" name="Symbol" queryTableFieldId="1"/>
    <tableColumn id="2" uniqueName="2" name="chMin" queryTableFieldId="2" dataDxfId="91"/>
    <tableColumn id="3" uniqueName="3" name="chMax" queryTableFieldId="3" dataDxfId="90"/>
    <tableColumn id="4" uniqueName="4" name="chAvg" queryTableFieldId="4" dataDxfId="89"/>
    <tableColumn id="5" uniqueName="5" name="Bid" queryTableFieldId="5" dataDxfId="88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_Query_from_IA_XM_3" displayName="Table_Query_from_IA_XM_3" ref="C19:G19" tableType="queryTable" headerRowCount="0" totalsRowShown="0">
  <tableColumns count="5">
    <tableColumn id="1" uniqueName="1" name="Symbol" queryTableFieldId="1"/>
    <tableColumn id="2" uniqueName="2" name="chMin" queryTableFieldId="2" dataDxfId="87"/>
    <tableColumn id="3" uniqueName="3" name="chMax" queryTableFieldId="3" dataDxfId="86"/>
    <tableColumn id="4" uniqueName="4" name="chAvg" queryTableFieldId="4" dataDxfId="85"/>
    <tableColumn id="5" uniqueName="5" name="Bid" queryTableFieldId="5" dataDxfId="84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_Query_from_FXCM_Tiziana" displayName="Table_Query_from_FXCM_Tiziana" ref="C22:G22" tableType="queryTable" headerRowCount="0" totalsRowShown="0">
  <tableColumns count="5">
    <tableColumn id="1" uniqueName="1" name="Symbol" queryTableFieldId="1"/>
    <tableColumn id="2" uniqueName="2" name="chMin" queryTableFieldId="2" dataDxfId="83"/>
    <tableColumn id="3" uniqueName="3" name="chMax" queryTableFieldId="3" dataDxfId="82"/>
    <tableColumn id="4" uniqueName="4" name="chAvg" queryTableFieldId="4" dataDxfId="81"/>
    <tableColumn id="5" uniqueName="5" name="Bid" queryTableFieldId="5" dataDxfId="80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_Query_from_FXCM_Tiziana_1" displayName="Table_Query_from_FXCM_Tiziana_1" ref="C21:G21" tableType="queryTable" headerRowCount="0" totalsRowShown="0">
  <tableColumns count="5">
    <tableColumn id="1" uniqueName="1" name="Symbol" queryTableFieldId="1"/>
    <tableColumn id="2" uniqueName="2" name="chMin" queryTableFieldId="2" dataDxfId="79"/>
    <tableColumn id="3" uniqueName="3" name="chMax" queryTableFieldId="3" dataDxfId="78"/>
    <tableColumn id="4" uniqueName="4" name="chAvg" queryTableFieldId="4" dataDxfId="77"/>
    <tableColumn id="5" uniqueName="5" name="Bid" queryTableFieldId="5" dataDxfId="76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_Query_from_FXCM_Tiziana_2" displayName="Table_Query_from_FXCM_Tiziana_2" ref="C20:G20" tableType="queryTable" headerRowCount="0" totalsRowShown="0">
  <tableColumns count="5">
    <tableColumn id="1" uniqueName="1" name="Symbol" queryTableFieldId="1"/>
    <tableColumn id="2" uniqueName="2" name="chMin" queryTableFieldId="2" dataDxfId="75"/>
    <tableColumn id="3" uniqueName="3" name="chMax" queryTableFieldId="3" dataDxfId="74"/>
    <tableColumn id="4" uniqueName="4" name="chAvg" queryTableFieldId="4" dataDxfId="73"/>
    <tableColumn id="5" uniqueName="5" name="Bid" queryTableFieldId="5" dataDxfId="72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_Query_from_FXCM_Tiziana_3" displayName="Table_Query_from_FXCM_Tiziana_3" ref="C23:G23" tableType="queryTable" headerRowCount="0" totalsRowShown="0">
  <tableColumns count="5">
    <tableColumn id="1" uniqueName="1" name="Symbol" queryTableFieldId="1"/>
    <tableColumn id="2" uniqueName="2" name="chMin" queryTableFieldId="2" dataDxfId="71"/>
    <tableColumn id="3" uniqueName="3" name="chMax" queryTableFieldId="3" dataDxfId="70"/>
    <tableColumn id="4" uniqueName="4" name="chAvg" queryTableFieldId="4" dataDxfId="69"/>
    <tableColumn id="5" uniqueName="5" name="Bid" queryTableFieldId="5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_Query_from_Sara_Alpari" displayName="Table_Query_from_Sara_Alpari" ref="C24:G24" tableType="queryTable" headerRowCount="0" totalsRowShown="0">
  <tableColumns count="5">
    <tableColumn id="1" uniqueName="1" name="Symbol" queryTableFieldId="1"/>
    <tableColumn id="2" uniqueName="2" name="chMin" queryTableFieldId="2" dataDxfId="67"/>
    <tableColumn id="3" uniqueName="3" name="chMax" queryTableFieldId="3" dataDxfId="66"/>
    <tableColumn id="4" uniqueName="4" name="chAvg" queryTableFieldId="4" dataDxfId="65"/>
    <tableColumn id="5" uniqueName="5" name="Bid" queryTableFieldId="5" dataDxfId="64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_Query_from_Sara_Alpari_1" displayName="Table_Query_from_Sara_Alpari_1" ref="C25:G25" tableType="queryTable" headerRowCount="0" totalsRowShown="0">
  <tableColumns count="5">
    <tableColumn id="1" uniqueName="1" name="Symbol" queryTableFieldId="1"/>
    <tableColumn id="2" uniqueName="2" name="chMin" queryTableFieldId="2" dataDxfId="63"/>
    <tableColumn id="3" uniqueName="3" name="chMax" queryTableFieldId="3" dataDxfId="62"/>
    <tableColumn id="4" uniqueName="4" name="chAvg" queryTableFieldId="4" dataDxfId="61"/>
    <tableColumn id="5" uniqueName="5" name="Bid" queryTableFieldId="5" dataDxfId="60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_Query_from_Sara_Alpari_2" displayName="Table_Query_from_Sara_Alpari_2" ref="C26:G26" tableType="queryTable" headerRowCount="0" totalsRowShown="0">
  <tableColumns count="5">
    <tableColumn id="1" uniqueName="1" name="Symbol" queryTableFieldId="1"/>
    <tableColumn id="2" uniqueName="2" name="chMin" queryTableFieldId="2" dataDxfId="59"/>
    <tableColumn id="3" uniqueName="3" name="chMax" queryTableFieldId="3" dataDxfId="58"/>
    <tableColumn id="4" uniqueName="4" name="chAvg" queryTableFieldId="4" dataDxfId="57"/>
    <tableColumn id="5" uniqueName="5" name="Bid" queryTableFieldId="5" dataDxfId="56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_Query_from_IN_Alpari" displayName="Table_Query_from_IN_Alpari" ref="C28:G28" tableType="queryTable" headerRowCount="0" totalsRowShown="0">
  <tableColumns count="5">
    <tableColumn id="1" uniqueName="1" name="Symbol" queryTableFieldId="1"/>
    <tableColumn id="2" uniqueName="2" name="chMin" queryTableFieldId="2" dataDxfId="55"/>
    <tableColumn id="3" uniqueName="3" name="chMax" queryTableFieldId="3" dataDxfId="54"/>
    <tableColumn id="4" uniqueName="4" name="chAvg" queryTableFieldId="4" dataDxfId="53"/>
    <tableColumn id="5" uniqueName="5" name="Bid" queryTableFieldId="5" dataDxfId="52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_Query_from_IN_Alpari_1" displayName="Table_Query_from_IN_Alpari_1" ref="C27:G27" tableType="queryTable" headerRowCount="0" totalsRowShown="0">
  <tableColumns count="5">
    <tableColumn id="1" uniqueName="1" name="Symbol" queryTableFieldId="1"/>
    <tableColumn id="2" uniqueName="2" name="chMin" queryTableFieldId="2" dataDxfId="51"/>
    <tableColumn id="3" uniqueName="3" name="chMax" queryTableFieldId="3" dataDxfId="50"/>
    <tableColumn id="4" uniqueName="4" name="chAvg" queryTableFieldId="4" dataDxfId="49"/>
    <tableColumn id="5" uniqueName="5" name="Bid" queryTableFieldId="5" dataDxfId="48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_Query_from_IN_Alpari_2" displayName="Table_Query_from_IN_Alpari_2" ref="C29:G29" tableType="queryTable" headerRowCount="0" totalsRowShown="0">
  <tableColumns count="5">
    <tableColumn id="1" uniqueName="1" name="Symbol" queryTableFieldId="1"/>
    <tableColumn id="2" uniqueName="2" name="chMin" queryTableFieldId="2" dataDxfId="47"/>
    <tableColumn id="3" uniqueName="3" name="chMax" queryTableFieldId="3" dataDxfId="46"/>
    <tableColumn id="4" uniqueName="4" name="chAvg" queryTableFieldId="4" dataDxfId="45"/>
    <tableColumn id="5" uniqueName="5" name="Bid" queryTableFieldId="5" dataDxfId="44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_Query_from_IN_Alpari_3" displayName="Table_Query_from_IN_Alpari_3" ref="C30:G30" tableType="queryTable" headerRowCount="0" totalsRowShown="0">
  <tableColumns count="5">
    <tableColumn id="1" uniqueName="1" name="Symbol" queryTableFieldId="1"/>
    <tableColumn id="2" uniqueName="2" name="chMin" queryTableFieldId="2" dataDxfId="43"/>
    <tableColumn id="3" uniqueName="3" name="chMax" queryTableFieldId="3" dataDxfId="42"/>
    <tableColumn id="4" uniqueName="4" name="chAvg" queryTableFieldId="4" dataDxfId="41"/>
    <tableColumn id="5" uniqueName="5" name="Bid" queryTableFieldId="5" dataDxfId="4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_Query_from_Vittorio_Alpari" displayName="Table_Query_from_Vittorio_Alpari" ref="C33:G33" tableType="queryTable" headerRowCount="0" totalsRowShown="0">
  <tableColumns count="5">
    <tableColumn id="1" uniqueName="1" name="Symbol" queryTableFieldId="1"/>
    <tableColumn id="2" uniqueName="2" name="chMin" queryTableFieldId="2" dataDxfId="39"/>
    <tableColumn id="3" uniqueName="3" name="chMax" queryTableFieldId="3" dataDxfId="38"/>
    <tableColumn id="4" uniqueName="4" name="chAvg" queryTableFieldId="4" dataDxfId="37"/>
    <tableColumn id="5" uniqueName="5" name="Bid" queryTableFieldId="5" dataDxfId="36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32" name="Table_Query_from_Vittorio_Alpari_1" displayName="Table_Query_from_Vittorio_Alpari_1" ref="C34:G34" tableType="queryTable" headerRowCount="0" totalsRowShown="0">
  <tableColumns count="5">
    <tableColumn id="1" uniqueName="1" name="Symbol" queryTableFieldId="1"/>
    <tableColumn id="2" uniqueName="2" name="chMin" queryTableFieldId="2" dataDxfId="35"/>
    <tableColumn id="3" uniqueName="3" name="chMax" queryTableFieldId="3" dataDxfId="34"/>
    <tableColumn id="4" uniqueName="4" name="chAvg" queryTableFieldId="4" dataDxfId="33"/>
    <tableColumn id="5" uniqueName="5" name="Bid" queryTableFieldId="5" dataDxfId="32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id="33" name="Table_Query_from_Vittorio_Alpari_2" displayName="Table_Query_from_Vittorio_Alpari_2" ref="C32:G32" tableType="queryTable" headerRowCount="0" totalsRowShown="0">
  <tableColumns count="5">
    <tableColumn id="1" uniqueName="1" name="Symbol" queryTableFieldId="1"/>
    <tableColumn id="2" uniqueName="2" name="chMin" queryTableFieldId="2" dataDxfId="31"/>
    <tableColumn id="3" uniqueName="3" name="chMax" queryTableFieldId="3" dataDxfId="30"/>
    <tableColumn id="4" uniqueName="4" name="chAvg" queryTableFieldId="4" dataDxfId="29"/>
    <tableColumn id="5" uniqueName="5" name="Bid" queryTableFieldId="5" dataDxfId="28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id="34" name="Table_Query_from_Vittorio_Alpari_3" displayName="Table_Query_from_Vittorio_Alpari_3" ref="C31:G31" tableType="queryTable" headerRowCount="0" totalsRowShown="0">
  <tableColumns count="5">
    <tableColumn id="1" uniqueName="1" name="Symbol" queryTableFieldId="1"/>
    <tableColumn id="2" uniqueName="2" name="chMin" queryTableFieldId="2" dataDxfId="27"/>
    <tableColumn id="3" uniqueName="3" name="chMax" queryTableFieldId="3" dataDxfId="26"/>
    <tableColumn id="4" uniqueName="4" name="chAvg" queryTableFieldId="4" dataDxfId="25"/>
    <tableColumn id="5" uniqueName="5" name="Bid" queryTableFieldId="5" dataDxfId="24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id="35" name="Table_Query_from_Roberto_Alpari" displayName="Table_Query_from_Roberto_Alpari" ref="C36:G36" tableType="queryTable" headerRowCount="0" totalsRowShown="0">
  <tableColumns count="5">
    <tableColumn id="1" uniqueName="1" name="Symbol" queryTableFieldId="1"/>
    <tableColumn id="2" uniqueName="2" name="chMin" queryTableFieldId="2" dataDxfId="23"/>
    <tableColumn id="3" uniqueName="3" name="chMax" queryTableFieldId="3" dataDxfId="22"/>
    <tableColumn id="4" uniqueName="4" name="chAvg" queryTableFieldId="4" dataDxfId="21"/>
    <tableColumn id="5" uniqueName="5" name="Bid" queryTableFieldId="5" dataDxfId="20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id="36" name="Table_Query_from_Roberto_Alpari_1" displayName="Table_Query_from_Roberto_Alpari_1" ref="C35:G35" tableType="queryTable" headerRowCount="0" totalsRowShown="0">
  <tableColumns count="5">
    <tableColumn id="1" uniqueName="1" name="Symbol" queryTableFieldId="1"/>
    <tableColumn id="2" uniqueName="2" name="chMin" queryTableFieldId="2" dataDxfId="19"/>
    <tableColumn id="3" uniqueName="3" name="chMax" queryTableFieldId="3" dataDxfId="18"/>
    <tableColumn id="4" uniqueName="4" name="chAvg" queryTableFieldId="4" dataDxfId="17"/>
    <tableColumn id="5" uniqueName="5" name="Bid" queryTableFieldId="5" dataDxfId="16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id="38" name="Table_Query_from_Mavi_Alpari" displayName="Table_Query_from_Mavi_Alpari" ref="C38:G38" tableType="queryTable" headerRowCount="0" totalsRowShown="0">
  <tableColumns count="5">
    <tableColumn id="1" uniqueName="1" name="Symbol" queryTableFieldId="1"/>
    <tableColumn id="2" uniqueName="2" name="chMin" queryTableFieldId="2" dataDxfId="15"/>
    <tableColumn id="3" uniqueName="3" name="chMax" queryTableFieldId="3" dataDxfId="14"/>
    <tableColumn id="4" uniqueName="4" name="chAvg" queryTableFieldId="4" dataDxfId="13"/>
    <tableColumn id="5" uniqueName="5" name="Bid" queryTableFieldId="5" dataDxfId="12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id="39" name="Table_Query_from_Mavi_Alpari_1" displayName="Table_Query_from_Mavi_Alpari_1" ref="C39:G39" tableType="queryTable" headerRowCount="0" totalsRowShown="0">
  <tableColumns count="5">
    <tableColumn id="1" uniqueName="1" name="Symbol" queryTableFieldId="1"/>
    <tableColumn id="2" uniqueName="2" name="chMin" queryTableFieldId="2" dataDxfId="11"/>
    <tableColumn id="3" uniqueName="3" name="chMax" queryTableFieldId="3" dataDxfId="10"/>
    <tableColumn id="4" uniqueName="4" name="chAvg" queryTableFieldId="4" dataDxfId="9"/>
    <tableColumn id="5" uniqueName="5" name="Bid" queryTableFieldId="5" dataDxfId="8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id="40" name="Table_Query_from_Mavi_Alpari_2" displayName="Table_Query_from_Mavi_Alpari_2" ref="C40:G40" tableType="queryTable" headerRowCount="0" totalsRowShown="0">
  <tableColumns count="5">
    <tableColumn id="1" uniqueName="1" name="Symbol" queryTableFieldId="1"/>
    <tableColumn id="2" uniqueName="2" name="chMin" queryTableFieldId="2" dataDxfId="7"/>
    <tableColumn id="3" uniqueName="3" name="chMax" queryTableFieldId="3" dataDxfId="6"/>
    <tableColumn id="4" uniqueName="4" name="chAvg" queryTableFieldId="4" dataDxfId="5"/>
    <tableColumn id="5" uniqueName="5" name="Bid" queryTableFieldId="5" dataDxfId="4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id="41" name="Table_Query_from_Roberto_Alpari_2" displayName="Table_Query_from_Roberto_Alpari_2" ref="C37:G37" tableType="queryTable" headerRowCount="0" totalsRowShown="0">
  <tableColumns count="5">
    <tableColumn id="1" uniqueName="1" name="Symbol" queryTableFieldId="1"/>
    <tableColumn id="2" uniqueName="2" name="chMin" queryTableFieldId="2" dataDxfId="3"/>
    <tableColumn id="3" uniqueName="3" name="chMax" queryTableFieldId="3" dataDxfId="2"/>
    <tableColumn id="4" uniqueName="4" name="chAvg" queryTableFieldId="4" dataDxfId="1"/>
    <tableColumn id="5" uniqueName="5" name="Bid" queryTableFieldId="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"/>
  <sheetViews>
    <sheetView tabSelected="1" topLeftCell="B101" workbookViewId="0">
      <selection activeCell="C128" sqref="C128"/>
    </sheetView>
  </sheetViews>
  <sheetFormatPr defaultRowHeight="15" x14ac:dyDescent="0.25"/>
  <cols>
    <col min="1" max="1" width="19.85546875" hidden="1" customWidth="1"/>
    <col min="2" max="2" width="9.28515625" bestFit="1" customWidth="1"/>
    <col min="3" max="3" width="9.85546875" customWidth="1"/>
    <col min="4" max="7" width="9.5703125" bestFit="1" customWidth="1"/>
    <col min="8" max="8" width="11.42578125" bestFit="1" customWidth="1"/>
    <col min="9" max="9" width="14.42578125" style="15" bestFit="1" customWidth="1"/>
    <col min="10" max="10" width="6.5703125" customWidth="1"/>
    <col min="11" max="11" width="9.42578125" bestFit="1" customWidth="1"/>
    <col min="12" max="12" width="11" bestFit="1" customWidth="1"/>
    <col min="13" max="13" width="10.85546875" customWidth="1"/>
    <col min="14" max="14" width="10.42578125" bestFit="1" customWidth="1"/>
    <col min="15" max="15" width="11.140625" bestFit="1" customWidth="1"/>
    <col min="16" max="16" width="11.5703125" style="6" customWidth="1"/>
    <col min="17" max="17" width="12.5703125" customWidth="1"/>
  </cols>
  <sheetData>
    <row r="1" spans="1:11" hidden="1" x14ac:dyDescent="0.25">
      <c r="A1" t="str">
        <f>B1&amp;Table_Query_from_Giacomo_Alpari[[#All],[Symbol]]</f>
        <v>G-AlpariGBPNZD</v>
      </c>
      <c r="B1" t="s">
        <v>24</v>
      </c>
      <c r="C1" t="s">
        <v>15</v>
      </c>
      <c r="D1" s="3">
        <v>1.88683</v>
      </c>
      <c r="E1" s="3">
        <v>2.0430000000000001</v>
      </c>
      <c r="F1" s="3">
        <v>1.964915</v>
      </c>
      <c r="G1" s="3">
        <v>1.9642999999999999</v>
      </c>
      <c r="H1" s="4"/>
      <c r="I1" s="13"/>
      <c r="J1" s="5"/>
      <c r="K1" s="5"/>
    </row>
    <row r="2" spans="1:11" hidden="1" x14ac:dyDescent="0.25">
      <c r="A2" t="str">
        <f>B2&amp;Table_Query_from_Giacomo_Alpari_1[[#All],[Symbol]]</f>
        <v>G-AlpariUSDCHF</v>
      </c>
      <c r="B2" t="s">
        <v>24</v>
      </c>
      <c r="C2" t="s">
        <v>20</v>
      </c>
      <c r="D2" s="3">
        <v>0.871</v>
      </c>
      <c r="E2" s="3">
        <v>0.92505999999999999</v>
      </c>
      <c r="F2" s="3">
        <v>0.89802999999999999</v>
      </c>
      <c r="G2" s="3">
        <v>0.89193999999999996</v>
      </c>
      <c r="H2" s="4"/>
      <c r="I2" s="13"/>
      <c r="J2" s="5"/>
      <c r="K2" s="5"/>
    </row>
    <row r="3" spans="1:11" hidden="1" x14ac:dyDescent="0.25">
      <c r="A3" t="str">
        <f>B3&amp;Table_Query_from_Augusto_Alpari_2[[#All],[Symbol]]</f>
        <v>A-AlpariUSDJPY</v>
      </c>
      <c r="B3" t="s">
        <v>27</v>
      </c>
      <c r="C3" t="s">
        <v>13</v>
      </c>
      <c r="D3" s="7">
        <v>101.2</v>
      </c>
      <c r="E3" s="7">
        <v>104.005</v>
      </c>
      <c r="F3" s="7">
        <v>102.60250000000001</v>
      </c>
      <c r="G3" s="7">
        <v>101.29300000000001</v>
      </c>
      <c r="H3" s="4"/>
      <c r="I3" s="13"/>
      <c r="J3" s="5"/>
      <c r="K3" s="5"/>
    </row>
    <row r="4" spans="1:11" hidden="1" x14ac:dyDescent="0.25">
      <c r="A4" t="str">
        <f>B4&amp;Table_Query_from_Augusto_Alpari[[#All],[Symbol]]</f>
        <v>A-AlpariGBPNZD</v>
      </c>
      <c r="B4" t="s">
        <v>27</v>
      </c>
      <c r="C4" t="s">
        <v>15</v>
      </c>
      <c r="D4" s="3">
        <v>1.91</v>
      </c>
      <c r="E4" s="3">
        <v>1.998</v>
      </c>
      <c r="F4" s="3">
        <v>1.954</v>
      </c>
      <c r="G4" s="3">
        <v>1.9642999999999999</v>
      </c>
      <c r="H4" s="4"/>
      <c r="I4" s="13"/>
      <c r="J4" s="5"/>
      <c r="K4" s="5"/>
    </row>
    <row r="5" spans="1:11" hidden="1" x14ac:dyDescent="0.25">
      <c r="A5" t="str">
        <f>B5&amp;Table_Query_from_Augusto_Alpari_1[[#All],[Symbol]]</f>
        <v>A-AlpariAUDUSD</v>
      </c>
      <c r="B5" t="s">
        <v>27</v>
      </c>
      <c r="C5" t="s">
        <v>28</v>
      </c>
      <c r="D5" s="3">
        <v>0.89127000000000001</v>
      </c>
      <c r="E5" s="3">
        <v>0.94559000000000004</v>
      </c>
      <c r="F5" s="3">
        <v>0.91842999999999997</v>
      </c>
      <c r="G5" s="3">
        <v>0.92395000000000005</v>
      </c>
      <c r="H5" s="4"/>
      <c r="I5" s="13"/>
      <c r="J5" s="5"/>
      <c r="K5" s="5"/>
    </row>
    <row r="6" spans="1:11" hidden="1" x14ac:dyDescent="0.25">
      <c r="A6" t="str">
        <f>B6&amp;Table_Query_from_Augusto_Alpari_3[[#All],[Symbol]]</f>
        <v>A-AlpariEURGBP</v>
      </c>
      <c r="B6" t="s">
        <v>27</v>
      </c>
      <c r="C6" t="s">
        <v>17</v>
      </c>
      <c r="D6" s="3">
        <v>0.81200000000000006</v>
      </c>
      <c r="E6" s="3">
        <v>0.84</v>
      </c>
      <c r="F6" s="3">
        <v>0.82599999999999996</v>
      </c>
      <c r="G6" s="3">
        <v>0.81349000000000005</v>
      </c>
      <c r="H6" s="4"/>
      <c r="I6" s="13"/>
      <c r="J6" s="5"/>
      <c r="K6" s="5"/>
    </row>
    <row r="7" spans="1:11" hidden="1" x14ac:dyDescent="0.25">
      <c r="A7" t="str">
        <f>B7&amp;Table_Query_from_Giacomo2_lpari[[#All],[Symbol]]</f>
        <v>G-Alpari2EURAUD</v>
      </c>
      <c r="B7" t="s">
        <v>29</v>
      </c>
      <c r="C7" t="s">
        <v>30</v>
      </c>
      <c r="D7" s="3">
        <v>1.456</v>
      </c>
      <c r="E7" s="3">
        <v>1.554</v>
      </c>
      <c r="F7" s="3">
        <v>1.5049999999999999</v>
      </c>
      <c r="G7" s="3">
        <v>1.48207</v>
      </c>
      <c r="H7" s="4"/>
      <c r="I7" s="13"/>
      <c r="J7" s="5"/>
      <c r="K7" s="5"/>
    </row>
    <row r="8" spans="1:11" hidden="1" x14ac:dyDescent="0.25">
      <c r="A8" t="str">
        <f>B8&amp;Table_Query_from_Giacomo2_lpari_3[[#All],[Symbol]]</f>
        <v>G-Alpari2XAUUSD</v>
      </c>
      <c r="B8" t="s">
        <v>29</v>
      </c>
      <c r="C8" t="s">
        <v>31</v>
      </c>
      <c r="D8" s="9">
        <v>1270</v>
      </c>
      <c r="E8" s="9">
        <v>1390</v>
      </c>
      <c r="F8" s="9">
        <v>1330</v>
      </c>
      <c r="G8" s="9">
        <v>1294.2750000000001</v>
      </c>
      <c r="H8" s="4"/>
      <c r="I8" s="13"/>
      <c r="J8" s="5"/>
      <c r="K8" s="5"/>
    </row>
    <row r="9" spans="1:11" hidden="1" x14ac:dyDescent="0.25">
      <c r="A9" t="str">
        <f>B9&amp;Table_Query_from_Giacomo2_lpari_1[[#All],[Symbol]]</f>
        <v>G-Alpari2GBPNZD</v>
      </c>
      <c r="B9" t="s">
        <v>29</v>
      </c>
      <c r="C9" t="s">
        <v>15</v>
      </c>
      <c r="D9" s="3">
        <v>1.91</v>
      </c>
      <c r="E9" s="3">
        <v>1.974</v>
      </c>
      <c r="F9" s="3">
        <v>1.9419999999999999</v>
      </c>
      <c r="G9" s="3">
        <v>1.9642999999999999</v>
      </c>
      <c r="H9" s="4"/>
      <c r="I9" s="13"/>
      <c r="J9" s="5"/>
      <c r="K9" s="5"/>
    </row>
    <row r="10" spans="1:11" hidden="1" x14ac:dyDescent="0.25">
      <c r="A10" t="str">
        <f>B10&amp;Table_Query_from_Giacomo2_lpari_2[[#All],[Symbol]]</f>
        <v>G-Alpari2USDJPY</v>
      </c>
      <c r="B10" t="s">
        <v>29</v>
      </c>
      <c r="C10" t="s">
        <v>13</v>
      </c>
      <c r="D10" s="7">
        <v>101.2</v>
      </c>
      <c r="E10" s="7">
        <v>104.005</v>
      </c>
      <c r="F10" s="7">
        <v>102.60250000000001</v>
      </c>
      <c r="G10" s="7">
        <v>101.29300000000001</v>
      </c>
      <c r="H10" s="4"/>
      <c r="I10" s="13"/>
      <c r="J10" s="5"/>
      <c r="K10" s="5"/>
    </row>
    <row r="11" spans="1:11" hidden="1" x14ac:dyDescent="0.25">
      <c r="A11" t="str">
        <f>B11&amp;Table_Query_from_IA_Alpari_2[[#All],[Symbol]]</f>
        <v>I-AlpariGBPNZD</v>
      </c>
      <c r="B11" t="s">
        <v>32</v>
      </c>
      <c r="C11" t="s">
        <v>15</v>
      </c>
      <c r="D11" s="3">
        <v>1.91</v>
      </c>
      <c r="E11" s="3">
        <v>2.0419999999999998</v>
      </c>
      <c r="F11" s="3">
        <v>1.976</v>
      </c>
      <c r="G11" s="3">
        <v>1.9642999999999999</v>
      </c>
      <c r="H11" s="4"/>
      <c r="I11" s="13"/>
      <c r="J11" s="5"/>
      <c r="K11" s="5"/>
    </row>
    <row r="12" spans="1:11" hidden="1" x14ac:dyDescent="0.25">
      <c r="A12" t="str">
        <f>B12&amp;Table_Query_from_IA_Alpari_1[[#All],[Symbol]]</f>
        <v>I-AlpariEURUSD</v>
      </c>
      <c r="B12" t="s">
        <v>32</v>
      </c>
      <c r="C12" t="s">
        <v>10</v>
      </c>
      <c r="D12" s="3">
        <v>1.349</v>
      </c>
      <c r="E12" s="3">
        <v>1.397</v>
      </c>
      <c r="F12" s="3">
        <v>1.373</v>
      </c>
      <c r="G12" s="3">
        <v>1.3698600000000001</v>
      </c>
      <c r="H12" s="4"/>
      <c r="I12" s="13"/>
      <c r="J12" s="5"/>
      <c r="K12" s="5"/>
    </row>
    <row r="13" spans="1:11" hidden="1" x14ac:dyDescent="0.25">
      <c r="A13" t="str">
        <f>B13&amp;Table_Query_from_IA_Alpari[[#All],[Symbol]]</f>
        <v>I-AlpariCADJPY</v>
      </c>
      <c r="B13" t="s">
        <v>32</v>
      </c>
      <c r="C13" t="s">
        <v>23</v>
      </c>
      <c r="D13" s="3">
        <v>90.8</v>
      </c>
      <c r="E13" s="3">
        <v>95.8</v>
      </c>
      <c r="F13" s="3">
        <v>93.3</v>
      </c>
      <c r="G13" s="3">
        <v>92.864999999999995</v>
      </c>
      <c r="H13" s="4"/>
      <c r="I13" s="13"/>
      <c r="J13" s="5"/>
      <c r="K13" s="5"/>
    </row>
    <row r="14" spans="1:11" hidden="1" x14ac:dyDescent="0.25">
      <c r="A14" t="str">
        <f>B14&amp;Table_Query_from_Luca_XM[[#All],[Symbol]]</f>
        <v>L-XMEURGBP</v>
      </c>
      <c r="B14" t="s">
        <v>33</v>
      </c>
      <c r="C14" t="s">
        <v>17</v>
      </c>
      <c r="D14" s="3">
        <v>0.81191000000000002</v>
      </c>
      <c r="E14" s="3">
        <v>0.85799999999999998</v>
      </c>
      <c r="F14" s="3">
        <v>0.834955</v>
      </c>
      <c r="G14" s="3">
        <v>0.81342000000000003</v>
      </c>
      <c r="H14" s="4"/>
      <c r="I14" s="13"/>
      <c r="J14" s="5"/>
      <c r="K14" s="5"/>
    </row>
    <row r="15" spans="1:11" hidden="1" x14ac:dyDescent="0.25">
      <c r="A15" t="str">
        <f>B15&amp;Table_Query_from_Luca_XM_1[[#All],[Symbol]]</f>
        <v>L-XMUSDJPY</v>
      </c>
      <c r="B15" t="s">
        <v>33</v>
      </c>
      <c r="C15" t="s">
        <v>13</v>
      </c>
      <c r="D15" s="3">
        <v>96.997</v>
      </c>
      <c r="E15" s="3">
        <v>105.40600000000001</v>
      </c>
      <c r="F15" s="3">
        <v>101.2015</v>
      </c>
      <c r="G15" s="3">
        <v>101.29300000000001</v>
      </c>
      <c r="H15" s="4"/>
      <c r="I15" s="13"/>
      <c r="J15" s="5"/>
      <c r="K15" s="5"/>
    </row>
    <row r="16" spans="1:11" hidden="1" x14ac:dyDescent="0.25">
      <c r="A16" t="str">
        <f>B16&amp;Table_Query_from_IA_XM[[#All],[Symbol]]</f>
        <v>I-XMEURAUD</v>
      </c>
      <c r="B16" t="s">
        <v>34</v>
      </c>
      <c r="C16" t="s">
        <v>30</v>
      </c>
      <c r="D16" s="3">
        <v>1.458</v>
      </c>
      <c r="E16" s="3">
        <v>1.5540099999999999</v>
      </c>
      <c r="F16" s="3">
        <v>1.506005</v>
      </c>
      <c r="G16" s="3">
        <v>1.4822</v>
      </c>
      <c r="H16" s="4"/>
      <c r="I16" s="13"/>
      <c r="J16" s="5"/>
      <c r="K16" s="5"/>
    </row>
    <row r="17" spans="1:11" hidden="1" x14ac:dyDescent="0.25">
      <c r="A17" t="str">
        <f>B17&amp;Table_Query_from_IA_XM_2[[#All],[Symbol]]</f>
        <v>I-XMGOLD</v>
      </c>
      <c r="B17" t="s">
        <v>34</v>
      </c>
      <c r="C17" t="s">
        <v>35</v>
      </c>
      <c r="D17" s="9">
        <v>1269.97</v>
      </c>
      <c r="E17" s="9">
        <v>1390</v>
      </c>
      <c r="F17" s="9">
        <v>1329.9849999999999</v>
      </c>
      <c r="G17" s="9">
        <v>1294.07</v>
      </c>
      <c r="H17" s="4"/>
      <c r="I17" s="13"/>
      <c r="J17" s="5"/>
      <c r="K17" s="5"/>
    </row>
    <row r="18" spans="1:11" hidden="1" x14ac:dyDescent="0.25">
      <c r="A18" t="str">
        <f>B18&amp;Table_Query_from_IA_XM_1[[#All],[Symbol]]</f>
        <v>I-XMGBPNZD</v>
      </c>
      <c r="B18" t="s">
        <v>34</v>
      </c>
      <c r="C18" t="s">
        <v>15</v>
      </c>
      <c r="D18" s="3">
        <v>1.9099200000000001</v>
      </c>
      <c r="E18" s="3">
        <v>1.97401</v>
      </c>
      <c r="F18" s="3">
        <v>1.9419649999999999</v>
      </c>
      <c r="G18" s="3">
        <v>1.96462</v>
      </c>
      <c r="H18" s="4"/>
      <c r="I18" s="13"/>
      <c r="J18" s="5"/>
      <c r="K18" s="5"/>
    </row>
    <row r="19" spans="1:11" hidden="1" x14ac:dyDescent="0.25">
      <c r="A19" t="str">
        <f>B19&amp;Table_Query_from_IA_XM_3[[#All],[Symbol]]</f>
        <v>I-XMUSDJPY</v>
      </c>
      <c r="B19" t="s">
        <v>34</v>
      </c>
      <c r="C19" t="s">
        <v>13</v>
      </c>
      <c r="D19" s="7">
        <v>101.2</v>
      </c>
      <c r="E19" s="7">
        <v>104.001</v>
      </c>
      <c r="F19" s="7">
        <v>102.6005</v>
      </c>
      <c r="G19" s="7">
        <v>101.29300000000001</v>
      </c>
      <c r="H19" s="4"/>
      <c r="I19" s="13"/>
      <c r="J19" s="5"/>
      <c r="K19" s="5"/>
    </row>
    <row r="20" spans="1:11" hidden="1" x14ac:dyDescent="0.25">
      <c r="A20" t="str">
        <f>B20&amp;Table_Query_from_FXCM_Tiziana_2[[#All],[Symbol]]</f>
        <v>T-FXCMNZDUSD</v>
      </c>
      <c r="B20" t="s">
        <v>36</v>
      </c>
      <c r="C20" t="s">
        <v>11</v>
      </c>
      <c r="D20" s="3">
        <v>0.82540999999999998</v>
      </c>
      <c r="E20" s="3">
        <v>0.87751999999999997</v>
      </c>
      <c r="F20" s="3">
        <v>0.85146500000000003</v>
      </c>
      <c r="G20" s="3">
        <v>0.85687999999999998</v>
      </c>
      <c r="H20" s="4"/>
      <c r="I20" s="13"/>
      <c r="J20" s="5"/>
      <c r="K20" s="5"/>
    </row>
    <row r="21" spans="1:11" hidden="1" x14ac:dyDescent="0.25">
      <c r="A21" t="str">
        <f>B21&amp;Table_Query_from_FXCM_Tiziana_1[[#All],[Symbol]]</f>
        <v>T-FXCMEURGBP</v>
      </c>
      <c r="B21" t="s">
        <v>36</v>
      </c>
      <c r="C21" t="s">
        <v>17</v>
      </c>
      <c r="D21" s="3">
        <v>0.81205000000000005</v>
      </c>
      <c r="E21" s="3">
        <v>0.84</v>
      </c>
      <c r="F21" s="3">
        <v>0.82602500000000001</v>
      </c>
      <c r="G21" s="3">
        <v>0.81347000000000003</v>
      </c>
      <c r="H21" s="4"/>
      <c r="I21" s="13"/>
      <c r="J21" s="5"/>
      <c r="K21" s="5"/>
    </row>
    <row r="22" spans="1:11" hidden="1" x14ac:dyDescent="0.25">
      <c r="A22" t="str">
        <f>B22&amp;Table_Query_from_FXCM_Tiziana[[#All],[Symbol]]</f>
        <v>T-FXCMAUDJPY</v>
      </c>
      <c r="B22" t="s">
        <v>36</v>
      </c>
      <c r="C22" t="s">
        <v>21</v>
      </c>
      <c r="D22" s="7">
        <v>90.2</v>
      </c>
      <c r="E22" s="7">
        <v>96.406000000000006</v>
      </c>
      <c r="F22" s="7">
        <v>93.302999999999997</v>
      </c>
      <c r="G22" s="7">
        <v>93.602000000000004</v>
      </c>
      <c r="H22" s="4"/>
      <c r="I22" s="13"/>
      <c r="J22" s="5"/>
      <c r="K22" s="5"/>
    </row>
    <row r="23" spans="1:11" hidden="1" x14ac:dyDescent="0.25">
      <c r="A23" t="str">
        <f>B23&amp;Table_Query_from_FXCM_Tiziana_3[[#All],[Symbol]]</f>
        <v>T-FXCMUSDCHF</v>
      </c>
      <c r="B23" t="s">
        <v>36</v>
      </c>
      <c r="C23" t="s">
        <v>20</v>
      </c>
      <c r="D23" s="3">
        <v>0.87099000000000004</v>
      </c>
      <c r="E23" s="3">
        <v>0.90300000000000002</v>
      </c>
      <c r="F23" s="3">
        <v>0.88699499999999998</v>
      </c>
      <c r="G23" s="3">
        <v>0.89195999999999998</v>
      </c>
      <c r="H23" s="4"/>
      <c r="I23" s="13"/>
      <c r="J23" s="5"/>
      <c r="K23" s="5"/>
    </row>
    <row r="24" spans="1:11" hidden="1" x14ac:dyDescent="0.25">
      <c r="A24" t="str">
        <f>B24&amp;Table_Query_from_Sara_Alpari[[#All],[Symbol]]</f>
        <v>S-AlpariAUDJPY</v>
      </c>
      <c r="B24" t="s">
        <v>37</v>
      </c>
      <c r="C24" t="s">
        <v>21</v>
      </c>
      <c r="D24" s="7">
        <v>91.4</v>
      </c>
      <c r="E24" s="7">
        <v>96.4</v>
      </c>
      <c r="F24" s="7">
        <v>93.9</v>
      </c>
      <c r="G24" s="7">
        <v>93.584999999999994</v>
      </c>
      <c r="H24" s="4"/>
      <c r="I24" s="13"/>
      <c r="J24" s="5"/>
      <c r="K24" s="5"/>
    </row>
    <row r="25" spans="1:11" hidden="1" x14ac:dyDescent="0.25">
      <c r="A25" t="str">
        <f>B25&amp;Table_Query_from_Sara_Alpari_1[[#All],[Symbol]]</f>
        <v>S-AlpariGBPNZD</v>
      </c>
      <c r="B25" t="s">
        <v>37</v>
      </c>
      <c r="C25" t="s">
        <v>15</v>
      </c>
      <c r="D25" s="3">
        <v>1.91</v>
      </c>
      <c r="E25" s="3">
        <v>1.974</v>
      </c>
      <c r="F25" s="3">
        <v>1.9419999999999999</v>
      </c>
      <c r="G25" s="3">
        <v>1.9642999999999999</v>
      </c>
      <c r="H25" s="4"/>
      <c r="I25" s="13"/>
      <c r="J25" s="5"/>
      <c r="K25" s="5"/>
    </row>
    <row r="26" spans="1:11" hidden="1" x14ac:dyDescent="0.25">
      <c r="A26" t="str">
        <f>B26&amp;Table_Query_from_Sara_Alpari_2[[#All],[Symbol]]</f>
        <v>S-AlpariUSDCHF</v>
      </c>
      <c r="B26" t="s">
        <v>37</v>
      </c>
      <c r="C26" t="s">
        <v>20</v>
      </c>
      <c r="D26" s="3">
        <v>0.871</v>
      </c>
      <c r="E26" s="3">
        <v>0.89507999999999999</v>
      </c>
      <c r="F26" s="3">
        <v>0.88304000000000005</v>
      </c>
      <c r="G26" s="3">
        <v>0.89193999999999996</v>
      </c>
      <c r="H26" s="4"/>
      <c r="I26" s="13"/>
      <c r="J26" s="5"/>
      <c r="K26" s="5"/>
    </row>
    <row r="27" spans="1:11" hidden="1" x14ac:dyDescent="0.25">
      <c r="A27" t="str">
        <f>B27&amp;Table_Query_from_IN_Alpari_1[[#All],[Symbol]]</f>
        <v>IN-AlpariEURUSD</v>
      </c>
      <c r="B27" t="s">
        <v>38</v>
      </c>
      <c r="C27" t="s">
        <v>10</v>
      </c>
      <c r="D27" s="3">
        <v>1.3669100000000001</v>
      </c>
      <c r="E27" s="3">
        <v>1.3970800000000001</v>
      </c>
      <c r="F27" s="3">
        <v>1.3819950000000001</v>
      </c>
      <c r="G27" s="3">
        <v>1.3698699999999999</v>
      </c>
      <c r="H27" s="4"/>
      <c r="I27" s="13"/>
      <c r="J27" s="5"/>
      <c r="K27" s="5"/>
    </row>
    <row r="28" spans="1:11" hidden="1" x14ac:dyDescent="0.25">
      <c r="A28" t="str">
        <f>B28&amp;Table_Query_from_IN_Alpari[[#All],[Symbol]]</f>
        <v>IN-AlpariAUDJPY</v>
      </c>
      <c r="B28" t="s">
        <v>38</v>
      </c>
      <c r="C28" t="s">
        <v>21</v>
      </c>
      <c r="D28" s="7">
        <v>93.6</v>
      </c>
      <c r="E28" s="7">
        <v>96</v>
      </c>
      <c r="F28" s="7">
        <v>94.8</v>
      </c>
      <c r="G28" s="7">
        <v>93.584999999999994</v>
      </c>
      <c r="H28" s="4"/>
      <c r="I28" s="13"/>
      <c r="J28" s="5"/>
      <c r="K28" s="5"/>
    </row>
    <row r="29" spans="1:11" hidden="1" x14ac:dyDescent="0.25">
      <c r="A29" t="str">
        <f>B29&amp;Table_Query_from_IN_Alpari_2[[#All],[Symbol]]</f>
        <v>IN-AlpariGBPNZD</v>
      </c>
      <c r="B29" t="s">
        <v>38</v>
      </c>
      <c r="C29" t="s">
        <v>15</v>
      </c>
      <c r="D29" s="3">
        <v>1.93</v>
      </c>
      <c r="E29" s="3">
        <v>1.97</v>
      </c>
      <c r="F29" s="3">
        <v>1.95</v>
      </c>
      <c r="G29" s="3">
        <v>1.9642999999999999</v>
      </c>
      <c r="H29" s="4"/>
      <c r="I29" s="13"/>
      <c r="J29" s="5"/>
      <c r="K29" s="5"/>
    </row>
    <row r="30" spans="1:11" hidden="1" x14ac:dyDescent="0.25">
      <c r="A30" t="str">
        <f>B30&amp;Table_Query_from_IN_Alpari_3[[#All],[Symbol]]</f>
        <v>IN-AlpariUSDJPY</v>
      </c>
      <c r="B30" t="s">
        <v>38</v>
      </c>
      <c r="C30" t="s">
        <v>13</v>
      </c>
      <c r="D30" s="7">
        <v>101.2</v>
      </c>
      <c r="E30" s="7">
        <v>103</v>
      </c>
      <c r="F30" s="7">
        <v>102.1</v>
      </c>
      <c r="G30" s="7">
        <v>101.29300000000001</v>
      </c>
      <c r="H30" s="4"/>
      <c r="I30" s="13"/>
      <c r="J30" s="5"/>
      <c r="K30" s="5"/>
    </row>
    <row r="31" spans="1:11" hidden="1" x14ac:dyDescent="0.25">
      <c r="A31" t="str">
        <f>B31&amp;Table_Query_from_Vittorio_Alpari_3[[#All],[Symbol]]</f>
        <v>V-AlpariUSDCHF</v>
      </c>
      <c r="B31" t="s">
        <v>39</v>
      </c>
      <c r="C31" t="s">
        <v>20</v>
      </c>
      <c r="D31" s="3">
        <v>0.87092000000000003</v>
      </c>
      <c r="E31" s="3">
        <v>0.89503999999999995</v>
      </c>
      <c r="F31" s="3">
        <v>0.88297999999999999</v>
      </c>
      <c r="G31" s="3">
        <v>0.89193999999999996</v>
      </c>
      <c r="H31" s="4"/>
      <c r="I31" s="13"/>
      <c r="J31" s="5"/>
      <c r="K31" s="5"/>
    </row>
    <row r="32" spans="1:11" hidden="1" x14ac:dyDescent="0.25">
      <c r="A32" t="str">
        <f>B32&amp;Table_Query_from_Vittorio_Alpari_2[[#All],[Symbol]]</f>
        <v>V-AlpariGBPNZD</v>
      </c>
      <c r="B32" t="s">
        <v>39</v>
      </c>
      <c r="C32" t="s">
        <v>15</v>
      </c>
      <c r="D32" s="3">
        <v>1.93</v>
      </c>
      <c r="E32" s="3">
        <v>1.974</v>
      </c>
      <c r="F32" s="3">
        <v>1.952</v>
      </c>
      <c r="G32" s="3">
        <v>1.9642999999999999</v>
      </c>
      <c r="H32" s="4"/>
      <c r="I32" s="13"/>
      <c r="J32" s="5"/>
      <c r="K32" s="5"/>
    </row>
    <row r="33" spans="1:11" hidden="1" x14ac:dyDescent="0.25">
      <c r="A33" t="str">
        <f>B33&amp;Table_Query_from_Vittorio_Alpari[[#All],[Symbol]]</f>
        <v>V-AlpariCADJPY</v>
      </c>
      <c r="B33" t="s">
        <v>39</v>
      </c>
      <c r="C33" t="s">
        <v>23</v>
      </c>
      <c r="D33" s="7">
        <v>92.4</v>
      </c>
      <c r="E33" s="7">
        <v>94</v>
      </c>
      <c r="F33" s="7">
        <v>93.2</v>
      </c>
      <c r="G33" s="7">
        <v>92.864999999999995</v>
      </c>
      <c r="H33" s="4"/>
      <c r="I33" s="13"/>
      <c r="J33" s="5"/>
      <c r="K33" s="5"/>
    </row>
    <row r="34" spans="1:11" hidden="1" x14ac:dyDescent="0.25">
      <c r="A34" t="str">
        <f>B34&amp;Table_Query_from_Vittorio_Alpari_1[[#All],[Symbol]]</f>
        <v>V-AlpariEURUSD</v>
      </c>
      <c r="B34" t="s">
        <v>39</v>
      </c>
      <c r="C34" t="s">
        <v>10</v>
      </c>
      <c r="D34" s="3">
        <v>1.3667</v>
      </c>
      <c r="E34" s="3">
        <v>1.397</v>
      </c>
      <c r="F34" s="3">
        <v>1.38185</v>
      </c>
      <c r="G34" s="3">
        <v>1.3698600000000001</v>
      </c>
      <c r="H34" s="4"/>
      <c r="I34" s="13"/>
      <c r="J34" s="5"/>
      <c r="K34" s="5"/>
    </row>
    <row r="35" spans="1:11" hidden="1" x14ac:dyDescent="0.25">
      <c r="A35" t="str">
        <f>B35&amp;Table_Query_from_Roberto_Alpari_1[[#All],[Symbol]]</f>
        <v>R-AlpariCADJPY</v>
      </c>
      <c r="B35" t="s">
        <v>40</v>
      </c>
      <c r="C35" t="s">
        <v>23</v>
      </c>
      <c r="D35" s="7">
        <v>90.8</v>
      </c>
      <c r="E35" s="7">
        <v>94.81</v>
      </c>
      <c r="F35" s="7">
        <v>92.805000000000007</v>
      </c>
      <c r="G35" s="7">
        <v>92.864999999999995</v>
      </c>
      <c r="H35" s="4"/>
      <c r="I35" s="13"/>
      <c r="J35" s="5"/>
      <c r="K35" s="5"/>
    </row>
    <row r="36" spans="1:11" hidden="1" x14ac:dyDescent="0.25">
      <c r="A36" t="str">
        <f>B36&amp;Table_Query_from_Roberto_Alpari[[#All],[Symbol]]</f>
        <v>R-AlpariAUDUSD</v>
      </c>
      <c r="B36" t="s">
        <v>40</v>
      </c>
      <c r="C36" t="s">
        <v>28</v>
      </c>
      <c r="D36" s="3">
        <v>0.89344999999999997</v>
      </c>
      <c r="E36" s="3">
        <v>0.94559000000000004</v>
      </c>
      <c r="F36" s="3">
        <v>0.91952</v>
      </c>
      <c r="G36" s="3">
        <v>0.92395000000000005</v>
      </c>
      <c r="H36" s="4"/>
      <c r="I36" s="13"/>
      <c r="J36" s="5"/>
      <c r="K36" s="5"/>
    </row>
    <row r="37" spans="1:11" hidden="1" x14ac:dyDescent="0.25">
      <c r="A37" t="str">
        <f>B37&amp;Table_Query_from_Roberto_Alpari_2[[#All],[Symbol]]</f>
        <v>R-AlpariEURGBP</v>
      </c>
      <c r="B37" t="s">
        <v>40</v>
      </c>
      <c r="C37" t="s">
        <v>17</v>
      </c>
      <c r="D37" s="3">
        <v>0.81200000000000006</v>
      </c>
      <c r="E37" s="3">
        <v>0.84</v>
      </c>
      <c r="F37" s="3">
        <v>0.82599999999999996</v>
      </c>
      <c r="G37" s="3">
        <v>0.81347000000000003</v>
      </c>
      <c r="H37" s="4"/>
      <c r="I37" s="13"/>
      <c r="J37" s="5"/>
      <c r="K37" s="5"/>
    </row>
    <row r="38" spans="1:11" hidden="1" x14ac:dyDescent="0.25">
      <c r="A38" t="str">
        <f>B38&amp;Table_Query_from_Mavi_Alpari[[#All],[Symbol]]</f>
        <v>M-AlpariAUDJPY</v>
      </c>
      <c r="B38" t="s">
        <v>41</v>
      </c>
      <c r="C38" t="s">
        <v>21</v>
      </c>
      <c r="D38" s="7">
        <v>90.2</v>
      </c>
      <c r="E38" s="7">
        <v>96.4</v>
      </c>
      <c r="F38" s="7">
        <v>93.3</v>
      </c>
      <c r="G38" s="7">
        <v>93.584999999999994</v>
      </c>
      <c r="H38" s="4"/>
      <c r="I38" s="13"/>
      <c r="J38" s="5"/>
      <c r="K38" s="5"/>
    </row>
    <row r="39" spans="1:11" hidden="1" x14ac:dyDescent="0.25">
      <c r="A39" t="str">
        <f>B39&amp;Table_Query_from_Mavi_Alpari_1[[#All],[Symbol]]</f>
        <v>M-AlpariEURUSD</v>
      </c>
      <c r="B39" t="s">
        <v>41</v>
      </c>
      <c r="C39" t="s">
        <v>10</v>
      </c>
      <c r="D39" s="3">
        <v>1.367</v>
      </c>
      <c r="E39" s="3">
        <v>1.397</v>
      </c>
      <c r="F39" s="3">
        <v>1.3819999999999999</v>
      </c>
      <c r="G39" s="3">
        <v>1.3698699999999999</v>
      </c>
      <c r="H39" s="4"/>
      <c r="I39" s="13"/>
      <c r="J39" s="5"/>
      <c r="K39" s="5"/>
    </row>
    <row r="40" spans="1:11" hidden="1" x14ac:dyDescent="0.25">
      <c r="A40" t="str">
        <f>B40&amp;Table_Query_from_Mavi_Alpari_2[[#All],[Symbol]]</f>
        <v>M-AlpariNZDUSD</v>
      </c>
      <c r="B40" t="s">
        <v>41</v>
      </c>
      <c r="C40" t="s">
        <v>11</v>
      </c>
      <c r="D40" s="3">
        <v>0.82750000000000001</v>
      </c>
      <c r="E40" s="3">
        <v>0.87749999999999995</v>
      </c>
      <c r="F40" s="3">
        <v>0.85250000000000004</v>
      </c>
      <c r="G40" s="3">
        <v>0.85663999999999996</v>
      </c>
      <c r="H40" s="4"/>
      <c r="I40" s="13"/>
      <c r="J40" s="5"/>
      <c r="K40" s="5"/>
    </row>
    <row r="41" spans="1:11" hidden="1" x14ac:dyDescent="0.25">
      <c r="D41" s="3"/>
      <c r="E41" s="3"/>
      <c r="F41" s="3"/>
      <c r="G41" s="3"/>
      <c r="H41" s="4"/>
      <c r="I41" s="13"/>
      <c r="J41" s="5"/>
      <c r="K41" s="5"/>
    </row>
    <row r="42" spans="1:11" hidden="1" x14ac:dyDescent="0.25">
      <c r="D42" s="3"/>
      <c r="E42" s="3"/>
      <c r="F42" s="3"/>
      <c r="G42" s="3"/>
      <c r="H42" s="4"/>
      <c r="I42" s="13"/>
      <c r="J42" s="5"/>
      <c r="K42" s="5"/>
    </row>
    <row r="43" spans="1:11" hidden="1" x14ac:dyDescent="0.25">
      <c r="D43" s="3"/>
      <c r="E43" s="3"/>
      <c r="F43" s="3"/>
      <c r="G43" s="3"/>
      <c r="H43" s="4"/>
      <c r="I43" s="13"/>
      <c r="J43" s="5"/>
      <c r="K43" s="5"/>
    </row>
    <row r="44" spans="1:11" hidden="1" x14ac:dyDescent="0.25">
      <c r="D44" s="3"/>
      <c r="E44" s="3"/>
      <c r="F44" s="3"/>
      <c r="G44" s="3"/>
      <c r="H44" s="4"/>
      <c r="I44" s="13"/>
      <c r="J44" s="5"/>
      <c r="K44" s="5"/>
    </row>
    <row r="45" spans="1:11" hidden="1" x14ac:dyDescent="0.25">
      <c r="D45" s="3"/>
      <c r="E45" s="3"/>
      <c r="F45" s="3"/>
      <c r="G45" s="3"/>
      <c r="H45" s="4"/>
      <c r="I45" s="13"/>
      <c r="J45" s="5"/>
      <c r="K45" s="5"/>
    </row>
    <row r="46" spans="1:11" hidden="1" x14ac:dyDescent="0.25">
      <c r="D46" s="3"/>
      <c r="E46" s="3"/>
      <c r="F46" s="3"/>
      <c r="G46" s="3"/>
      <c r="H46" s="4"/>
      <c r="I46" s="13"/>
      <c r="J46" s="5"/>
      <c r="K46" s="5"/>
    </row>
    <row r="47" spans="1:11" hidden="1" x14ac:dyDescent="0.25">
      <c r="D47" s="3"/>
      <c r="E47" s="3"/>
      <c r="F47" s="3"/>
      <c r="G47" s="3"/>
      <c r="H47" s="4"/>
      <c r="I47" s="13"/>
      <c r="J47" s="5"/>
      <c r="K47" s="5"/>
    </row>
    <row r="48" spans="1:11" hidden="1" x14ac:dyDescent="0.25">
      <c r="D48" s="3"/>
      <c r="E48" s="3"/>
      <c r="F48" s="3"/>
      <c r="G48" s="3"/>
      <c r="H48" s="4"/>
      <c r="I48" s="13"/>
      <c r="J48" s="5"/>
      <c r="K48" s="5"/>
    </row>
    <row r="49" spans="4:11" hidden="1" x14ac:dyDescent="0.25">
      <c r="D49" s="3"/>
      <c r="E49" s="3"/>
      <c r="F49" s="3"/>
      <c r="G49" s="3"/>
      <c r="H49" s="4"/>
      <c r="I49" s="13"/>
      <c r="J49" s="5"/>
      <c r="K49" s="5"/>
    </row>
    <row r="50" spans="4:11" hidden="1" x14ac:dyDescent="0.25">
      <c r="D50" s="3"/>
      <c r="E50" s="3"/>
      <c r="F50" s="3"/>
      <c r="G50" s="3"/>
      <c r="H50" s="4"/>
      <c r="I50" s="13"/>
      <c r="J50" s="5"/>
      <c r="K50" s="5"/>
    </row>
    <row r="51" spans="4:11" hidden="1" x14ac:dyDescent="0.25">
      <c r="D51" s="3"/>
      <c r="E51" s="3"/>
      <c r="F51" s="3"/>
      <c r="G51" s="3"/>
      <c r="H51" s="4"/>
      <c r="I51" s="13"/>
      <c r="J51" s="5"/>
      <c r="K51" s="5"/>
    </row>
    <row r="52" spans="4:11" hidden="1" x14ac:dyDescent="0.25">
      <c r="D52" s="3"/>
      <c r="E52" s="3"/>
      <c r="F52" s="3"/>
      <c r="G52" s="3"/>
      <c r="H52" s="4"/>
      <c r="I52" s="13"/>
      <c r="J52" s="5"/>
      <c r="K52" s="5"/>
    </row>
    <row r="53" spans="4:11" hidden="1" x14ac:dyDescent="0.25">
      <c r="D53" s="3"/>
      <c r="E53" s="3"/>
      <c r="F53" s="3"/>
      <c r="G53" s="3"/>
      <c r="H53" s="4"/>
      <c r="I53" s="13"/>
      <c r="J53" s="5"/>
      <c r="K53" s="5"/>
    </row>
    <row r="54" spans="4:11" hidden="1" x14ac:dyDescent="0.25">
      <c r="D54" s="3"/>
      <c r="E54" s="3"/>
      <c r="F54" s="3"/>
      <c r="G54" s="3"/>
      <c r="H54" s="4"/>
      <c r="I54" s="13"/>
      <c r="J54" s="5"/>
      <c r="K54" s="5"/>
    </row>
    <row r="55" spans="4:11" hidden="1" x14ac:dyDescent="0.25">
      <c r="D55" s="3"/>
      <c r="E55" s="3"/>
      <c r="F55" s="3"/>
      <c r="G55" s="3"/>
      <c r="H55" s="4"/>
      <c r="I55" s="13"/>
      <c r="J55" s="5"/>
      <c r="K55" s="5"/>
    </row>
    <row r="56" spans="4:11" hidden="1" x14ac:dyDescent="0.25">
      <c r="D56" s="3"/>
      <c r="E56" s="3"/>
      <c r="F56" s="3"/>
      <c r="G56" s="3"/>
      <c r="H56" s="4"/>
      <c r="I56" s="13"/>
      <c r="J56" s="5"/>
      <c r="K56" s="5"/>
    </row>
    <row r="57" spans="4:11" hidden="1" x14ac:dyDescent="0.25">
      <c r="D57" s="3"/>
      <c r="E57" s="3"/>
      <c r="F57" s="3"/>
      <c r="G57" s="3"/>
      <c r="H57" s="4"/>
      <c r="I57" s="13"/>
      <c r="J57" s="5"/>
      <c r="K57" s="5"/>
    </row>
    <row r="58" spans="4:11" hidden="1" x14ac:dyDescent="0.25">
      <c r="D58" s="3"/>
      <c r="E58" s="3"/>
      <c r="F58" s="3"/>
      <c r="G58" s="3"/>
      <c r="H58" s="4"/>
      <c r="I58" s="13"/>
      <c r="J58" s="5"/>
      <c r="K58" s="5"/>
    </row>
    <row r="59" spans="4:11" hidden="1" x14ac:dyDescent="0.25">
      <c r="D59" s="3"/>
      <c r="E59" s="3"/>
      <c r="F59" s="3"/>
      <c r="G59" s="3"/>
      <c r="H59" s="4"/>
      <c r="I59" s="13"/>
      <c r="J59" s="5"/>
      <c r="K59" s="5"/>
    </row>
    <row r="60" spans="4:11" hidden="1" x14ac:dyDescent="0.25">
      <c r="D60" s="3"/>
      <c r="E60" s="3"/>
      <c r="F60" s="3"/>
      <c r="G60" s="3"/>
      <c r="H60" s="4"/>
      <c r="I60" s="13"/>
      <c r="J60" s="5"/>
      <c r="K60" s="5"/>
    </row>
    <row r="61" spans="4:11" hidden="1" x14ac:dyDescent="0.25">
      <c r="D61" s="3"/>
      <c r="E61" s="3"/>
      <c r="F61" s="3"/>
      <c r="G61" s="3"/>
      <c r="H61" s="4"/>
      <c r="I61" s="13"/>
      <c r="J61" s="5"/>
      <c r="K61" s="5"/>
    </row>
    <row r="62" spans="4:11" hidden="1" x14ac:dyDescent="0.25">
      <c r="D62" s="3"/>
      <c r="E62" s="3"/>
      <c r="F62" s="3"/>
      <c r="G62" s="3"/>
      <c r="H62" s="4"/>
      <c r="I62" s="13"/>
      <c r="J62" s="5"/>
      <c r="K62" s="5"/>
    </row>
    <row r="63" spans="4:11" hidden="1" x14ac:dyDescent="0.25">
      <c r="D63" s="3"/>
      <c r="E63" s="3"/>
      <c r="F63" s="3"/>
      <c r="G63" s="3"/>
      <c r="H63" s="4"/>
      <c r="I63" s="13"/>
      <c r="J63" s="5"/>
      <c r="K63" s="5"/>
    </row>
    <row r="64" spans="4:11" hidden="1" x14ac:dyDescent="0.25">
      <c r="D64" s="3"/>
      <c r="E64" s="3"/>
      <c r="F64" s="3"/>
      <c r="G64" s="3"/>
      <c r="H64" s="4"/>
      <c r="I64" s="13"/>
      <c r="J64" s="5"/>
      <c r="K64" s="5"/>
    </row>
    <row r="65" spans="4:11" hidden="1" x14ac:dyDescent="0.25">
      <c r="D65" s="3"/>
      <c r="E65" s="3"/>
      <c r="F65" s="3"/>
      <c r="G65" s="3"/>
      <c r="H65" s="4"/>
      <c r="I65" s="13"/>
      <c r="J65" s="5"/>
      <c r="K65" s="5"/>
    </row>
    <row r="66" spans="4:11" hidden="1" x14ac:dyDescent="0.25">
      <c r="D66" s="3"/>
      <c r="E66" s="3"/>
      <c r="F66" s="3"/>
      <c r="G66" s="3"/>
      <c r="H66" s="4"/>
      <c r="I66" s="13"/>
      <c r="J66" s="5"/>
      <c r="K66" s="5"/>
    </row>
    <row r="67" spans="4:11" hidden="1" x14ac:dyDescent="0.25">
      <c r="D67" s="3"/>
      <c r="E67" s="3"/>
      <c r="F67" s="3"/>
      <c r="G67" s="3"/>
      <c r="H67" s="4"/>
      <c r="I67" s="13"/>
      <c r="J67" s="5"/>
      <c r="K67" s="5"/>
    </row>
    <row r="68" spans="4:11" hidden="1" x14ac:dyDescent="0.25">
      <c r="D68" s="3"/>
      <c r="E68" s="3"/>
      <c r="F68" s="3"/>
      <c r="G68" s="3"/>
      <c r="H68" s="4"/>
      <c r="I68" s="13"/>
      <c r="J68" s="5"/>
      <c r="K68" s="5"/>
    </row>
    <row r="69" spans="4:11" hidden="1" x14ac:dyDescent="0.25">
      <c r="D69" s="3"/>
      <c r="E69" s="3"/>
      <c r="F69" s="3"/>
      <c r="G69" s="3"/>
      <c r="H69" s="4"/>
      <c r="I69" s="13"/>
      <c r="J69" s="5"/>
      <c r="K69" s="5"/>
    </row>
    <row r="70" spans="4:11" hidden="1" x14ac:dyDescent="0.25">
      <c r="D70" s="3"/>
      <c r="E70" s="3"/>
      <c r="F70" s="3"/>
      <c r="G70" s="3"/>
      <c r="H70" s="4"/>
      <c r="I70" s="13"/>
      <c r="J70" s="5"/>
      <c r="K70" s="5"/>
    </row>
    <row r="71" spans="4:11" hidden="1" x14ac:dyDescent="0.25">
      <c r="D71" s="3"/>
      <c r="E71" s="3"/>
      <c r="F71" s="3"/>
      <c r="G71" s="3"/>
      <c r="H71" s="4"/>
      <c r="I71" s="13"/>
      <c r="J71" s="5"/>
      <c r="K71" s="5"/>
    </row>
    <row r="72" spans="4:11" hidden="1" x14ac:dyDescent="0.25">
      <c r="D72" s="3"/>
      <c r="E72" s="3"/>
      <c r="F72" s="3"/>
      <c r="G72" s="3"/>
      <c r="H72" s="4"/>
      <c r="I72" s="13"/>
      <c r="J72" s="5"/>
      <c r="K72" s="5"/>
    </row>
    <row r="73" spans="4:11" hidden="1" x14ac:dyDescent="0.25">
      <c r="D73" s="3"/>
      <c r="E73" s="3"/>
      <c r="F73" s="3"/>
      <c r="G73" s="3"/>
      <c r="H73" s="4"/>
      <c r="I73" s="13"/>
      <c r="J73" s="5"/>
      <c r="K73" s="5"/>
    </row>
    <row r="74" spans="4:11" hidden="1" x14ac:dyDescent="0.25">
      <c r="D74" s="3"/>
      <c r="E74" s="3"/>
      <c r="F74" s="3"/>
      <c r="G74" s="3"/>
      <c r="H74" s="4"/>
      <c r="I74" s="13"/>
      <c r="J74" s="5"/>
      <c r="K74" s="5"/>
    </row>
    <row r="75" spans="4:11" hidden="1" x14ac:dyDescent="0.25">
      <c r="D75" s="3"/>
      <c r="E75" s="3"/>
      <c r="F75" s="3"/>
      <c r="G75" s="3"/>
      <c r="H75" s="4"/>
      <c r="I75" s="13"/>
      <c r="J75" s="5"/>
      <c r="K75" s="5"/>
    </row>
    <row r="76" spans="4:11" hidden="1" x14ac:dyDescent="0.25">
      <c r="D76" s="3"/>
      <c r="E76" s="3"/>
      <c r="F76" s="3"/>
      <c r="G76" s="3"/>
      <c r="H76" s="4"/>
      <c r="I76" s="13"/>
      <c r="J76" s="5"/>
      <c r="K76" s="5"/>
    </row>
    <row r="77" spans="4:11" hidden="1" x14ac:dyDescent="0.25">
      <c r="D77" s="3"/>
      <c r="E77" s="3"/>
      <c r="F77" s="3"/>
      <c r="G77" s="3"/>
      <c r="H77" s="4"/>
      <c r="I77" s="13"/>
      <c r="J77" s="5"/>
      <c r="K77" s="5"/>
    </row>
    <row r="78" spans="4:11" hidden="1" x14ac:dyDescent="0.25">
      <c r="D78" s="3"/>
      <c r="E78" s="3"/>
      <c r="F78" s="3"/>
      <c r="G78" s="3"/>
      <c r="H78" s="4"/>
      <c r="I78" s="13"/>
      <c r="J78" s="5"/>
      <c r="K78" s="5"/>
    </row>
    <row r="79" spans="4:11" hidden="1" x14ac:dyDescent="0.25">
      <c r="D79" s="3"/>
      <c r="E79" s="3"/>
      <c r="F79" s="3"/>
      <c r="G79" s="3"/>
      <c r="H79" s="4"/>
      <c r="I79" s="13"/>
      <c r="J79" s="5"/>
      <c r="K79" s="5"/>
    </row>
    <row r="80" spans="4:11" hidden="1" x14ac:dyDescent="0.25">
      <c r="D80" s="3"/>
      <c r="E80" s="3"/>
      <c r="F80" s="3"/>
      <c r="G80" s="3"/>
      <c r="H80" s="4"/>
      <c r="I80" s="13"/>
      <c r="J80" s="5"/>
      <c r="K80" s="5"/>
    </row>
    <row r="81" spans="4:11" hidden="1" x14ac:dyDescent="0.25">
      <c r="D81" s="3"/>
      <c r="E81" s="3"/>
      <c r="F81" s="3"/>
      <c r="G81" s="3"/>
      <c r="H81" s="4"/>
      <c r="I81" s="13"/>
      <c r="J81" s="5"/>
      <c r="K81" s="5"/>
    </row>
    <row r="82" spans="4:11" hidden="1" x14ac:dyDescent="0.25">
      <c r="D82" s="3"/>
      <c r="E82" s="3"/>
      <c r="F82" s="3"/>
      <c r="G82" s="3"/>
      <c r="H82" s="4"/>
      <c r="I82" s="13"/>
      <c r="J82" s="5"/>
      <c r="K82" s="5"/>
    </row>
    <row r="83" spans="4:11" hidden="1" x14ac:dyDescent="0.25">
      <c r="D83" s="3"/>
      <c r="E83" s="3"/>
      <c r="F83" s="3"/>
      <c r="G83" s="3"/>
      <c r="H83" s="4"/>
      <c r="I83" s="13"/>
      <c r="J83" s="5"/>
      <c r="K83" s="5"/>
    </row>
    <row r="84" spans="4:11" hidden="1" x14ac:dyDescent="0.25">
      <c r="D84" s="3"/>
      <c r="E84" s="3"/>
      <c r="F84" s="3"/>
      <c r="G84" s="3"/>
      <c r="H84" s="4"/>
      <c r="I84" s="13"/>
      <c r="J84" s="5"/>
      <c r="K84" s="5"/>
    </row>
    <row r="85" spans="4:11" hidden="1" x14ac:dyDescent="0.25">
      <c r="D85" s="3"/>
      <c r="E85" s="3"/>
      <c r="F85" s="3"/>
      <c r="G85" s="3"/>
      <c r="H85" s="4"/>
      <c r="I85" s="13"/>
      <c r="J85" s="5"/>
      <c r="K85" s="5"/>
    </row>
    <row r="86" spans="4:11" hidden="1" x14ac:dyDescent="0.25">
      <c r="D86" s="3"/>
      <c r="E86" s="3"/>
      <c r="F86" s="3"/>
      <c r="G86" s="3"/>
      <c r="H86" s="4"/>
      <c r="I86" s="13"/>
      <c r="J86" s="5"/>
      <c r="K86" s="5"/>
    </row>
    <row r="87" spans="4:11" hidden="1" x14ac:dyDescent="0.25">
      <c r="D87" s="3"/>
      <c r="E87" s="3"/>
      <c r="F87" s="3"/>
      <c r="G87" s="3"/>
      <c r="H87" s="4"/>
      <c r="I87" s="13"/>
      <c r="J87" s="5"/>
      <c r="K87" s="5"/>
    </row>
    <row r="88" spans="4:11" hidden="1" x14ac:dyDescent="0.25">
      <c r="D88" s="3"/>
      <c r="E88" s="3"/>
      <c r="F88" s="3"/>
      <c r="G88" s="3"/>
      <c r="H88" s="4"/>
      <c r="I88" s="13"/>
      <c r="J88" s="5"/>
      <c r="K88" s="5"/>
    </row>
    <row r="89" spans="4:11" hidden="1" x14ac:dyDescent="0.25">
      <c r="D89" s="3"/>
      <c r="E89" s="3"/>
      <c r="F89" s="3"/>
      <c r="G89" s="3"/>
      <c r="H89" s="4"/>
      <c r="I89" s="13"/>
      <c r="J89" s="5"/>
      <c r="K89" s="5"/>
    </row>
    <row r="90" spans="4:11" hidden="1" x14ac:dyDescent="0.25">
      <c r="D90" s="3"/>
      <c r="E90" s="3"/>
      <c r="F90" s="3"/>
      <c r="G90" s="3"/>
      <c r="H90" s="4"/>
      <c r="I90" s="13"/>
      <c r="J90" s="5"/>
      <c r="K90" s="5"/>
    </row>
    <row r="91" spans="4:11" hidden="1" x14ac:dyDescent="0.25">
      <c r="D91" s="3"/>
      <c r="E91" s="3"/>
      <c r="F91" s="3"/>
      <c r="G91" s="3"/>
      <c r="H91" s="4"/>
      <c r="I91" s="13"/>
      <c r="J91" s="5"/>
      <c r="K91" s="5"/>
    </row>
    <row r="92" spans="4:11" hidden="1" x14ac:dyDescent="0.25">
      <c r="D92" s="3"/>
      <c r="E92" s="3"/>
      <c r="F92" s="3"/>
      <c r="G92" s="3"/>
      <c r="H92" s="4"/>
      <c r="I92" s="13"/>
      <c r="J92" s="5"/>
      <c r="K92" s="5"/>
    </row>
    <row r="93" spans="4:11" hidden="1" x14ac:dyDescent="0.25">
      <c r="D93" s="3"/>
      <c r="E93" s="3"/>
      <c r="F93" s="3"/>
      <c r="G93" s="3"/>
      <c r="H93" s="4"/>
      <c r="I93" s="13"/>
      <c r="J93" s="5"/>
      <c r="K93" s="5"/>
    </row>
    <row r="94" spans="4:11" hidden="1" x14ac:dyDescent="0.25">
      <c r="D94" s="3"/>
      <c r="E94" s="3"/>
      <c r="F94" s="3"/>
      <c r="G94" s="3"/>
      <c r="H94" s="4"/>
      <c r="I94" s="13"/>
      <c r="J94" s="5"/>
      <c r="K94" s="5"/>
    </row>
    <row r="95" spans="4:11" hidden="1" x14ac:dyDescent="0.25">
      <c r="D95" s="3"/>
      <c r="E95" s="3"/>
      <c r="F95" s="3"/>
      <c r="G95" s="3"/>
      <c r="H95" s="4"/>
      <c r="I95" s="13"/>
      <c r="J95" s="5"/>
      <c r="K95" s="5"/>
    </row>
    <row r="96" spans="4:11" hidden="1" x14ac:dyDescent="0.25">
      <c r="D96" s="3"/>
      <c r="E96" s="3"/>
      <c r="F96" s="3"/>
      <c r="G96" s="3"/>
      <c r="H96" s="4"/>
      <c r="I96" s="13"/>
      <c r="J96" s="5"/>
      <c r="K96" s="5"/>
    </row>
    <row r="97" spans="1:16" hidden="1" x14ac:dyDescent="0.25">
      <c r="D97" s="3"/>
      <c r="E97" s="3"/>
      <c r="F97" s="3"/>
      <c r="G97" s="3"/>
      <c r="H97" s="4"/>
      <c r="I97" s="13"/>
      <c r="J97" s="5"/>
      <c r="K97" s="5"/>
    </row>
    <row r="98" spans="1:16" hidden="1" x14ac:dyDescent="0.25">
      <c r="D98" s="3"/>
      <c r="E98" s="3"/>
      <c r="F98" s="3"/>
      <c r="G98" s="3"/>
      <c r="H98" s="4"/>
      <c r="I98" s="13"/>
      <c r="J98" s="5"/>
      <c r="K98" s="5"/>
    </row>
    <row r="99" spans="1:16" hidden="1" x14ac:dyDescent="0.25">
      <c r="D99" s="3"/>
      <c r="E99" s="3"/>
      <c r="F99" s="3"/>
      <c r="G99" s="3"/>
      <c r="H99" s="4"/>
      <c r="I99" s="13"/>
      <c r="J99" s="5"/>
      <c r="K99" s="5"/>
    </row>
    <row r="100" spans="1:16" hidden="1" x14ac:dyDescent="0.25">
      <c r="D100" s="3"/>
      <c r="E100" s="3"/>
      <c r="F100" s="3"/>
      <c r="G100" s="3"/>
      <c r="H100" s="4"/>
      <c r="I100" s="13"/>
      <c r="J100" s="5"/>
      <c r="K100" s="5"/>
    </row>
    <row r="101" spans="1:16" s="2" customFormat="1" ht="35.25" customHeight="1" x14ac:dyDescent="0.25">
      <c r="B101" s="10" t="s">
        <v>50</v>
      </c>
      <c r="C101" s="1" t="s">
        <v>5</v>
      </c>
      <c r="D101" s="1" t="s">
        <v>44</v>
      </c>
      <c r="E101" s="1" t="s">
        <v>43</v>
      </c>
      <c r="F101" s="1" t="s">
        <v>42</v>
      </c>
      <c r="G101" s="1" t="s">
        <v>45</v>
      </c>
      <c r="H101" s="1" t="s">
        <v>46</v>
      </c>
      <c r="I101" s="14" t="s">
        <v>47</v>
      </c>
      <c r="J101" s="1" t="s">
        <v>48</v>
      </c>
      <c r="K101" s="1" t="s">
        <v>49</v>
      </c>
      <c r="L101" s="1" t="s">
        <v>0</v>
      </c>
      <c r="M101" s="1" t="s">
        <v>1</v>
      </c>
      <c r="N101" s="1" t="s">
        <v>2</v>
      </c>
      <c r="O101" s="1" t="s">
        <v>3</v>
      </c>
      <c r="P101" s="12" t="s">
        <v>4</v>
      </c>
    </row>
    <row r="102" spans="1:16" x14ac:dyDescent="0.25">
      <c r="A102" t="str">
        <f t="shared" ref="A102:A141" ca="1" si="0">B102&amp;C102</f>
        <v>A-AlpariGBPNZD</v>
      </c>
      <c r="B102" t="str">
        <f t="shared" ref="B102:C107" ca="1" si="1">CELL("contents",B4)</f>
        <v>A-Alpari</v>
      </c>
      <c r="C102" t="str">
        <f t="shared" ca="1" si="1"/>
        <v>GBPNZD</v>
      </c>
      <c r="D102" s="3">
        <f t="shared" ref="D102:D141" ca="1" si="2">VLOOKUP($A102,$A$1:$G$100,4,FALSE)</f>
        <v>1.91</v>
      </c>
      <c r="E102" s="3">
        <f t="shared" ref="E102:E141" ca="1" si="3">VLOOKUP($A102,$A$1:$G$100,5,FALSE)</f>
        <v>1.998</v>
      </c>
      <c r="F102" s="3">
        <f t="shared" ref="F102:F141" ca="1" si="4">VLOOKUP($A102,$A$1:$G$100,6,FALSE)</f>
        <v>1.954</v>
      </c>
      <c r="G102" s="3">
        <f t="shared" ref="G102:G141" ca="1" si="5">VLOOKUP($A102,$A$1:$G$100,7,FALSE)</f>
        <v>1.9642999999999999</v>
      </c>
      <c r="H102" s="4">
        <f t="shared" ref="H102:H141" ca="1" si="6">2*MIN((G102-D102)/(E102-D102),1-(G102-D102)/(E102-D102))</f>
        <v>0.76590909090909176</v>
      </c>
      <c r="I102" s="13">
        <f ca="1">(E102-D102)*10000/VLOOKUP(C102,Pairs!$A$2:$G$20,5,FALSE)</f>
        <v>880.0000000000008</v>
      </c>
      <c r="J102" s="5">
        <f ca="1">VLOOKUP(C102,Pairs!$A$2:$B$20,2,FALSE)</f>
        <v>40</v>
      </c>
      <c r="K102" s="5">
        <f ca="1">(E102-D102)*10000/VLOOKUP(C102,Pairs!$A$2:$G$20,5,FALSE)/J102+1</f>
        <v>23.000000000000021</v>
      </c>
      <c r="L102" s="11">
        <f>[2]Balancing!I3</f>
        <v>-8202.090000000002</v>
      </c>
      <c r="M102" s="11">
        <f>[2]Balancing!J3</f>
        <v>10373.730000000005</v>
      </c>
      <c r="N102" s="11">
        <f>[2]Balancing!K3</f>
        <v>28571.428571428572</v>
      </c>
      <c r="O102" s="11">
        <f>[2]Balancing!L3</f>
        <v>2171.6400000000031</v>
      </c>
      <c r="P102" s="6">
        <f t="shared" ref="P102:P138" si="7">+O102/N102</f>
        <v>7.60074000000001E-2</v>
      </c>
    </row>
    <row r="103" spans="1:16" x14ac:dyDescent="0.25">
      <c r="A103" t="str">
        <f t="shared" ca="1" si="0"/>
        <v>A-AlpariAUDUSD</v>
      </c>
      <c r="B103" t="str">
        <f t="shared" ca="1" si="1"/>
        <v>A-Alpari</v>
      </c>
      <c r="C103" t="str">
        <f t="shared" ca="1" si="1"/>
        <v>AUDUSD</v>
      </c>
      <c r="D103" s="3">
        <f t="shared" ca="1" si="2"/>
        <v>0.89127000000000001</v>
      </c>
      <c r="E103" s="3">
        <f t="shared" ca="1" si="3"/>
        <v>0.94559000000000004</v>
      </c>
      <c r="F103" s="3">
        <f t="shared" ca="1" si="4"/>
        <v>0.91842999999999997</v>
      </c>
      <c r="G103" s="3">
        <f t="shared" ca="1" si="5"/>
        <v>0.92395000000000005</v>
      </c>
      <c r="H103" s="4">
        <f t="shared" ca="1" si="6"/>
        <v>0.79675994108983716</v>
      </c>
      <c r="I103" s="13">
        <f ca="1">(E103-D103)*10000/VLOOKUP(C103,Pairs!$A$2:$G$20,5,FALSE)</f>
        <v>543.20000000000039</v>
      </c>
      <c r="J103" s="5">
        <f ca="1">VLOOKUP(C103,Pairs!$A$2:$B$20,2,FALSE)</f>
        <v>20</v>
      </c>
      <c r="K103" s="5">
        <f ca="1">(E103-D103)*10000/VLOOKUP(C103,Pairs!$A$2:$G$20,5,FALSE)/J103+1</f>
        <v>28.160000000000018</v>
      </c>
      <c r="L103" s="11">
        <f>[2]Balancing!I4</f>
        <v>-4438.5200000000013</v>
      </c>
      <c r="M103" s="11">
        <f>[2]Balancing!J4</f>
        <v>2734.5499999999984</v>
      </c>
      <c r="N103" s="11">
        <f>[2]Balancing!K4</f>
        <v>14285.714285714286</v>
      </c>
      <c r="O103" s="11">
        <f>[2]Balancing!L4</f>
        <v>-1703.970000000003</v>
      </c>
      <c r="P103" s="6">
        <f t="shared" si="7"/>
        <v>-0.1192779000000002</v>
      </c>
    </row>
    <row r="104" spans="1:16" x14ac:dyDescent="0.25">
      <c r="A104" t="str">
        <f t="shared" ca="1" si="0"/>
        <v>A-AlpariEURGBP</v>
      </c>
      <c r="B104" t="str">
        <f t="shared" ca="1" si="1"/>
        <v>A-Alpari</v>
      </c>
      <c r="C104" t="str">
        <f t="shared" ca="1" si="1"/>
        <v>EURGBP</v>
      </c>
      <c r="D104" s="3">
        <f t="shared" ca="1" si="2"/>
        <v>0.81200000000000006</v>
      </c>
      <c r="E104" s="3">
        <f t="shared" ca="1" si="3"/>
        <v>0.84</v>
      </c>
      <c r="F104" s="3">
        <f t="shared" ca="1" si="4"/>
        <v>0.82599999999999996</v>
      </c>
      <c r="G104" s="3">
        <f t="shared" ca="1" si="5"/>
        <v>0.81349000000000005</v>
      </c>
      <c r="H104" s="4">
        <f t="shared" ca="1" si="6"/>
        <v>0.10642857142857114</v>
      </c>
      <c r="I104" s="13">
        <f ca="1">(E104-D104)*10000/VLOOKUP(C104,Pairs!$A$2:$G$20,5,FALSE)</f>
        <v>279.99999999999915</v>
      </c>
      <c r="J104" s="5">
        <f ca="1">VLOOKUP(C104,Pairs!$A$2:$B$20,2,FALSE)</f>
        <v>20</v>
      </c>
      <c r="K104" s="5">
        <f ca="1">(E104-D104)*10000/VLOOKUP(C104,Pairs!$A$2:$G$20,5,FALSE)/J104+1</f>
        <v>14.999999999999957</v>
      </c>
      <c r="L104" s="11">
        <f>[2]Balancing!I5</f>
        <v>-3847.63</v>
      </c>
      <c r="M104" s="11">
        <f>[2]Balancing!J5</f>
        <v>2895.2000000000003</v>
      </c>
      <c r="N104" s="11">
        <f>[2]Balancing!K5</f>
        <v>28571.428571428572</v>
      </c>
      <c r="O104" s="11">
        <f>[2]Balancing!L5</f>
        <v>-952.42999999999984</v>
      </c>
      <c r="P104" s="6">
        <f t="shared" si="7"/>
        <v>-3.3335049999999991E-2</v>
      </c>
    </row>
    <row r="105" spans="1:16" x14ac:dyDescent="0.25">
      <c r="A105" t="str">
        <f t="shared" ca="1" si="0"/>
        <v>G-Alpari2EURAUD</v>
      </c>
      <c r="B105" t="str">
        <f t="shared" ca="1" si="1"/>
        <v>G-Alpari2</v>
      </c>
      <c r="C105" t="str">
        <f t="shared" ca="1" si="1"/>
        <v>EURAUD</v>
      </c>
      <c r="D105" s="3">
        <f t="shared" ca="1" si="2"/>
        <v>1.456</v>
      </c>
      <c r="E105" s="3">
        <f t="shared" ca="1" si="3"/>
        <v>1.554</v>
      </c>
      <c r="F105" s="3">
        <f t="shared" ca="1" si="4"/>
        <v>1.5049999999999999</v>
      </c>
      <c r="G105" s="3">
        <f t="shared" ca="1" si="5"/>
        <v>1.48207</v>
      </c>
      <c r="H105" s="4">
        <f t="shared" ca="1" si="6"/>
        <v>0.53204081632653089</v>
      </c>
      <c r="I105" s="13">
        <f ca="1">(E105-D105)*10000/VLOOKUP(C105,Pairs!$A$2:$G$20,5,FALSE)</f>
        <v>980.00000000000091</v>
      </c>
      <c r="J105" s="5">
        <f ca="1">VLOOKUP(C105,Pairs!$A$2:$B$20,2,FALSE)</f>
        <v>20</v>
      </c>
      <c r="K105" s="5">
        <f ca="1">(E105-D105)*10000/VLOOKUP(C105,Pairs!$A$2:$G$20,5,FALSE)/J105+1</f>
        <v>50.000000000000043</v>
      </c>
      <c r="L105" s="11">
        <f>[3]Balancing!I2</f>
        <v>-28210.979999999996</v>
      </c>
      <c r="M105" s="11">
        <f>[3]Balancing!J2</f>
        <v>10561.050000000016</v>
      </c>
      <c r="N105" s="11">
        <f>[3]Balancing!K2</f>
        <v>25000</v>
      </c>
      <c r="O105" s="11">
        <f>[3]Balancing!L2</f>
        <v>-17649.929999999978</v>
      </c>
      <c r="P105" s="6">
        <f t="shared" si="7"/>
        <v>-0.7059971999999991</v>
      </c>
    </row>
    <row r="106" spans="1:16" x14ac:dyDescent="0.25">
      <c r="A106" t="str">
        <f t="shared" ca="1" si="0"/>
        <v>G-Alpari2XAUUSD</v>
      </c>
      <c r="B106" t="str">
        <f t="shared" ca="1" si="1"/>
        <v>G-Alpari2</v>
      </c>
      <c r="C106" t="str">
        <f t="shared" ca="1" si="1"/>
        <v>XAUUSD</v>
      </c>
      <c r="D106" s="9">
        <f t="shared" ca="1" si="2"/>
        <v>1270</v>
      </c>
      <c r="E106" s="9">
        <f t="shared" ca="1" si="3"/>
        <v>1390</v>
      </c>
      <c r="F106" s="9">
        <f t="shared" ca="1" si="4"/>
        <v>1330</v>
      </c>
      <c r="G106" s="9">
        <f t="shared" ca="1" si="5"/>
        <v>1294.2750000000001</v>
      </c>
      <c r="H106" s="4">
        <f t="shared" ca="1" si="6"/>
        <v>0.40458333333333485</v>
      </c>
      <c r="I106" s="13" t="e">
        <f ca="1">(E106-D106)*10000/VLOOKUP(C106,Pairs!$A$2:$G$20,5,FALSE)</f>
        <v>#DIV/0!</v>
      </c>
      <c r="J106" s="5">
        <f ca="1">VLOOKUP(C106,Pairs!$A$2:$B$20,2,FALSE)</f>
        <v>50</v>
      </c>
      <c r="K106" s="5" t="e">
        <f ca="1">(E106-D106)*10000/VLOOKUP(C106,Pairs!$A$2:$G$20,5,FALSE)/J106+1</f>
        <v>#DIV/0!</v>
      </c>
      <c r="L106" s="11">
        <f>[3]Balancing!I3</f>
        <v>-17077.709999999995</v>
      </c>
      <c r="M106" s="11">
        <f>[3]Balancing!J3</f>
        <v>12849.92</v>
      </c>
      <c r="N106" s="11">
        <f>[3]Balancing!K3</f>
        <v>25000</v>
      </c>
      <c r="O106" s="11">
        <f>[3]Balancing!L3</f>
        <v>-4227.7899999999954</v>
      </c>
      <c r="P106" s="6">
        <f t="shared" si="7"/>
        <v>-0.16911159999999981</v>
      </c>
    </row>
    <row r="107" spans="1:16" x14ac:dyDescent="0.25">
      <c r="A107" t="str">
        <f t="shared" ca="1" si="0"/>
        <v>G-Alpari2GBPNZD</v>
      </c>
      <c r="B107" t="str">
        <f t="shared" ca="1" si="1"/>
        <v>G-Alpari2</v>
      </c>
      <c r="C107" t="str">
        <f t="shared" ca="1" si="1"/>
        <v>GBPNZD</v>
      </c>
      <c r="D107" s="3">
        <f t="shared" ca="1" si="2"/>
        <v>1.91</v>
      </c>
      <c r="E107" s="3">
        <f t="shared" ca="1" si="3"/>
        <v>1.974</v>
      </c>
      <c r="F107" s="3">
        <f t="shared" ca="1" si="4"/>
        <v>1.9419999999999999</v>
      </c>
      <c r="G107" s="3">
        <f t="shared" ca="1" si="5"/>
        <v>1.9642999999999999</v>
      </c>
      <c r="H107" s="4">
        <f t="shared" ca="1" si="6"/>
        <v>0.30312500000000098</v>
      </c>
      <c r="I107" s="13">
        <f ca="1">(E107-D107)*10000/VLOOKUP(C107,Pairs!$A$2:$G$20,5,FALSE)</f>
        <v>640.00000000000057</v>
      </c>
      <c r="J107" s="5">
        <f ca="1">VLOOKUP(C107,Pairs!$A$2:$B$20,2,FALSE)</f>
        <v>40</v>
      </c>
      <c r="K107" s="5">
        <f ca="1">(E107-D107)*10000/VLOOKUP(C107,Pairs!$A$2:$G$20,5,FALSE)/J107+1</f>
        <v>17.000000000000014</v>
      </c>
      <c r="L107" s="11">
        <f>[3]Balancing!I4</f>
        <v>-4162.42</v>
      </c>
      <c r="M107" s="11">
        <f>[3]Balancing!J4</f>
        <v>9054.2400000000034</v>
      </c>
      <c r="N107" s="11">
        <f>[3]Balancing!K4</f>
        <v>25000</v>
      </c>
      <c r="O107" s="11">
        <f>[3]Balancing!L4</f>
        <v>4891.8200000000033</v>
      </c>
      <c r="P107" s="6">
        <f t="shared" si="7"/>
        <v>0.19567280000000015</v>
      </c>
    </row>
    <row r="108" spans="1:16" x14ac:dyDescent="0.25">
      <c r="A108" t="str">
        <f t="shared" ca="1" si="0"/>
        <v>G-AlpariGBPNZD</v>
      </c>
      <c r="B108" t="str">
        <f ca="1">CELL("contents",B1)</f>
        <v>G-Alpari</v>
      </c>
      <c r="C108" t="str">
        <f ca="1">CELL("contents",C1)</f>
        <v>GBPNZD</v>
      </c>
      <c r="D108" s="3">
        <f t="shared" ca="1" si="2"/>
        <v>1.88683</v>
      </c>
      <c r="E108" s="3">
        <f t="shared" ca="1" si="3"/>
        <v>2.0430000000000001</v>
      </c>
      <c r="F108" s="3">
        <f t="shared" ca="1" si="4"/>
        <v>1.964915</v>
      </c>
      <c r="G108" s="3">
        <f t="shared" ca="1" si="5"/>
        <v>1.9642999999999999</v>
      </c>
      <c r="H108" s="4">
        <f t="shared" ca="1" si="6"/>
        <v>0.99212396747134346</v>
      </c>
      <c r="I108" s="13">
        <f ca="1">(E108-D108)*10000/VLOOKUP(C108,Pairs!$A$2:$G$20,5,FALSE)</f>
        <v>1561.7000000000014</v>
      </c>
      <c r="J108" s="5">
        <f ca="1">VLOOKUP(C108,Pairs!$A$2:$B$20,2,FALSE)</f>
        <v>40</v>
      </c>
      <c r="K108" s="5">
        <f ca="1">(E108-D108)*10000/VLOOKUP(C108,Pairs!$A$2:$G$20,5,FALSE)/J108+1</f>
        <v>40.042500000000032</v>
      </c>
      <c r="L108" s="11">
        <f>[4]Balancing!I2</f>
        <v>-14657.22</v>
      </c>
      <c r="M108" s="11">
        <f>[4]Balancing!J2</f>
        <v>31439.599999999969</v>
      </c>
      <c r="N108" s="11">
        <f>[4]Balancing!K2</f>
        <v>15000</v>
      </c>
      <c r="O108" s="11">
        <f>[4]Balancing!L2</f>
        <v>20000</v>
      </c>
      <c r="P108" s="6">
        <f t="shared" si="7"/>
        <v>1.3333333333333333</v>
      </c>
    </row>
    <row r="109" spans="1:16" x14ac:dyDescent="0.25">
      <c r="A109" t="str">
        <f t="shared" ca="1" si="0"/>
        <v>G-AlpariUSDCHF</v>
      </c>
      <c r="B109" t="str">
        <f ca="1">CELL("contents",B2)</f>
        <v>G-Alpari</v>
      </c>
      <c r="C109" t="str">
        <f ca="1">CELL("contents",C2)</f>
        <v>USDCHF</v>
      </c>
      <c r="D109" s="3">
        <f t="shared" ca="1" si="2"/>
        <v>0.871</v>
      </c>
      <c r="E109" s="3">
        <f t="shared" ca="1" si="3"/>
        <v>0.92505999999999999</v>
      </c>
      <c r="F109" s="3">
        <f t="shared" ca="1" si="4"/>
        <v>0.89802999999999999</v>
      </c>
      <c r="G109" s="3">
        <f t="shared" ca="1" si="5"/>
        <v>0.89193999999999996</v>
      </c>
      <c r="H109" s="4">
        <f t="shared" ca="1" si="6"/>
        <v>0.77469478357380539</v>
      </c>
      <c r="I109" s="13">
        <f ca="1">(E109-D109)*10000/VLOOKUP(C109,Pairs!$A$2:$G$20,5,FALSE)</f>
        <v>540.6</v>
      </c>
      <c r="J109" s="5">
        <f ca="1">VLOOKUP(C109,Pairs!$A$2:$B$20,2,FALSE)</f>
        <v>20</v>
      </c>
      <c r="K109" s="5">
        <f ca="1">(E109-D109)*10000/VLOOKUP(C109,Pairs!$A$2:$G$20,5,FALSE)/J109+1</f>
        <v>28.03</v>
      </c>
      <c r="L109" s="11">
        <f>[4]Balancing!I3</f>
        <v>-3819.1099999999992</v>
      </c>
      <c r="M109" s="11">
        <f>[4]Balancing!J3</f>
        <v>10802.859999999981</v>
      </c>
      <c r="N109" s="11">
        <f>[4]Balancing!K3</f>
        <v>15000</v>
      </c>
      <c r="O109" s="11">
        <f>[4]Balancing!L3</f>
        <v>20000</v>
      </c>
      <c r="P109" s="6">
        <f t="shared" si="7"/>
        <v>1.3333333333333333</v>
      </c>
    </row>
    <row r="110" spans="1:16" x14ac:dyDescent="0.25">
      <c r="A110" t="str">
        <f t="shared" ca="1" si="0"/>
        <v>G-Alpari2USDJPY</v>
      </c>
      <c r="B110" t="str">
        <f t="shared" ref="B110:C119" ca="1" si="8">CELL("contents",B10)</f>
        <v>G-Alpari2</v>
      </c>
      <c r="C110" t="str">
        <f t="shared" ca="1" si="8"/>
        <v>USDJPY</v>
      </c>
      <c r="D110" s="7">
        <f t="shared" ca="1" si="2"/>
        <v>101.2</v>
      </c>
      <c r="E110" s="7">
        <f t="shared" ca="1" si="3"/>
        <v>104.005</v>
      </c>
      <c r="F110" s="7">
        <f t="shared" ca="1" si="4"/>
        <v>102.60250000000001</v>
      </c>
      <c r="G110" s="7">
        <f t="shared" ca="1" si="5"/>
        <v>101.29300000000001</v>
      </c>
      <c r="H110" s="4">
        <f t="shared" ca="1" si="6"/>
        <v>6.6310160427810169E-2</v>
      </c>
      <c r="I110" s="13">
        <f ca="1">(E110-D110)*10000/VLOOKUP(C110,Pairs!$A$2:$G$20,5,FALSE)</f>
        <v>280.49999999999926</v>
      </c>
      <c r="J110" s="5">
        <f ca="1">VLOOKUP(C110,Pairs!$A$2:$B$20,2,FALSE)</f>
        <v>20</v>
      </c>
      <c r="K110" s="5">
        <f ca="1">(E110-D110)*10000/VLOOKUP(C110,Pairs!$A$2:$G$20,5,FALSE)/J110+1</f>
        <v>15.024999999999963</v>
      </c>
      <c r="L110" s="11">
        <f>[3]Balancing!I5</f>
        <v>-1942.36</v>
      </c>
      <c r="M110" s="11">
        <f>[3]Balancing!J5</f>
        <v>4009.8000000000006</v>
      </c>
      <c r="N110" s="11">
        <f>[3]Balancing!K5</f>
        <v>25000</v>
      </c>
      <c r="O110" s="11">
        <f>[3]Balancing!L5</f>
        <v>2067.4400000000005</v>
      </c>
      <c r="P110" s="6">
        <f t="shared" si="7"/>
        <v>8.2697600000000024E-2</v>
      </c>
    </row>
    <row r="111" spans="1:16" x14ac:dyDescent="0.25">
      <c r="A111" t="str">
        <f t="shared" ca="1" si="0"/>
        <v>I-AlpariGBPNZD</v>
      </c>
      <c r="B111" t="str">
        <f t="shared" ca="1" si="8"/>
        <v>I-Alpari</v>
      </c>
      <c r="C111" t="str">
        <f t="shared" ca="1" si="8"/>
        <v>GBPNZD</v>
      </c>
      <c r="D111" s="3">
        <f t="shared" ca="1" si="2"/>
        <v>1.91</v>
      </c>
      <c r="E111" s="3">
        <f t="shared" ca="1" si="3"/>
        <v>2.0419999999999998</v>
      </c>
      <c r="F111" s="3">
        <f t="shared" ca="1" si="4"/>
        <v>1.976</v>
      </c>
      <c r="G111" s="3">
        <f t="shared" ca="1" si="5"/>
        <v>1.9642999999999999</v>
      </c>
      <c r="H111" s="4">
        <f t="shared" ca="1" si="6"/>
        <v>0.82272727272727364</v>
      </c>
      <c r="I111" s="13">
        <f ca="1">(E111-D111)*10000/VLOOKUP(C111,Pairs!$A$2:$G$20,5,FALSE)</f>
        <v>1319.9999999999989</v>
      </c>
      <c r="J111" s="5">
        <f ca="1">VLOOKUP(C111,Pairs!$A$2:$B$20,2,FALSE)</f>
        <v>40</v>
      </c>
      <c r="K111" s="5">
        <f ca="1">(E111-D111)*10000/VLOOKUP(C111,Pairs!$A$2:$G$20,5,FALSE)/J111+1</f>
        <v>33.999999999999972</v>
      </c>
      <c r="L111" s="11">
        <f>[5]Balancing!I2</f>
        <v>-9640.4499999999989</v>
      </c>
      <c r="M111" s="11">
        <f>[5]Balancing!J2</f>
        <v>12203.590000000006</v>
      </c>
      <c r="N111" s="11">
        <f>[5]Balancing!K2</f>
        <v>16666.666666666668</v>
      </c>
      <c r="O111" s="11">
        <f>[5]Balancing!L2</f>
        <v>2563.1400000000067</v>
      </c>
      <c r="P111" s="6">
        <f t="shared" si="7"/>
        <v>0.15378840000000038</v>
      </c>
    </row>
    <row r="112" spans="1:16" x14ac:dyDescent="0.25">
      <c r="A112" t="str">
        <f t="shared" ca="1" si="0"/>
        <v>I-AlpariEURUSD</v>
      </c>
      <c r="B112" t="str">
        <f t="shared" ca="1" si="8"/>
        <v>I-Alpari</v>
      </c>
      <c r="C112" t="str">
        <f t="shared" ca="1" si="8"/>
        <v>EURUSD</v>
      </c>
      <c r="D112" s="3">
        <f t="shared" ca="1" si="2"/>
        <v>1.349</v>
      </c>
      <c r="E112" s="3">
        <f t="shared" ca="1" si="3"/>
        <v>1.397</v>
      </c>
      <c r="F112" s="3">
        <f t="shared" ca="1" si="4"/>
        <v>1.373</v>
      </c>
      <c r="G112" s="3">
        <f t="shared" ca="1" si="5"/>
        <v>1.3698600000000001</v>
      </c>
      <c r="H112" s="4">
        <f t="shared" ca="1" si="6"/>
        <v>0.86916666666667008</v>
      </c>
      <c r="I112" s="13">
        <f ca="1">(E112-D112)*10000/VLOOKUP(C112,Pairs!$A$2:$G$20,5,FALSE)</f>
        <v>480.00000000000045</v>
      </c>
      <c r="J112" s="5">
        <f ca="1">VLOOKUP(C112,Pairs!$A$2:$B$20,2,FALSE)</f>
        <v>30</v>
      </c>
      <c r="K112" s="5">
        <f ca="1">(E112-D112)*10000/VLOOKUP(C112,Pairs!$A$2:$G$20,5,FALSE)/J112+1</f>
        <v>17.000000000000014</v>
      </c>
      <c r="L112" s="11">
        <f>[5]Balancing!I3</f>
        <v>-1655.3399999999997</v>
      </c>
      <c r="M112" s="11">
        <f>[5]Balancing!J3</f>
        <v>3843.8700000000013</v>
      </c>
      <c r="N112" s="11">
        <f>[5]Balancing!K3</f>
        <v>16666.666666666668</v>
      </c>
      <c r="O112" s="11">
        <f>[5]Balancing!L3</f>
        <v>2188.5300000000016</v>
      </c>
      <c r="P112" s="6">
        <f t="shared" si="7"/>
        <v>0.13131180000000009</v>
      </c>
    </row>
    <row r="113" spans="1:16" x14ac:dyDescent="0.25">
      <c r="A113" t="str">
        <f t="shared" ca="1" si="0"/>
        <v>I-AlpariCADJPY</v>
      </c>
      <c r="B113" t="str">
        <f t="shared" ca="1" si="8"/>
        <v>I-Alpari</v>
      </c>
      <c r="C113" t="str">
        <f t="shared" ca="1" si="8"/>
        <v>CADJPY</v>
      </c>
      <c r="D113" s="7">
        <f t="shared" ca="1" si="2"/>
        <v>90.8</v>
      </c>
      <c r="E113" s="7">
        <f t="shared" ca="1" si="3"/>
        <v>95.8</v>
      </c>
      <c r="F113" s="7">
        <f t="shared" ca="1" si="4"/>
        <v>93.3</v>
      </c>
      <c r="G113" s="7">
        <f t="shared" ca="1" si="5"/>
        <v>92.864999999999995</v>
      </c>
      <c r="H113" s="4">
        <f t="shared" ca="1" si="6"/>
        <v>0.82599999999999907</v>
      </c>
      <c r="I113" s="13">
        <f ca="1">(E113-D113)*10000/VLOOKUP(C113,Pairs!$A$2:$G$20,5,FALSE)</f>
        <v>500</v>
      </c>
      <c r="J113" s="5">
        <f ca="1">VLOOKUP(C113,Pairs!$A$2:$B$20,2,FALSE)</f>
        <v>20</v>
      </c>
      <c r="K113" s="5">
        <f ca="1">(E113-D113)*10000/VLOOKUP(C113,Pairs!$A$2:$G$20,5,FALSE)/J113+1</f>
        <v>26</v>
      </c>
      <c r="L113" s="11">
        <f>[5]Balancing!I4</f>
        <v>-2547.0299999999993</v>
      </c>
      <c r="M113" s="11">
        <f>[5]Balancing!J4</f>
        <v>6197.4099999999989</v>
      </c>
      <c r="N113" s="11">
        <f>[5]Balancing!K4</f>
        <v>16666.666666666668</v>
      </c>
      <c r="O113" s="11">
        <f>[5]Balancing!L4</f>
        <v>3650.3799999999997</v>
      </c>
      <c r="P113" s="6">
        <f t="shared" si="7"/>
        <v>0.21902279999999996</v>
      </c>
    </row>
    <row r="114" spans="1:16" x14ac:dyDescent="0.25">
      <c r="A114" t="str">
        <f t="shared" ca="1" si="0"/>
        <v>L-XMEURGBP</v>
      </c>
      <c r="B114" t="str">
        <f t="shared" ca="1" si="8"/>
        <v>L-XM</v>
      </c>
      <c r="C114" t="str">
        <f t="shared" ca="1" si="8"/>
        <v>EURGBP</v>
      </c>
      <c r="D114" s="3">
        <f t="shared" ca="1" si="2"/>
        <v>0.81191000000000002</v>
      </c>
      <c r="E114" s="3">
        <f t="shared" ca="1" si="3"/>
        <v>0.85799999999999998</v>
      </c>
      <c r="F114" s="3">
        <f t="shared" ca="1" si="4"/>
        <v>0.834955</v>
      </c>
      <c r="G114" s="3">
        <f t="shared" ca="1" si="5"/>
        <v>0.81342000000000003</v>
      </c>
      <c r="H114" s="4">
        <f t="shared" ca="1" si="6"/>
        <v>6.5523974831851267E-2</v>
      </c>
      <c r="I114" s="13">
        <f ca="1">(E114-D114)*10000/VLOOKUP(C114,Pairs!$A$2:$G$20,5,FALSE)</f>
        <v>460.89999999999964</v>
      </c>
      <c r="J114" s="5">
        <f ca="1">VLOOKUP(C114,Pairs!$A$2:$B$20,2,FALSE)</f>
        <v>20</v>
      </c>
      <c r="K114" s="5">
        <f ca="1">(E114-D114)*10000/VLOOKUP(C114,Pairs!$A$2:$G$20,5,FALSE)/J114+1</f>
        <v>24.04499999999998</v>
      </c>
      <c r="L114" s="11">
        <f>[6]Balancing!I2</f>
        <v>-3427.6399999999994</v>
      </c>
      <c r="M114" s="11">
        <f>[6]Balancing!J2</f>
        <v>3745.4600000000014</v>
      </c>
      <c r="N114" s="11">
        <f>[6]Balancing!K2</f>
        <v>15000</v>
      </c>
      <c r="O114" s="11">
        <f>[6]Balancing!L2</f>
        <v>7500</v>
      </c>
      <c r="P114" s="6">
        <f t="shared" si="7"/>
        <v>0.5</v>
      </c>
    </row>
    <row r="115" spans="1:16" x14ac:dyDescent="0.25">
      <c r="A115" t="str">
        <f t="shared" ca="1" si="0"/>
        <v>L-XMUSDJPY</v>
      </c>
      <c r="B115" t="str">
        <f t="shared" ca="1" si="8"/>
        <v>L-XM</v>
      </c>
      <c r="C115" t="str">
        <f t="shared" ca="1" si="8"/>
        <v>USDJPY</v>
      </c>
      <c r="D115" s="7">
        <f t="shared" ca="1" si="2"/>
        <v>96.997</v>
      </c>
      <c r="E115" s="7">
        <f t="shared" ca="1" si="3"/>
        <v>105.40600000000001</v>
      </c>
      <c r="F115" s="7">
        <f t="shared" ca="1" si="4"/>
        <v>101.2015</v>
      </c>
      <c r="G115" s="7">
        <f t="shared" ca="1" si="5"/>
        <v>101.29300000000001</v>
      </c>
      <c r="H115" s="4">
        <f t="shared" ca="1" si="6"/>
        <v>0.97823760256867565</v>
      </c>
      <c r="I115" s="13">
        <f ca="1">(E115-D115)*10000/VLOOKUP(C115,Pairs!$A$2:$G$20,5,FALSE)</f>
        <v>840.90000000000055</v>
      </c>
      <c r="J115" s="5">
        <f ca="1">VLOOKUP(C115,Pairs!$A$2:$B$20,2,FALSE)</f>
        <v>20</v>
      </c>
      <c r="K115" s="5">
        <f ca="1">(E115-D115)*10000/VLOOKUP(C115,Pairs!$A$2:$G$20,5,FALSE)/J115+1</f>
        <v>43.04500000000003</v>
      </c>
      <c r="L115" s="11">
        <f>[6]Balancing!I3</f>
        <v>-3930.8500000000004</v>
      </c>
      <c r="M115" s="11">
        <f>[6]Balancing!J3</f>
        <v>5949.6099999999979</v>
      </c>
      <c r="N115" s="11">
        <f>[6]Balancing!K3</f>
        <v>15000</v>
      </c>
      <c r="O115" s="11">
        <f>[6]Balancing!L3</f>
        <v>7500</v>
      </c>
      <c r="P115" s="6">
        <f t="shared" si="7"/>
        <v>0.5</v>
      </c>
    </row>
    <row r="116" spans="1:16" x14ac:dyDescent="0.25">
      <c r="A116" t="str">
        <f t="shared" ca="1" si="0"/>
        <v>I-XMEURAUD</v>
      </c>
      <c r="B116" t="str">
        <f t="shared" ca="1" si="8"/>
        <v>I-XM</v>
      </c>
      <c r="C116" t="str">
        <f t="shared" ca="1" si="8"/>
        <v>EURAUD</v>
      </c>
      <c r="D116" s="3">
        <f t="shared" ca="1" si="2"/>
        <v>1.458</v>
      </c>
      <c r="E116" s="3">
        <f t="shared" ca="1" si="3"/>
        <v>1.5540099999999999</v>
      </c>
      <c r="F116" s="3">
        <f t="shared" ca="1" si="4"/>
        <v>1.506005</v>
      </c>
      <c r="G116" s="3">
        <f t="shared" ca="1" si="5"/>
        <v>1.4822</v>
      </c>
      <c r="H116" s="4">
        <f t="shared" ca="1" si="6"/>
        <v>0.50411415477554455</v>
      </c>
      <c r="I116" s="13">
        <f ca="1">(E116-D116)*10000/VLOOKUP(C116,Pairs!$A$2:$G$20,5,FALSE)</f>
        <v>960.09999999999934</v>
      </c>
      <c r="J116" s="5">
        <f ca="1">VLOOKUP(C116,Pairs!$A$2:$B$20,2,FALSE)</f>
        <v>20</v>
      </c>
      <c r="K116" s="5">
        <f ca="1">(E116-D116)*10000/VLOOKUP(C116,Pairs!$A$2:$G$20,5,FALSE)/J116+1</f>
        <v>49.004999999999967</v>
      </c>
      <c r="L116" s="11">
        <f>[7]Balancing!I2</f>
        <v>-15467.239999999996</v>
      </c>
      <c r="M116" s="11">
        <f>[7]Balancing!J2</f>
        <v>6436.219999999993</v>
      </c>
      <c r="N116" s="11">
        <f>[7]Balancing!K2</f>
        <v>28571.428571428572</v>
      </c>
      <c r="O116" s="11">
        <f>[7]Balancing!L2</f>
        <v>-9031.0200000000041</v>
      </c>
      <c r="P116" s="6">
        <f t="shared" si="7"/>
        <v>-0.31608570000000014</v>
      </c>
    </row>
    <row r="117" spans="1:16" x14ac:dyDescent="0.25">
      <c r="A117" t="str">
        <f t="shared" ca="1" si="0"/>
        <v>I-XMGOLD</v>
      </c>
      <c r="B117" t="str">
        <f t="shared" ca="1" si="8"/>
        <v>I-XM</v>
      </c>
      <c r="C117" t="str">
        <f t="shared" ca="1" si="8"/>
        <v>GOLD</v>
      </c>
      <c r="D117" s="9">
        <f t="shared" ca="1" si="2"/>
        <v>1269.97</v>
      </c>
      <c r="E117" s="9">
        <f t="shared" ca="1" si="3"/>
        <v>1390</v>
      </c>
      <c r="F117" s="9">
        <f t="shared" ca="1" si="4"/>
        <v>1329.9849999999999</v>
      </c>
      <c r="G117" s="9">
        <f t="shared" ca="1" si="5"/>
        <v>1294.07</v>
      </c>
      <c r="H117" s="4">
        <f t="shared" ca="1" si="6"/>
        <v>0.40156627509789078</v>
      </c>
      <c r="I117" s="13" t="e">
        <f ca="1">(E117-D117)*10000/VLOOKUP(C117,Pairs!$A$2:$G$20,5,FALSE)</f>
        <v>#DIV/0!</v>
      </c>
      <c r="J117" s="5">
        <f ca="1">VLOOKUP(C117,Pairs!$A$2:$B$20,2,FALSE)</f>
        <v>50</v>
      </c>
      <c r="K117" s="5" t="e">
        <f ca="1">(E117-D117)*10000/VLOOKUP(C117,Pairs!$A$2:$G$20,5,FALSE)/J117+1</f>
        <v>#DIV/0!</v>
      </c>
      <c r="L117" s="11">
        <f>[7]Balancing!I3</f>
        <v>-9130.010000000002</v>
      </c>
      <c r="M117" s="11">
        <f>[7]Balancing!J3</f>
        <v>8278.24</v>
      </c>
      <c r="N117" s="11">
        <f>[7]Balancing!K3</f>
        <v>14285.714285714286</v>
      </c>
      <c r="O117" s="11">
        <f>[7]Balancing!L3</f>
        <v>-851.77000000000226</v>
      </c>
      <c r="P117" s="6">
        <f t="shared" si="7"/>
        <v>-5.9623900000000153E-2</v>
      </c>
    </row>
    <row r="118" spans="1:16" x14ac:dyDescent="0.25">
      <c r="A118" t="str">
        <f t="shared" ca="1" si="0"/>
        <v>I-XMGBPNZD</v>
      </c>
      <c r="B118" t="str">
        <f t="shared" ca="1" si="8"/>
        <v>I-XM</v>
      </c>
      <c r="C118" t="str">
        <f t="shared" ca="1" si="8"/>
        <v>GBPNZD</v>
      </c>
      <c r="D118" s="3">
        <f t="shared" ca="1" si="2"/>
        <v>1.9099200000000001</v>
      </c>
      <c r="E118" s="3">
        <f t="shared" ca="1" si="3"/>
        <v>1.97401</v>
      </c>
      <c r="F118" s="3">
        <f t="shared" ca="1" si="4"/>
        <v>1.9419649999999999</v>
      </c>
      <c r="G118" s="3">
        <f t="shared" ca="1" si="5"/>
        <v>1.96462</v>
      </c>
      <c r="H118" s="4">
        <f t="shared" ca="1" si="6"/>
        <v>0.29302543298486539</v>
      </c>
      <c r="I118" s="13">
        <f ca="1">(E118-D118)*10000/VLOOKUP(C118,Pairs!$A$2:$G$20,5,FALSE)</f>
        <v>640.89999999999975</v>
      </c>
      <c r="J118" s="5">
        <f ca="1">VLOOKUP(C118,Pairs!$A$2:$B$20,2,FALSE)</f>
        <v>40</v>
      </c>
      <c r="K118" s="5">
        <f ca="1">(E118-D118)*10000/VLOOKUP(C118,Pairs!$A$2:$G$20,5,FALSE)/J118+1</f>
        <v>17.022499999999994</v>
      </c>
      <c r="L118" s="11">
        <f>[7]Balancing!I4</f>
        <v>-2291.1499999999996</v>
      </c>
      <c r="M118" s="11">
        <f>[7]Balancing!J4</f>
        <v>5156.5299999999988</v>
      </c>
      <c r="N118" s="11">
        <f>[7]Balancing!K4</f>
        <v>28571.428571428572</v>
      </c>
      <c r="O118" s="11">
        <f>[7]Balancing!L4</f>
        <v>2865.3799999999992</v>
      </c>
      <c r="P118" s="6">
        <f t="shared" si="7"/>
        <v>0.10028829999999997</v>
      </c>
    </row>
    <row r="119" spans="1:16" x14ac:dyDescent="0.25">
      <c r="A119" t="str">
        <f t="shared" ca="1" si="0"/>
        <v>I-XMUSDJPY</v>
      </c>
      <c r="B119" t="str">
        <f t="shared" ca="1" si="8"/>
        <v>I-XM</v>
      </c>
      <c r="C119" t="str">
        <f t="shared" ca="1" si="8"/>
        <v>USDJPY</v>
      </c>
      <c r="D119" s="7">
        <f t="shared" ca="1" si="2"/>
        <v>101.2</v>
      </c>
      <c r="E119" s="7">
        <f t="shared" ca="1" si="3"/>
        <v>104.001</v>
      </c>
      <c r="F119" s="7">
        <f t="shared" ca="1" si="4"/>
        <v>102.6005</v>
      </c>
      <c r="G119" s="7">
        <f t="shared" ca="1" si="5"/>
        <v>101.29300000000001</v>
      </c>
      <c r="H119" s="4">
        <f t="shared" ca="1" si="6"/>
        <v>6.6404855408785046E-2</v>
      </c>
      <c r="I119" s="13">
        <f ca="1">(E119-D119)*10000/VLOOKUP(C119,Pairs!$A$2:$G$20,5,FALSE)</f>
        <v>280.10000000000019</v>
      </c>
      <c r="J119" s="5">
        <f ca="1">VLOOKUP(C119,Pairs!$A$2:$B$20,2,FALSE)</f>
        <v>20</v>
      </c>
      <c r="K119" s="5">
        <f ca="1">(E119-D119)*10000/VLOOKUP(C119,Pairs!$A$2:$G$20,5,FALSE)/J119+1</f>
        <v>15.00500000000001</v>
      </c>
      <c r="L119" s="11">
        <f>[7]Balancing!I5</f>
        <v>-1068.4599999999998</v>
      </c>
      <c r="M119" s="11">
        <f>[7]Balancing!J5</f>
        <v>2119.7599999999993</v>
      </c>
      <c r="N119" s="11">
        <f>[7]Balancing!K5</f>
        <v>14285.714285714286</v>
      </c>
      <c r="O119" s="11">
        <f>[7]Balancing!L5</f>
        <v>1051.2999999999995</v>
      </c>
      <c r="P119" s="6">
        <f t="shared" si="7"/>
        <v>7.3590999999999962E-2</v>
      </c>
    </row>
    <row r="120" spans="1:16" x14ac:dyDescent="0.25">
      <c r="A120" t="str">
        <f t="shared" ca="1" si="0"/>
        <v>A-AlpariUSDJPY</v>
      </c>
      <c r="B120" t="str">
        <f ca="1">CELL("contents",B3)</f>
        <v>A-Alpari</v>
      </c>
      <c r="C120" t="str">
        <f ca="1">CELL("contents",C3)</f>
        <v>USDJPY</v>
      </c>
      <c r="D120" s="7">
        <f t="shared" ca="1" si="2"/>
        <v>101.2</v>
      </c>
      <c r="E120" s="7">
        <f t="shared" ca="1" si="3"/>
        <v>104.005</v>
      </c>
      <c r="F120" s="7">
        <f t="shared" ca="1" si="4"/>
        <v>102.60250000000001</v>
      </c>
      <c r="G120" s="7">
        <f t="shared" ca="1" si="5"/>
        <v>101.29300000000001</v>
      </c>
      <c r="H120" s="4">
        <f t="shared" ca="1" si="6"/>
        <v>6.6310160427810169E-2</v>
      </c>
      <c r="I120" s="13">
        <f ca="1">(E120-D120)*10000/VLOOKUP(C120,Pairs!$A$2:$G$20,5,FALSE)</f>
        <v>280.49999999999926</v>
      </c>
      <c r="J120" s="5">
        <f ca="1">VLOOKUP(C120,Pairs!$A$2:$B$20,2,FALSE)</f>
        <v>20</v>
      </c>
      <c r="K120" s="5">
        <f ca="1">(E120-D120)*10000/VLOOKUP(C120,Pairs!$A$2:$G$20,5,FALSE)/J120+1</f>
        <v>15.024999999999963</v>
      </c>
      <c r="L120" s="11">
        <f>[2]Balancing!I2</f>
        <v>-1943.59</v>
      </c>
      <c r="M120" s="11">
        <f>[2]Balancing!J2</f>
        <v>4512.8599999999997</v>
      </c>
      <c r="N120" s="11">
        <f>[2]Balancing!K2</f>
        <v>28571.428571428572</v>
      </c>
      <c r="O120" s="11">
        <f>[2]Balancing!L2</f>
        <v>2569.2699999999995</v>
      </c>
      <c r="P120" s="6">
        <f t="shared" si="7"/>
        <v>8.9924449999999975E-2</v>
      </c>
    </row>
    <row r="121" spans="1:16" x14ac:dyDescent="0.25">
      <c r="A121" t="str">
        <f t="shared" ca="1" si="0"/>
        <v>T-FXCMNZDUSD</v>
      </c>
      <c r="B121" t="str">
        <f t="shared" ref="B121:C141" ca="1" si="9">CELL("contents",B20)</f>
        <v>T-FXCM</v>
      </c>
      <c r="C121" t="str">
        <f t="shared" ca="1" si="9"/>
        <v>NZDUSD</v>
      </c>
      <c r="D121" s="3">
        <f t="shared" ca="1" si="2"/>
        <v>0.82540999999999998</v>
      </c>
      <c r="E121" s="3">
        <f t="shared" ca="1" si="3"/>
        <v>0.87751999999999997</v>
      </c>
      <c r="F121" s="3">
        <f t="shared" ca="1" si="4"/>
        <v>0.85146500000000003</v>
      </c>
      <c r="G121" s="3">
        <f t="shared" ca="1" si="5"/>
        <v>0.85687999999999998</v>
      </c>
      <c r="H121" s="4">
        <f t="shared" ca="1" si="6"/>
        <v>0.79217040875071953</v>
      </c>
      <c r="I121" s="13">
        <f ca="1">(E121-D121)*10000/VLOOKUP(C121,Pairs!$A$2:$G$20,5,FALSE)</f>
        <v>521.09999999999991</v>
      </c>
      <c r="J121" s="5">
        <f ca="1">VLOOKUP(C121,Pairs!$A$2:$B$20,2,FALSE)</f>
        <v>20</v>
      </c>
      <c r="K121" s="5">
        <f ca="1">(E121-D121)*10000/VLOOKUP(C121,Pairs!$A$2:$G$20,5,FALSE)/J121+1</f>
        <v>27.054999999999996</v>
      </c>
      <c r="L121" s="11">
        <f>[8]Balancing!I2</f>
        <v>-1219.92</v>
      </c>
      <c r="M121" s="11">
        <f>[8]Balancing!J2</f>
        <v>1450.0399999999991</v>
      </c>
      <c r="N121" s="11">
        <f>[8]Balancing!K2</f>
        <v>6250</v>
      </c>
      <c r="O121" s="11">
        <f>[8]Balancing!L2</f>
        <v>230.11999999999898</v>
      </c>
      <c r="P121" s="6">
        <f t="shared" si="7"/>
        <v>3.6819199999999837E-2</v>
      </c>
    </row>
    <row r="122" spans="1:16" x14ac:dyDescent="0.25">
      <c r="A122" t="str">
        <f t="shared" ca="1" si="0"/>
        <v>T-FXCMEURGBP</v>
      </c>
      <c r="B122" t="str">
        <f t="shared" ca="1" si="9"/>
        <v>T-FXCM</v>
      </c>
      <c r="C122" t="str">
        <f t="shared" ca="1" si="9"/>
        <v>EURGBP</v>
      </c>
      <c r="D122" s="3">
        <f t="shared" ca="1" si="2"/>
        <v>0.81205000000000005</v>
      </c>
      <c r="E122" s="3">
        <f t="shared" ca="1" si="3"/>
        <v>0.84</v>
      </c>
      <c r="F122" s="3">
        <f t="shared" ca="1" si="4"/>
        <v>0.82602500000000001</v>
      </c>
      <c r="G122" s="3">
        <f t="shared" ca="1" si="5"/>
        <v>0.81347000000000003</v>
      </c>
      <c r="H122" s="4">
        <f t="shared" ca="1" si="6"/>
        <v>0.10161001788908629</v>
      </c>
      <c r="I122" s="13">
        <f ca="1">(E122-D122)*10000/VLOOKUP(C122,Pairs!$A$2:$G$20,5,FALSE)</f>
        <v>279.4999999999992</v>
      </c>
      <c r="J122" s="5">
        <f ca="1">VLOOKUP(C122,Pairs!$A$2:$B$20,2,FALSE)</f>
        <v>20</v>
      </c>
      <c r="K122" s="5">
        <f ca="1">(E122-D122)*10000/VLOOKUP(C122,Pairs!$A$2:$G$20,5,FALSE)/J122+1</f>
        <v>14.974999999999961</v>
      </c>
      <c r="L122" s="11">
        <f>[8]Balancing!I3</f>
        <v>-788.52</v>
      </c>
      <c r="M122" s="11">
        <f>[8]Balancing!J3</f>
        <v>914.26000000000033</v>
      </c>
      <c r="N122" s="11">
        <f>[8]Balancing!K3</f>
        <v>6250</v>
      </c>
      <c r="O122" s="11">
        <f>[8]Balancing!L3</f>
        <v>125.74000000000035</v>
      </c>
      <c r="P122" s="6">
        <f t="shared" si="7"/>
        <v>2.0118400000000057E-2</v>
      </c>
    </row>
    <row r="123" spans="1:16" x14ac:dyDescent="0.25">
      <c r="A123" t="str">
        <f t="shared" ca="1" si="0"/>
        <v>T-FXCMAUDJPY</v>
      </c>
      <c r="B123" t="str">
        <f t="shared" ca="1" si="9"/>
        <v>T-FXCM</v>
      </c>
      <c r="C123" t="str">
        <f t="shared" ca="1" si="9"/>
        <v>AUDJPY</v>
      </c>
      <c r="D123" s="7">
        <f t="shared" ca="1" si="2"/>
        <v>90.2</v>
      </c>
      <c r="E123" s="7">
        <f t="shared" ca="1" si="3"/>
        <v>96.406000000000006</v>
      </c>
      <c r="F123" s="7">
        <f t="shared" ca="1" si="4"/>
        <v>93.302999999999997</v>
      </c>
      <c r="G123" s="7">
        <f t="shared" ca="1" si="5"/>
        <v>93.602000000000004</v>
      </c>
      <c r="H123" s="4">
        <f t="shared" ca="1" si="6"/>
        <v>0.90364163712536283</v>
      </c>
      <c r="I123" s="13">
        <f ca="1">(E123-D123)*10000/VLOOKUP(C123,Pairs!$A$2:$G$20,5,FALSE)</f>
        <v>620.60000000000025</v>
      </c>
      <c r="J123" s="5">
        <f ca="1">VLOOKUP(C123,Pairs!$A$2:$B$20,2,FALSE)</f>
        <v>20</v>
      </c>
      <c r="K123" s="5">
        <f ca="1">(E123-D123)*10000/VLOOKUP(C123,Pairs!$A$2:$G$20,5,FALSE)/J123+1</f>
        <v>32.030000000000015</v>
      </c>
      <c r="L123" s="11">
        <f>[8]Balancing!I4</f>
        <v>-2038.3800000000003</v>
      </c>
      <c r="M123" s="11">
        <f>[8]Balancing!J4</f>
        <v>2433.2000000000021</v>
      </c>
      <c r="N123" s="11">
        <f>[8]Balancing!K4</f>
        <v>6250</v>
      </c>
      <c r="O123" s="11">
        <f>[8]Balancing!L4</f>
        <v>394.82000000000176</v>
      </c>
      <c r="P123" s="6">
        <f t="shared" si="7"/>
        <v>6.3171200000000274E-2</v>
      </c>
    </row>
    <row r="124" spans="1:16" x14ac:dyDescent="0.25">
      <c r="A124" t="str">
        <f t="shared" ca="1" si="0"/>
        <v>T-FXCMUSDCHF</v>
      </c>
      <c r="B124" t="str">
        <f t="shared" ca="1" si="9"/>
        <v>T-FXCM</v>
      </c>
      <c r="C124" t="str">
        <f t="shared" ca="1" si="9"/>
        <v>USDCHF</v>
      </c>
      <c r="D124" s="3">
        <f t="shared" ca="1" si="2"/>
        <v>0.87099000000000004</v>
      </c>
      <c r="E124" s="3">
        <f t="shared" ca="1" si="3"/>
        <v>0.90300000000000002</v>
      </c>
      <c r="F124" s="3">
        <f t="shared" ca="1" si="4"/>
        <v>0.88699499999999998</v>
      </c>
      <c r="G124" s="3">
        <f t="shared" ca="1" si="5"/>
        <v>0.89195999999999998</v>
      </c>
      <c r="H124" s="4">
        <f t="shared" ca="1" si="6"/>
        <v>0.68978444236176539</v>
      </c>
      <c r="I124" s="13">
        <f ca="1">(E124-D124)*10000/VLOOKUP(C124,Pairs!$A$2:$G$20,5,FALSE)</f>
        <v>320.09999999999985</v>
      </c>
      <c r="J124" s="5">
        <f ca="1">VLOOKUP(C124,Pairs!$A$2:$B$20,2,FALSE)</f>
        <v>20</v>
      </c>
      <c r="K124" s="5">
        <f ca="1">(E124-D124)*10000/VLOOKUP(C124,Pairs!$A$2:$G$20,5,FALSE)/J124+1</f>
        <v>17.004999999999992</v>
      </c>
      <c r="L124" s="11">
        <f>[8]Balancing!I5</f>
        <v>-351.87</v>
      </c>
      <c r="M124" s="11">
        <f>[8]Balancing!J5</f>
        <v>1020.31</v>
      </c>
      <c r="N124" s="11">
        <f>[8]Balancing!K5</f>
        <v>6250</v>
      </c>
      <c r="O124" s="11">
        <f>[8]Balancing!L5</f>
        <v>668.43999999999994</v>
      </c>
      <c r="P124" s="6">
        <f t="shared" si="7"/>
        <v>0.10695039999999999</v>
      </c>
    </row>
    <row r="125" spans="1:16" x14ac:dyDescent="0.25">
      <c r="A125" t="str">
        <f t="shared" ca="1" si="0"/>
        <v>S-AlpariAUDJPY</v>
      </c>
      <c r="B125" t="str">
        <f t="shared" ca="1" si="9"/>
        <v>S-Alpari</v>
      </c>
      <c r="C125" t="str">
        <f t="shared" ca="1" si="9"/>
        <v>AUDJPY</v>
      </c>
      <c r="D125" s="7">
        <f t="shared" ca="1" si="2"/>
        <v>91.4</v>
      </c>
      <c r="E125" s="7">
        <f t="shared" ca="1" si="3"/>
        <v>96.4</v>
      </c>
      <c r="F125" s="7">
        <f t="shared" ca="1" si="4"/>
        <v>93.9</v>
      </c>
      <c r="G125" s="7">
        <f t="shared" ca="1" si="5"/>
        <v>93.584999999999994</v>
      </c>
      <c r="H125" s="4">
        <f t="shared" ca="1" si="6"/>
        <v>0.87399999999999523</v>
      </c>
      <c r="I125" s="13">
        <f ca="1">(E125-D125)*10000/VLOOKUP(C125,Pairs!$A$2:$G$20,5,FALSE)</f>
        <v>500</v>
      </c>
      <c r="J125" s="5">
        <f ca="1">VLOOKUP(C125,Pairs!$A$2:$B$20,2,FALSE)</f>
        <v>20</v>
      </c>
      <c r="K125" s="5">
        <f ca="1">(E125-D125)*10000/VLOOKUP(C125,Pairs!$A$2:$G$20,5,FALSE)/J125+1</f>
        <v>26</v>
      </c>
      <c r="L125" s="11">
        <f>[9]Balancing!I2</f>
        <v>-652.79999999999995</v>
      </c>
      <c r="M125" s="11">
        <f>[9]Balancing!J2</f>
        <v>624.14000000000033</v>
      </c>
      <c r="N125" s="11">
        <f>[9]Balancing!K2</f>
        <v>28571.428571428572</v>
      </c>
      <c r="O125" s="11">
        <f>[9]Balancing!L2</f>
        <v>-28.659999999999627</v>
      </c>
      <c r="P125" s="6">
        <f t="shared" si="7"/>
        <v>-1.0030999999999868E-3</v>
      </c>
    </row>
    <row r="126" spans="1:16" x14ac:dyDescent="0.25">
      <c r="A126" t="str">
        <f t="shared" ca="1" si="0"/>
        <v>S-AlpariGBPNZD</v>
      </c>
      <c r="B126" t="str">
        <f t="shared" ca="1" si="9"/>
        <v>S-Alpari</v>
      </c>
      <c r="C126" t="str">
        <f t="shared" ca="1" si="9"/>
        <v>GBPNZD</v>
      </c>
      <c r="D126" s="3">
        <f t="shared" ca="1" si="2"/>
        <v>1.91</v>
      </c>
      <c r="E126" s="3">
        <f t="shared" ca="1" si="3"/>
        <v>1.974</v>
      </c>
      <c r="F126" s="3">
        <f t="shared" ca="1" si="4"/>
        <v>1.9419999999999999</v>
      </c>
      <c r="G126" s="3">
        <f t="shared" ca="1" si="5"/>
        <v>1.9642999999999999</v>
      </c>
      <c r="H126" s="4">
        <f t="shared" ca="1" si="6"/>
        <v>0.30312500000000098</v>
      </c>
      <c r="I126" s="13">
        <f ca="1">(E126-D126)*10000/VLOOKUP(C126,Pairs!$A$2:$G$20,5,FALSE)</f>
        <v>640.00000000000057</v>
      </c>
      <c r="J126" s="5">
        <f ca="1">VLOOKUP(C126,Pairs!$A$2:$B$20,2,FALSE)</f>
        <v>40</v>
      </c>
      <c r="K126" s="5">
        <f ca="1">(E126-D126)*10000/VLOOKUP(C126,Pairs!$A$2:$G$20,5,FALSE)/J126+1</f>
        <v>17.000000000000014</v>
      </c>
      <c r="L126" s="11">
        <f>[9]Balancing!I3</f>
        <v>-443.67999999999989</v>
      </c>
      <c r="M126" s="11">
        <f>[9]Balancing!J3</f>
        <v>928.57</v>
      </c>
      <c r="N126" s="11">
        <f>[9]Balancing!K3</f>
        <v>14285.714285714286</v>
      </c>
      <c r="O126" s="11">
        <f>[9]Balancing!L3</f>
        <v>484.89000000000016</v>
      </c>
      <c r="P126" s="6">
        <f t="shared" si="7"/>
        <v>3.3942300000000009E-2</v>
      </c>
    </row>
    <row r="127" spans="1:16" x14ac:dyDescent="0.25">
      <c r="A127" t="str">
        <f t="shared" ca="1" si="0"/>
        <v>S-AlpariUSDCHF</v>
      </c>
      <c r="B127" t="str">
        <f t="shared" ca="1" si="9"/>
        <v>S-Alpari</v>
      </c>
      <c r="C127" t="str">
        <f t="shared" ca="1" si="9"/>
        <v>USDCHF</v>
      </c>
      <c r="D127" s="3">
        <f t="shared" ca="1" si="2"/>
        <v>0.871</v>
      </c>
      <c r="E127" s="3">
        <f t="shared" ca="1" si="3"/>
        <v>0.89507999999999999</v>
      </c>
      <c r="F127" s="3">
        <f t="shared" ca="1" si="4"/>
        <v>0.88304000000000005</v>
      </c>
      <c r="G127" s="3">
        <f t="shared" ca="1" si="5"/>
        <v>0.89193999999999996</v>
      </c>
      <c r="H127" s="4">
        <f t="shared" ca="1" si="6"/>
        <v>0.26079734219269368</v>
      </c>
      <c r="I127" s="13">
        <f ca="1">(E127-D127)*10000/VLOOKUP(C127,Pairs!$A$2:$G$20,5,FALSE)</f>
        <v>240.7999999999999</v>
      </c>
      <c r="J127" s="5">
        <f ca="1">VLOOKUP(C127,Pairs!$A$2:$B$20,2,FALSE)</f>
        <v>20</v>
      </c>
      <c r="K127" s="5">
        <f ca="1">(E127-D127)*10000/VLOOKUP(C127,Pairs!$A$2:$G$20,5,FALSE)/J127+1</f>
        <v>13.039999999999996</v>
      </c>
      <c r="L127" s="11">
        <f>[9]Balancing!I4</f>
        <v>-153.42999999999998</v>
      </c>
      <c r="M127" s="11">
        <f>[9]Balancing!J4</f>
        <v>331.58999999999986</v>
      </c>
      <c r="N127" s="11">
        <f>[9]Balancing!K4</f>
        <v>28571.428571428572</v>
      </c>
      <c r="O127" s="11">
        <f>[9]Balancing!L4</f>
        <v>178.15999999999988</v>
      </c>
      <c r="P127" s="6">
        <f t="shared" si="7"/>
        <v>6.2355999999999957E-3</v>
      </c>
    </row>
    <row r="128" spans="1:16" x14ac:dyDescent="0.25">
      <c r="A128" t="str">
        <f t="shared" ca="1" si="0"/>
        <v>IN-AlpariEURUSD</v>
      </c>
      <c r="B128" t="str">
        <f t="shared" ca="1" si="9"/>
        <v>IN-Alpari</v>
      </c>
      <c r="C128" t="str">
        <f t="shared" ca="1" si="9"/>
        <v>EURUSD</v>
      </c>
      <c r="D128" s="3">
        <f t="shared" ca="1" si="2"/>
        <v>1.3669100000000001</v>
      </c>
      <c r="E128" s="3">
        <f t="shared" ca="1" si="3"/>
        <v>1.3970800000000001</v>
      </c>
      <c r="F128" s="3">
        <f t="shared" ca="1" si="4"/>
        <v>1.3819950000000001</v>
      </c>
      <c r="G128" s="3">
        <f t="shared" ca="1" si="5"/>
        <v>1.3698699999999999</v>
      </c>
      <c r="H128" s="4">
        <f t="shared" ca="1" si="6"/>
        <v>0.19622141199866414</v>
      </c>
      <c r="I128" s="13">
        <f ca="1">(E128-D128)*10000/VLOOKUP(C128,Pairs!$A$2:$G$20,5,FALSE)</f>
        <v>301.70000000000027</v>
      </c>
      <c r="J128" s="5">
        <f ca="1">VLOOKUP(C128,Pairs!$A$2:$B$20,2,FALSE)</f>
        <v>30</v>
      </c>
      <c r="K128" s="5">
        <f ca="1">(E128-D128)*10000/VLOOKUP(C128,Pairs!$A$2:$G$20,5,FALSE)/J128+1</f>
        <v>11.056666666666676</v>
      </c>
      <c r="L128" s="11">
        <f>[10]Balancing!I2</f>
        <v>-253.69000000000003</v>
      </c>
      <c r="M128" s="11">
        <f>[10]Balancing!J2</f>
        <v>168.91</v>
      </c>
      <c r="N128" s="11">
        <f>[10]Balancing!K2</f>
        <v>5000</v>
      </c>
      <c r="O128" s="11">
        <f>[10]Balancing!L2</f>
        <v>-84.78000000000003</v>
      </c>
      <c r="P128" s="6">
        <f t="shared" si="7"/>
        <v>-1.6956000000000006E-2</v>
      </c>
    </row>
    <row r="129" spans="1:16" x14ac:dyDescent="0.25">
      <c r="A129" t="str">
        <f t="shared" ca="1" si="0"/>
        <v>IN-AlpariAUDJPY</v>
      </c>
      <c r="B129" t="str">
        <f t="shared" ca="1" si="9"/>
        <v>IN-Alpari</v>
      </c>
      <c r="C129" t="str">
        <f t="shared" ca="1" si="9"/>
        <v>AUDJPY</v>
      </c>
      <c r="D129" s="7">
        <f t="shared" ca="1" si="2"/>
        <v>93.6</v>
      </c>
      <c r="E129" s="7">
        <f t="shared" ca="1" si="3"/>
        <v>96</v>
      </c>
      <c r="F129" s="7">
        <f t="shared" ca="1" si="4"/>
        <v>94.8</v>
      </c>
      <c r="G129" s="7">
        <f t="shared" ca="1" si="5"/>
        <v>93.584999999999994</v>
      </c>
      <c r="H129" s="4">
        <f t="shared" ca="1" si="6"/>
        <v>-1.2500000000000445E-2</v>
      </c>
      <c r="I129" s="13">
        <f ca="1">(E129-D129)*10000/VLOOKUP(C129,Pairs!$A$2:$G$20,5,FALSE)</f>
        <v>240.00000000000057</v>
      </c>
      <c r="J129" s="5">
        <f ca="1">VLOOKUP(C129,Pairs!$A$2:$B$20,2,FALSE)</f>
        <v>20</v>
      </c>
      <c r="K129" s="5">
        <f ca="1">(E129-D129)*10000/VLOOKUP(C129,Pairs!$A$2:$G$20,5,FALSE)/J129+1</f>
        <v>13.000000000000028</v>
      </c>
      <c r="L129" s="11">
        <f>[10]Balancing!I3</f>
        <v>-95.249999999999986</v>
      </c>
      <c r="M129" s="11">
        <f>[10]Balancing!J3</f>
        <v>136.56</v>
      </c>
      <c r="N129" s="11">
        <f>[10]Balancing!K3</f>
        <v>5000</v>
      </c>
      <c r="O129" s="11">
        <f>[10]Balancing!L3</f>
        <v>41.310000000000016</v>
      </c>
      <c r="P129" s="6">
        <f t="shared" si="7"/>
        <v>8.2620000000000037E-3</v>
      </c>
    </row>
    <row r="130" spans="1:16" x14ac:dyDescent="0.25">
      <c r="A130" t="str">
        <f t="shared" ca="1" si="0"/>
        <v>IN-AlpariGBPNZD</v>
      </c>
      <c r="B130" t="str">
        <f t="shared" ca="1" si="9"/>
        <v>IN-Alpari</v>
      </c>
      <c r="C130" t="str">
        <f t="shared" ca="1" si="9"/>
        <v>GBPNZD</v>
      </c>
      <c r="D130" s="3">
        <f t="shared" ca="1" si="2"/>
        <v>1.93</v>
      </c>
      <c r="E130" s="3">
        <f t="shared" ca="1" si="3"/>
        <v>1.97</v>
      </c>
      <c r="F130" s="3">
        <f t="shared" ca="1" si="4"/>
        <v>1.95</v>
      </c>
      <c r="G130" s="3">
        <f t="shared" ca="1" si="5"/>
        <v>1.9642999999999999</v>
      </c>
      <c r="H130" s="4">
        <f t="shared" ca="1" si="6"/>
        <v>0.2850000000000017</v>
      </c>
      <c r="I130" s="13">
        <f ca="1">(E130-D130)*10000/VLOOKUP(C130,Pairs!$A$2:$G$20,5,FALSE)</f>
        <v>400.00000000000034</v>
      </c>
      <c r="J130" s="5">
        <f ca="1">VLOOKUP(C130,Pairs!$A$2:$B$20,2,FALSE)</f>
        <v>40</v>
      </c>
      <c r="K130" s="5">
        <f ca="1">(E130-D130)*10000/VLOOKUP(C130,Pairs!$A$2:$G$20,5,FALSE)/J130+1</f>
        <v>11.000000000000009</v>
      </c>
      <c r="L130" s="11">
        <f>[10]Balancing!I4</f>
        <v>-284.11999999999995</v>
      </c>
      <c r="M130" s="11">
        <f>[10]Balancing!J4</f>
        <v>292.65000000000009</v>
      </c>
      <c r="N130" s="11">
        <f>[10]Balancing!K4</f>
        <v>5000</v>
      </c>
      <c r="O130" s="11">
        <f>[10]Balancing!L4</f>
        <v>8.5300000000001432</v>
      </c>
      <c r="P130" s="6">
        <f t="shared" si="7"/>
        <v>1.7060000000000287E-3</v>
      </c>
    </row>
    <row r="131" spans="1:16" x14ac:dyDescent="0.25">
      <c r="A131" t="str">
        <f t="shared" ca="1" si="0"/>
        <v>IN-AlpariUSDJPY</v>
      </c>
      <c r="B131" t="str">
        <f t="shared" ca="1" si="9"/>
        <v>IN-Alpari</v>
      </c>
      <c r="C131" t="str">
        <f t="shared" ca="1" si="9"/>
        <v>USDJPY</v>
      </c>
      <c r="D131" s="7">
        <f t="shared" ca="1" si="2"/>
        <v>101.2</v>
      </c>
      <c r="E131" s="7">
        <f t="shared" ca="1" si="3"/>
        <v>103</v>
      </c>
      <c r="F131" s="7">
        <f t="shared" ca="1" si="4"/>
        <v>102.1</v>
      </c>
      <c r="G131" s="7">
        <f t="shared" ca="1" si="5"/>
        <v>101.29300000000001</v>
      </c>
      <c r="H131" s="4">
        <f t="shared" ca="1" si="6"/>
        <v>0.10333333333333741</v>
      </c>
      <c r="I131" s="13">
        <f ca="1">(E131-D131)*10000/VLOOKUP(C131,Pairs!$A$2:$G$20,5,FALSE)</f>
        <v>179.99999999999972</v>
      </c>
      <c r="J131" s="5">
        <f ca="1">VLOOKUP(C131,Pairs!$A$2:$B$20,2,FALSE)</f>
        <v>20</v>
      </c>
      <c r="K131" s="5">
        <f ca="1">(E131-D131)*10000/VLOOKUP(C131,Pairs!$A$2:$G$20,5,FALSE)/J131+1</f>
        <v>9.9999999999999858</v>
      </c>
      <c r="L131" s="11">
        <f>[10]Balancing!I5</f>
        <v>-122.03000000000002</v>
      </c>
      <c r="M131" s="11">
        <f>[10]Balancing!J5</f>
        <v>111.39000000000003</v>
      </c>
      <c r="N131" s="11">
        <f>[10]Balancing!K5</f>
        <v>5000</v>
      </c>
      <c r="O131" s="11">
        <f>[10]Balancing!L5</f>
        <v>-10.639999999999986</v>
      </c>
      <c r="P131" s="6">
        <f t="shared" si="7"/>
        <v>-2.1279999999999971E-3</v>
      </c>
    </row>
    <row r="132" spans="1:16" x14ac:dyDescent="0.25">
      <c r="A132" t="str">
        <f t="shared" ca="1" si="0"/>
        <v>V-AlpariUSDCHF</v>
      </c>
      <c r="B132" t="str">
        <f t="shared" ca="1" si="9"/>
        <v>V-Alpari</v>
      </c>
      <c r="C132" t="str">
        <f t="shared" ca="1" si="9"/>
        <v>USDCHF</v>
      </c>
      <c r="D132" s="3">
        <f t="shared" ca="1" si="2"/>
        <v>0.87092000000000003</v>
      </c>
      <c r="E132" s="3">
        <f t="shared" ca="1" si="3"/>
        <v>0.89503999999999995</v>
      </c>
      <c r="F132" s="3">
        <f t="shared" ca="1" si="4"/>
        <v>0.88297999999999999</v>
      </c>
      <c r="G132" s="3">
        <f t="shared" ca="1" si="5"/>
        <v>0.89193999999999996</v>
      </c>
      <c r="H132" s="4">
        <f t="shared" ca="1" si="6"/>
        <v>0.25704809286898866</v>
      </c>
      <c r="I132" s="13">
        <f ca="1">(E132-D132)*10000/VLOOKUP(C132,Pairs!$A$2:$G$20,5,FALSE)</f>
        <v>241.19999999999919</v>
      </c>
      <c r="J132" s="5">
        <f ca="1">VLOOKUP(C132,Pairs!$A$2:$B$20,2,FALSE)</f>
        <v>20</v>
      </c>
      <c r="K132" s="5">
        <f ca="1">(E132-D132)*10000/VLOOKUP(C132,Pairs!$A$2:$G$20,5,FALSE)/J132+1</f>
        <v>13.05999999999996</v>
      </c>
      <c r="L132" s="11">
        <f>[11]Balancing!I2</f>
        <v>-1152.7</v>
      </c>
      <c r="M132" s="11">
        <f>[11]Balancing!J2</f>
        <v>811.00000000000034</v>
      </c>
      <c r="N132" s="11">
        <f>[11]Balancing!K2</f>
        <v>25000</v>
      </c>
      <c r="O132" s="11">
        <f>[11]Balancing!L2</f>
        <v>-341.6999999999997</v>
      </c>
      <c r="P132" s="6">
        <f t="shared" si="7"/>
        <v>-1.3667999999999987E-2</v>
      </c>
    </row>
    <row r="133" spans="1:16" x14ac:dyDescent="0.25">
      <c r="A133" t="str">
        <f t="shared" ca="1" si="0"/>
        <v>V-AlpariGBPNZD</v>
      </c>
      <c r="B133" t="str">
        <f t="shared" ca="1" si="9"/>
        <v>V-Alpari</v>
      </c>
      <c r="C133" t="str">
        <f t="shared" ca="1" si="9"/>
        <v>GBPNZD</v>
      </c>
      <c r="D133" s="3">
        <f t="shared" ca="1" si="2"/>
        <v>1.93</v>
      </c>
      <c r="E133" s="3">
        <f t="shared" ca="1" si="3"/>
        <v>1.974</v>
      </c>
      <c r="F133" s="3">
        <f t="shared" ca="1" si="4"/>
        <v>1.952</v>
      </c>
      <c r="G133" s="3">
        <f t="shared" ca="1" si="5"/>
        <v>1.9642999999999999</v>
      </c>
      <c r="H133" s="4">
        <f t="shared" ca="1" si="6"/>
        <v>0.44090909090909247</v>
      </c>
      <c r="I133" s="13">
        <f ca="1">(E133-D133)*10000/VLOOKUP(C133,Pairs!$A$2:$G$20,5,FALSE)</f>
        <v>440.0000000000004</v>
      </c>
      <c r="J133" s="5">
        <f ca="1">VLOOKUP(C133,Pairs!$A$2:$B$20,2,FALSE)</f>
        <v>40</v>
      </c>
      <c r="K133" s="5">
        <f ca="1">(E133-D133)*10000/VLOOKUP(C133,Pairs!$A$2:$G$20,5,FALSE)/J133+1</f>
        <v>12.000000000000011</v>
      </c>
      <c r="L133" s="11">
        <f>[11]Balancing!I3</f>
        <v>-1745.3</v>
      </c>
      <c r="M133" s="11">
        <f>[11]Balancing!J3</f>
        <v>1772.1399999999999</v>
      </c>
      <c r="N133" s="11">
        <f>[11]Balancing!K3</f>
        <v>25000</v>
      </c>
      <c r="O133" s="11">
        <f>[11]Balancing!L3</f>
        <v>26.839999999999918</v>
      </c>
      <c r="P133" s="6">
        <f t="shared" si="7"/>
        <v>1.0735999999999968E-3</v>
      </c>
    </row>
    <row r="134" spans="1:16" x14ac:dyDescent="0.25">
      <c r="A134" t="str">
        <f t="shared" ca="1" si="0"/>
        <v>V-AlpariCADJPY</v>
      </c>
      <c r="B134" t="str">
        <f t="shared" ca="1" si="9"/>
        <v>V-Alpari</v>
      </c>
      <c r="C134" t="str">
        <f t="shared" ca="1" si="9"/>
        <v>CADJPY</v>
      </c>
      <c r="D134" s="7">
        <f t="shared" ca="1" si="2"/>
        <v>92.4</v>
      </c>
      <c r="E134" s="7">
        <f t="shared" ca="1" si="3"/>
        <v>94</v>
      </c>
      <c r="F134" s="7">
        <f t="shared" ca="1" si="4"/>
        <v>93.2</v>
      </c>
      <c r="G134" s="7">
        <f t="shared" ca="1" si="5"/>
        <v>92.864999999999995</v>
      </c>
      <c r="H134" s="4">
        <f t="shared" ca="1" si="6"/>
        <v>0.58124999999998861</v>
      </c>
      <c r="I134" s="13">
        <f ca="1">(E134-D134)*10000/VLOOKUP(C134,Pairs!$A$2:$G$20,5,FALSE)</f>
        <v>159.99999999999943</v>
      </c>
      <c r="J134" s="5">
        <f ca="1">VLOOKUP(C134,Pairs!$A$2:$B$20,2,FALSE)</f>
        <v>20</v>
      </c>
      <c r="K134" s="5">
        <f ca="1">(E134-D134)*10000/VLOOKUP(C134,Pairs!$A$2:$G$20,5,FALSE)/J134+1</f>
        <v>8.9999999999999716</v>
      </c>
      <c r="L134" s="11">
        <f>[11]Balancing!I4</f>
        <v>-721.53</v>
      </c>
      <c r="M134" s="11">
        <f>[11]Balancing!J4</f>
        <v>736.08000000000015</v>
      </c>
      <c r="N134" s="11">
        <f>[11]Balancing!K4</f>
        <v>25000</v>
      </c>
      <c r="O134" s="11">
        <f>[11]Balancing!L4</f>
        <v>14.550000000000182</v>
      </c>
      <c r="P134" s="6">
        <f t="shared" si="7"/>
        <v>5.8200000000000732E-4</v>
      </c>
    </row>
    <row r="135" spans="1:16" x14ac:dyDescent="0.25">
      <c r="A135" t="str">
        <f t="shared" ca="1" si="0"/>
        <v>V-AlpariEURUSD</v>
      </c>
      <c r="B135" t="str">
        <f t="shared" ca="1" si="9"/>
        <v>V-Alpari</v>
      </c>
      <c r="C135" t="str">
        <f t="shared" ca="1" si="9"/>
        <v>EURUSD</v>
      </c>
      <c r="D135" s="3">
        <f t="shared" ca="1" si="2"/>
        <v>1.3667</v>
      </c>
      <c r="E135" s="3">
        <f t="shared" ca="1" si="3"/>
        <v>1.397</v>
      </c>
      <c r="F135" s="3">
        <f t="shared" ca="1" si="4"/>
        <v>1.38185</v>
      </c>
      <c r="G135" s="3">
        <f t="shared" ca="1" si="5"/>
        <v>1.3698600000000001</v>
      </c>
      <c r="H135" s="4">
        <f t="shared" ca="1" si="6"/>
        <v>0.20858085808581203</v>
      </c>
      <c r="I135" s="13">
        <f ca="1">(E135-D135)*10000/VLOOKUP(C135,Pairs!$A$2:$G$20,5,FALSE)</f>
        <v>302.99999999999994</v>
      </c>
      <c r="J135" s="5">
        <f ca="1">VLOOKUP(C135,Pairs!$A$2:$B$20,2,FALSE)</f>
        <v>30</v>
      </c>
      <c r="K135" s="5">
        <f ca="1">(E135-D135)*10000/VLOOKUP(C135,Pairs!$A$2:$G$20,5,FALSE)/J135+1</f>
        <v>11.099999999999998</v>
      </c>
      <c r="L135" s="11">
        <f>[11]Balancing!I5</f>
        <v>-1268.0400000000002</v>
      </c>
      <c r="M135" s="11">
        <f>[11]Balancing!J5</f>
        <v>945.0999999999998</v>
      </c>
      <c r="N135" s="11">
        <f>[11]Balancing!K5</f>
        <v>25000</v>
      </c>
      <c r="O135" s="11">
        <f>[11]Balancing!L5</f>
        <v>-322.9400000000004</v>
      </c>
      <c r="P135" s="6">
        <f t="shared" si="7"/>
        <v>-1.2917600000000015E-2</v>
      </c>
    </row>
    <row r="136" spans="1:16" x14ac:dyDescent="0.25">
      <c r="A136" t="str">
        <f t="shared" ca="1" si="0"/>
        <v>R-AlpariCADJPY</v>
      </c>
      <c r="B136" t="str">
        <f t="shared" ca="1" si="9"/>
        <v>R-Alpari</v>
      </c>
      <c r="C136" t="str">
        <f t="shared" ca="1" si="9"/>
        <v>CADJPY</v>
      </c>
      <c r="D136" s="7">
        <f t="shared" ca="1" si="2"/>
        <v>90.8</v>
      </c>
      <c r="E136" s="7">
        <f t="shared" ca="1" si="3"/>
        <v>94.81</v>
      </c>
      <c r="F136" s="7">
        <f t="shared" ca="1" si="4"/>
        <v>92.805000000000007</v>
      </c>
      <c r="G136" s="7">
        <f t="shared" ca="1" si="5"/>
        <v>92.864999999999995</v>
      </c>
      <c r="H136" s="4">
        <f t="shared" ca="1" si="6"/>
        <v>0.97007481296758358</v>
      </c>
      <c r="I136" s="13">
        <f ca="1">(E136-D136)*10000/VLOOKUP(C136,Pairs!$A$2:$G$20,5,FALSE)</f>
        <v>401.00000000000051</v>
      </c>
      <c r="J136" s="5">
        <f ca="1">VLOOKUP(C136,Pairs!$A$2:$B$20,2,FALSE)</f>
        <v>20</v>
      </c>
      <c r="K136" s="5">
        <f ca="1">(E136-D136)*10000/VLOOKUP(C136,Pairs!$A$2:$G$20,5,FALSE)/J136+1</f>
        <v>21.050000000000026</v>
      </c>
      <c r="L136" s="11">
        <f>[12]Balancing!I2</f>
        <v>-1904.65</v>
      </c>
      <c r="M136" s="11">
        <f>[12]Balancing!J2</f>
        <v>2337.5300000000007</v>
      </c>
      <c r="N136" s="11">
        <f>[12]Balancing!K2</f>
        <v>28571.428571428572</v>
      </c>
      <c r="O136" s="11">
        <f>[12]Balancing!L2</f>
        <v>432.88000000000056</v>
      </c>
      <c r="P136" s="6">
        <f t="shared" si="7"/>
        <v>1.515080000000002E-2</v>
      </c>
    </row>
    <row r="137" spans="1:16" x14ac:dyDescent="0.25">
      <c r="A137" t="str">
        <f t="shared" ca="1" si="0"/>
        <v>R-AlpariAUDUSD</v>
      </c>
      <c r="B137" t="str">
        <f t="shared" ca="1" si="9"/>
        <v>R-Alpari</v>
      </c>
      <c r="C137" t="str">
        <f t="shared" ca="1" si="9"/>
        <v>AUDUSD</v>
      </c>
      <c r="D137" s="3">
        <f t="shared" ca="1" si="2"/>
        <v>0.89344999999999997</v>
      </c>
      <c r="E137" s="3">
        <f t="shared" ca="1" si="3"/>
        <v>0.94559000000000004</v>
      </c>
      <c r="F137" s="3">
        <f t="shared" ca="1" si="4"/>
        <v>0.91952</v>
      </c>
      <c r="G137" s="3">
        <f t="shared" ca="1" si="5"/>
        <v>0.92395000000000005</v>
      </c>
      <c r="H137" s="4">
        <f t="shared" ca="1" si="6"/>
        <v>0.83007288070579066</v>
      </c>
      <c r="I137" s="13">
        <f ca="1">(E137-D137)*10000/VLOOKUP(C137,Pairs!$A$2:$G$20,5,FALSE)</f>
        <v>521.40000000000077</v>
      </c>
      <c r="J137" s="5">
        <f ca="1">VLOOKUP(C137,Pairs!$A$2:$B$20,2,FALSE)</f>
        <v>20</v>
      </c>
      <c r="K137" s="5">
        <f ca="1">(E137-D137)*10000/VLOOKUP(C137,Pairs!$A$2:$G$20,5,FALSE)/J137+1</f>
        <v>27.070000000000039</v>
      </c>
      <c r="L137" s="11">
        <f>[12]Balancing!I3</f>
        <v>-4165.2700000000004</v>
      </c>
      <c r="M137" s="11">
        <f>[12]Balancing!J3</f>
        <v>2458.3300000000008</v>
      </c>
      <c r="N137" s="11">
        <f>[12]Balancing!K3</f>
        <v>14285.714285714286</v>
      </c>
      <c r="O137" s="11">
        <f>[12]Balancing!L3</f>
        <v>-1706.9399999999996</v>
      </c>
      <c r="P137" s="6">
        <f t="shared" si="7"/>
        <v>-0.11948579999999996</v>
      </c>
    </row>
    <row r="138" spans="1:16" x14ac:dyDescent="0.25">
      <c r="A138" t="str">
        <f t="shared" ca="1" si="0"/>
        <v>R-AlpariEURGBP</v>
      </c>
      <c r="B138" t="str">
        <f t="shared" ca="1" si="9"/>
        <v>R-Alpari</v>
      </c>
      <c r="C138" t="str">
        <f t="shared" ca="1" si="9"/>
        <v>EURGBP</v>
      </c>
      <c r="D138" s="3">
        <f t="shared" ca="1" si="2"/>
        <v>0.81200000000000006</v>
      </c>
      <c r="E138" s="3">
        <f t="shared" ca="1" si="3"/>
        <v>0.84</v>
      </c>
      <c r="F138" s="3">
        <f t="shared" ca="1" si="4"/>
        <v>0.82599999999999996</v>
      </c>
      <c r="G138" s="3">
        <f t="shared" ca="1" si="5"/>
        <v>0.81347000000000003</v>
      </c>
      <c r="H138" s="4">
        <f t="shared" ca="1" si="6"/>
        <v>0.10499999999999828</v>
      </c>
      <c r="I138" s="13">
        <f ca="1">(E138-D138)*10000/VLOOKUP(C138,Pairs!$A$2:$G$20,5,FALSE)</f>
        <v>279.99999999999915</v>
      </c>
      <c r="J138" s="5">
        <f ca="1">VLOOKUP(C138,Pairs!$A$2:$B$20,2,FALSE)</f>
        <v>20</v>
      </c>
      <c r="K138" s="5">
        <f ca="1">(E138-D138)*10000/VLOOKUP(C138,Pairs!$A$2:$G$20,5,FALSE)/J138+1</f>
        <v>14.999999999999957</v>
      </c>
      <c r="L138" s="11">
        <f>[12]Balancing!I4</f>
        <v>-1924.0199999999995</v>
      </c>
      <c r="M138" s="11">
        <f>[12]Balancing!J4</f>
        <v>1374.24</v>
      </c>
      <c r="N138" s="11">
        <f>[12]Balancing!K4</f>
        <v>28571.428571428572</v>
      </c>
      <c r="O138" s="11">
        <f>[12]Balancing!L4</f>
        <v>-549.77999999999952</v>
      </c>
      <c r="P138" s="6">
        <f t="shared" si="7"/>
        <v>-1.9242299999999983E-2</v>
      </c>
    </row>
    <row r="139" spans="1:16" x14ac:dyDescent="0.25">
      <c r="A139" t="str">
        <f t="shared" ca="1" si="0"/>
        <v>M-AlpariAUDJPY</v>
      </c>
      <c r="B139" t="str">
        <f t="shared" ca="1" si="9"/>
        <v>M-Alpari</v>
      </c>
      <c r="C139" t="str">
        <f t="shared" ca="1" si="9"/>
        <v>AUDJPY</v>
      </c>
      <c r="D139" s="7">
        <f t="shared" ca="1" si="2"/>
        <v>90.2</v>
      </c>
      <c r="E139" s="7">
        <f t="shared" ca="1" si="3"/>
        <v>96.4</v>
      </c>
      <c r="F139" s="7">
        <f t="shared" ca="1" si="4"/>
        <v>93.3</v>
      </c>
      <c r="G139" s="7">
        <f t="shared" ca="1" si="5"/>
        <v>93.584999999999994</v>
      </c>
      <c r="H139" s="4">
        <f t="shared" ca="1" si="6"/>
        <v>0.90806451612903571</v>
      </c>
      <c r="I139" s="13">
        <f ca="1">(E139-D139)*10000/VLOOKUP(C139,Pairs!$A$2:$G$20,5,FALSE)</f>
        <v>620.00000000000034</v>
      </c>
      <c r="J139" s="5">
        <f ca="1">VLOOKUP(C139,Pairs!$A$2:$B$20,2,FALSE)</f>
        <v>20</v>
      </c>
      <c r="K139" s="5">
        <f ca="1">(E139-D139)*10000/VLOOKUP(C139,Pairs!$A$2:$G$20,5,FALSE)/J139+1</f>
        <v>32.000000000000014</v>
      </c>
      <c r="L139" s="11">
        <f>[13]Balancing!I2</f>
        <v>-12167.1</v>
      </c>
      <c r="M139" s="11">
        <f>[13]Balancing!J2</f>
        <v>13013.640000000003</v>
      </c>
      <c r="N139" s="11">
        <f>[13]Balancing!K2</f>
        <v>15000</v>
      </c>
      <c r="O139" s="11">
        <f>[13]Balancing!L2</f>
        <v>20000</v>
      </c>
      <c r="P139" s="6">
        <f>[13]Balancing!M2</f>
        <v>846.54000000000269</v>
      </c>
    </row>
    <row r="140" spans="1:16" x14ac:dyDescent="0.25">
      <c r="A140" t="str">
        <f t="shared" ca="1" si="0"/>
        <v>M-AlpariEURUSD</v>
      </c>
      <c r="B140" t="str">
        <f t="shared" ca="1" si="9"/>
        <v>M-Alpari</v>
      </c>
      <c r="C140" t="str">
        <f t="shared" ca="1" si="9"/>
        <v>EURUSD</v>
      </c>
      <c r="D140" s="3">
        <f t="shared" ca="1" si="2"/>
        <v>1.367</v>
      </c>
      <c r="E140" s="3">
        <f t="shared" ca="1" si="3"/>
        <v>1.397</v>
      </c>
      <c r="F140" s="3">
        <f t="shared" ca="1" si="4"/>
        <v>1.3819999999999999</v>
      </c>
      <c r="G140" s="3">
        <f t="shared" ca="1" si="5"/>
        <v>1.3698699999999999</v>
      </c>
      <c r="H140" s="4">
        <f t="shared" ca="1" si="6"/>
        <v>0.19133333333332839</v>
      </c>
      <c r="I140" s="13">
        <f ca="1">(E140-D140)*10000/VLOOKUP(C140,Pairs!$A$2:$G$20,5,FALSE)</f>
        <v>300.00000000000028</v>
      </c>
      <c r="J140" s="5">
        <f ca="1">VLOOKUP(C140,Pairs!$A$2:$B$20,2,FALSE)</f>
        <v>30</v>
      </c>
      <c r="K140" s="5">
        <f ca="1">(E140-D140)*10000/VLOOKUP(C140,Pairs!$A$2:$G$20,5,FALSE)/J140+1</f>
        <v>11.000000000000009</v>
      </c>
      <c r="L140" s="11">
        <f>[13]Balancing!I3</f>
        <v>-1624.04</v>
      </c>
      <c r="M140" s="11">
        <f>[13]Balancing!J3</f>
        <v>6414.1199999999981</v>
      </c>
      <c r="N140" s="11">
        <f>[13]Balancing!K3</f>
        <v>15000</v>
      </c>
      <c r="O140" s="11">
        <f>[13]Balancing!L3</f>
        <v>20000</v>
      </c>
      <c r="P140" s="6">
        <f>[13]Balancing!M3</f>
        <v>4790.0799999999981</v>
      </c>
    </row>
    <row r="141" spans="1:16" x14ac:dyDescent="0.25">
      <c r="A141" t="str">
        <f t="shared" ca="1" si="0"/>
        <v>M-AlpariNZDUSD</v>
      </c>
      <c r="B141" t="str">
        <f t="shared" ca="1" si="9"/>
        <v>M-Alpari</v>
      </c>
      <c r="C141" t="str">
        <f t="shared" ca="1" si="9"/>
        <v>NZDUSD</v>
      </c>
      <c r="D141" s="3">
        <f t="shared" ca="1" si="2"/>
        <v>0.82750000000000001</v>
      </c>
      <c r="E141" s="3">
        <f t="shared" ca="1" si="3"/>
        <v>0.87749999999999995</v>
      </c>
      <c r="F141" s="3">
        <f t="shared" ca="1" si="4"/>
        <v>0.85250000000000004</v>
      </c>
      <c r="G141" s="3">
        <f t="shared" ca="1" si="5"/>
        <v>0.85663999999999996</v>
      </c>
      <c r="H141" s="4">
        <f t="shared" ca="1" si="6"/>
        <v>0.8344000000000007</v>
      </c>
      <c r="I141" s="13">
        <f ca="1">(E141-D141)*10000/VLOOKUP(C141,Pairs!$A$2:$G$20,5,FALSE)</f>
        <v>499.99999999999932</v>
      </c>
      <c r="J141" s="5">
        <f ca="1">VLOOKUP(C141,Pairs!$A$2:$B$20,2,FALSE)</f>
        <v>20</v>
      </c>
      <c r="K141" s="5">
        <f ca="1">(E141-D141)*10000/VLOOKUP(C141,Pairs!$A$2:$G$20,5,FALSE)/J141+1</f>
        <v>25.999999999999964</v>
      </c>
      <c r="L141" s="11">
        <f>[13]Balancing!I4</f>
        <v>-6453.2400000000007</v>
      </c>
      <c r="M141" s="11">
        <f>[13]Balancing!J4</f>
        <v>8522.340000000002</v>
      </c>
      <c r="N141" s="11">
        <f>[13]Balancing!K4</f>
        <v>15000</v>
      </c>
      <c r="O141" s="11">
        <f>[13]Balancing!L4</f>
        <v>20000</v>
      </c>
      <c r="P141" s="6">
        <f>[13]Balancing!M4</f>
        <v>2069.1000000000013</v>
      </c>
    </row>
  </sheetData>
  <conditionalFormatting sqref="H102:H141">
    <cfRule type="iconSet" priority="2">
      <iconSet>
        <cfvo type="percent" val="0"/>
        <cfvo type="num" val="0.33329999999999999"/>
        <cfvo type="num" val="0.66669999999999996"/>
      </iconSet>
    </cfRule>
  </conditionalFormatting>
  <conditionalFormatting sqref="H1:H100">
    <cfRule type="iconSet" priority="4">
      <iconSet>
        <cfvo type="percent" val="0"/>
        <cfvo type="num" val="0.33329999999999999"/>
        <cfvo type="num" val="0.66669999999999996"/>
      </iconSet>
    </cfRule>
  </conditionalFormatting>
  <pageMargins left="0.7" right="0.7" top="0.75" bottom="0.75" header="0.3" footer="0.3"/>
  <pageSetup paperSize="9" orientation="portrait" r:id="rId1"/>
  <tableParts count="4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cols>
    <col min="1" max="5" width="9.140625" style="8"/>
    <col min="6" max="6" width="11.140625" style="8" bestFit="1" customWidth="1"/>
    <col min="7" max="7" width="11.5703125" style="8" bestFit="1" customWidth="1"/>
    <col min="8" max="16384" width="9.140625" style="8"/>
  </cols>
  <sheetData>
    <row r="1" spans="1:7" x14ac:dyDescent="0.25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25</v>
      </c>
      <c r="G1" s="8" t="s">
        <v>26</v>
      </c>
    </row>
    <row r="2" spans="1:7" x14ac:dyDescent="0.25">
      <c r="A2" s="8" t="s">
        <v>10</v>
      </c>
      <c r="B2" s="8">
        <v>30</v>
      </c>
      <c r="C2" s="8">
        <v>1.19</v>
      </c>
      <c r="D2" s="8">
        <v>1.5</v>
      </c>
      <c r="E2" s="8">
        <v>1</v>
      </c>
      <c r="F2" s="3" t="e">
        <f>[14]!EURUSD</f>
        <v>#REF!</v>
      </c>
      <c r="G2" s="3" t="e">
        <f>[15]!EURUSD</f>
        <v>#REF!</v>
      </c>
    </row>
    <row r="3" spans="1:7" x14ac:dyDescent="0.25">
      <c r="A3" s="8" t="s">
        <v>11</v>
      </c>
      <c r="B3" s="8">
        <v>20</v>
      </c>
      <c r="C3" s="8">
        <v>0.66149999999999998</v>
      </c>
      <c r="D3" s="8">
        <v>0.88</v>
      </c>
      <c r="E3" s="8">
        <v>1</v>
      </c>
      <c r="F3" s="3" t="e">
        <f>[14]!NZDUSD</f>
        <v>#REF!</v>
      </c>
      <c r="G3" s="3" t="e">
        <f>[15]!NZDUSD</f>
        <v>#REF!</v>
      </c>
    </row>
    <row r="4" spans="1:7" x14ac:dyDescent="0.25">
      <c r="A4" s="8" t="s">
        <v>12</v>
      </c>
      <c r="B4" s="8">
        <v>20</v>
      </c>
      <c r="C4" s="8">
        <v>0.94</v>
      </c>
      <c r="D4" s="8">
        <v>1.07</v>
      </c>
      <c r="E4" s="8">
        <v>1</v>
      </c>
      <c r="F4" s="3" t="e">
        <f>[14]!USDCAD</f>
        <v>#REF!</v>
      </c>
      <c r="G4" s="3" t="e">
        <f>[15]!USDCAD</f>
        <v>#REF!</v>
      </c>
    </row>
    <row r="5" spans="1:7" x14ac:dyDescent="0.25">
      <c r="A5" s="8" t="s">
        <v>13</v>
      </c>
      <c r="B5" s="8">
        <v>20</v>
      </c>
      <c r="C5" s="8">
        <v>85</v>
      </c>
      <c r="D5" s="8">
        <v>115</v>
      </c>
      <c r="E5" s="8">
        <v>100</v>
      </c>
      <c r="F5" s="3" t="e">
        <f>[14]!USDJPY</f>
        <v>#REF!</v>
      </c>
      <c r="G5" s="3" t="e">
        <f>[15]!USDJPY</f>
        <v>#REF!</v>
      </c>
    </row>
    <row r="6" spans="1:7" x14ac:dyDescent="0.25">
      <c r="A6" s="8" t="s">
        <v>14</v>
      </c>
      <c r="B6" s="8">
        <v>20</v>
      </c>
      <c r="C6" s="8">
        <v>92</v>
      </c>
      <c r="D6" s="8">
        <v>140</v>
      </c>
      <c r="E6" s="8">
        <v>100</v>
      </c>
      <c r="F6" s="3" t="e">
        <f>[14]!EURJPY</f>
        <v>#REF!</v>
      </c>
      <c r="G6" s="3" t="e">
        <f>[15]!EURJPY</f>
        <v>#REF!</v>
      </c>
    </row>
    <row r="7" spans="1:7" x14ac:dyDescent="0.25">
      <c r="A7" s="8" t="s">
        <v>15</v>
      </c>
      <c r="B7" s="8">
        <v>40</v>
      </c>
      <c r="C7" s="8">
        <v>1.77</v>
      </c>
      <c r="D7" s="8">
        <v>2.2200000000000002</v>
      </c>
      <c r="E7" s="8">
        <v>1</v>
      </c>
      <c r="F7" s="3" t="e">
        <f>[14]!GBPNZD</f>
        <v>#REF!</v>
      </c>
      <c r="G7" s="3" t="e">
        <f>[15]!GBPNZD</f>
        <v>#REF!</v>
      </c>
    </row>
    <row r="8" spans="1:7" x14ac:dyDescent="0.25">
      <c r="A8" s="8" t="s">
        <v>16</v>
      </c>
      <c r="B8" s="8">
        <v>20</v>
      </c>
      <c r="C8" s="8">
        <v>0.63900000000000001</v>
      </c>
      <c r="D8" s="8">
        <v>0.81499999999999995</v>
      </c>
      <c r="E8" s="8">
        <v>1</v>
      </c>
      <c r="F8" s="3" t="str">
        <f>[14]!NZDCHF</f>
        <v>N\A</v>
      </c>
      <c r="G8" s="3" t="str">
        <f>[15]!NZDCHF</f>
        <v>N\A</v>
      </c>
    </row>
    <row r="9" spans="1:7" x14ac:dyDescent="0.25">
      <c r="A9" s="8" t="s">
        <v>17</v>
      </c>
      <c r="B9" s="8">
        <v>20</v>
      </c>
      <c r="C9" s="8">
        <v>0.77800000000000002</v>
      </c>
      <c r="D9" s="8">
        <v>0.94</v>
      </c>
      <c r="E9" s="8">
        <v>1</v>
      </c>
      <c r="F9" s="3">
        <f>[14]!EURGBP</f>
        <v>0.81042999999999998</v>
      </c>
      <c r="G9" s="3">
        <f>[15]!EURGBP</f>
        <v>0.81064000000000003</v>
      </c>
    </row>
    <row r="10" spans="1:7" x14ac:dyDescent="0.25">
      <c r="A10" s="8" t="s">
        <v>18</v>
      </c>
      <c r="B10" s="8">
        <v>100</v>
      </c>
      <c r="C10" s="8">
        <v>7.25</v>
      </c>
      <c r="D10" s="8">
        <v>8.25</v>
      </c>
      <c r="E10" s="8">
        <v>1</v>
      </c>
      <c r="F10" s="3" t="e">
        <f>[14]!EURNOK</f>
        <v>#REF!</v>
      </c>
      <c r="G10" s="3" t="e">
        <f>[15]!EURNOK</f>
        <v>#REF!</v>
      </c>
    </row>
    <row r="11" spans="1:7" x14ac:dyDescent="0.25">
      <c r="A11" s="8" t="s">
        <v>19</v>
      </c>
      <c r="B11" s="8">
        <v>30</v>
      </c>
      <c r="C11" s="8">
        <v>1.48</v>
      </c>
      <c r="D11" s="8">
        <v>1.66</v>
      </c>
      <c r="E11" s="8">
        <v>1</v>
      </c>
      <c r="F11" s="3">
        <f>[14]!GBPUSD</f>
        <v>1.6813899999999999</v>
      </c>
      <c r="G11" s="3">
        <f>[15]!GBPUSD</f>
        <v>1.6816500000000001</v>
      </c>
    </row>
    <row r="12" spans="1:7" x14ac:dyDescent="0.25">
      <c r="A12" s="8" t="s">
        <v>20</v>
      </c>
      <c r="B12" s="8">
        <v>20</v>
      </c>
      <c r="C12" s="8">
        <v>0.85499999999999998</v>
      </c>
      <c r="D12" s="8">
        <v>1</v>
      </c>
      <c r="E12" s="8">
        <v>1</v>
      </c>
      <c r="F12" s="3" t="e">
        <f>[14]!USDCHF</f>
        <v>#REF!</v>
      </c>
      <c r="G12" s="3" t="e">
        <f>[15]!USDCHF</f>
        <v>#REF!</v>
      </c>
    </row>
    <row r="13" spans="1:7" x14ac:dyDescent="0.25">
      <c r="A13" s="8" t="s">
        <v>21</v>
      </c>
      <c r="B13" s="8">
        <v>20</v>
      </c>
      <c r="C13" s="8">
        <v>74</v>
      </c>
      <c r="D13" s="8">
        <v>105</v>
      </c>
      <c r="E13" s="8">
        <v>100</v>
      </c>
      <c r="F13" s="3">
        <f>[14]!AUDJPY</f>
        <v>95.718000000000004</v>
      </c>
      <c r="G13" s="3">
        <f>[15]!AUDJPY</f>
        <v>95.768000000000001</v>
      </c>
    </row>
    <row r="14" spans="1:7" x14ac:dyDescent="0.25">
      <c r="A14" s="8" t="s">
        <v>22</v>
      </c>
      <c r="B14" s="8">
        <v>20</v>
      </c>
      <c r="C14" s="8">
        <v>1.38</v>
      </c>
      <c r="D14" s="8">
        <v>1.55</v>
      </c>
      <c r="E14" s="8">
        <v>1</v>
      </c>
      <c r="F14" s="3">
        <f>[14]!GBPCHF</f>
        <v>1.5015799999999999</v>
      </c>
      <c r="G14" s="3">
        <f>[15]!GBPCHF</f>
        <v>1.50223</v>
      </c>
    </row>
    <row r="15" spans="1:7" x14ac:dyDescent="0.25">
      <c r="A15" s="8" t="s">
        <v>23</v>
      </c>
      <c r="B15" s="8">
        <v>20</v>
      </c>
      <c r="C15" s="8">
        <v>87</v>
      </c>
      <c r="D15" s="8">
        <v>101</v>
      </c>
      <c r="E15" s="8">
        <v>100</v>
      </c>
      <c r="F15" s="3">
        <f>[14]!CADJPY</f>
        <v>93.685000000000002</v>
      </c>
      <c r="G15" s="3">
        <f>[15]!CADJPY</f>
        <v>93.734999999999999</v>
      </c>
    </row>
    <row r="16" spans="1:7" x14ac:dyDescent="0.25">
      <c r="A16" s="8" t="s">
        <v>28</v>
      </c>
      <c r="B16" s="8">
        <v>20</v>
      </c>
      <c r="C16" s="8">
        <v>0.82350000000000001</v>
      </c>
      <c r="D16" s="8">
        <v>1.0825</v>
      </c>
      <c r="E16" s="8">
        <v>1</v>
      </c>
      <c r="F16" s="3">
        <f>[14]!AUDUSD</f>
        <v>0.93506</v>
      </c>
      <c r="G16" s="3">
        <f>[15]!AUDUSD</f>
        <v>0.93535999999999997</v>
      </c>
    </row>
    <row r="17" spans="1:7" x14ac:dyDescent="0.25">
      <c r="A17" s="8" t="s">
        <v>30</v>
      </c>
      <c r="B17" s="8">
        <v>20</v>
      </c>
      <c r="C17" s="8">
        <v>1.1599999999999999</v>
      </c>
      <c r="D17" s="8">
        <v>1.6</v>
      </c>
      <c r="E17" s="8">
        <v>1</v>
      </c>
      <c r="F17" s="3">
        <f>[14]!EURAUD</f>
        <v>1.45706</v>
      </c>
      <c r="G17" s="3">
        <f>[15]!EURAUD</f>
        <v>1.4578100000000001</v>
      </c>
    </row>
    <row r="18" spans="1:7" x14ac:dyDescent="0.25">
      <c r="A18" s="8" t="s">
        <v>31</v>
      </c>
      <c r="B18" s="8">
        <v>50</v>
      </c>
      <c r="C18" s="8">
        <v>1150</v>
      </c>
      <c r="D18" s="8">
        <v>1950</v>
      </c>
      <c r="F18" s="3">
        <f>[14]!XAUUSD</f>
        <v>1253.5250000000001</v>
      </c>
      <c r="G18" s="3">
        <f>[15]!XAUUSD</f>
        <v>1253.925</v>
      </c>
    </row>
    <row r="19" spans="1:7" x14ac:dyDescent="0.25">
      <c r="A19" s="8" t="s">
        <v>35</v>
      </c>
      <c r="B19" s="8">
        <v>50</v>
      </c>
      <c r="C19" s="8">
        <v>1150</v>
      </c>
      <c r="D19" s="8">
        <v>1950</v>
      </c>
      <c r="F19" s="3" t="str">
        <f>[14]!GOLD</f>
        <v>N\A</v>
      </c>
      <c r="G19" s="3" t="str">
        <f>[15]!GOLD</f>
        <v>N\A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" sqref="D2:D15"/>
    </sheetView>
  </sheetViews>
  <sheetFormatPr defaultRowHeight="15" x14ac:dyDescent="0.25"/>
  <cols>
    <col min="1" max="1" width="21.42578125" style="8" bestFit="1" customWidth="1"/>
    <col min="2" max="2" width="40.85546875" style="8" bestFit="1" customWidth="1"/>
    <col min="3" max="3" width="70.85546875" style="8" bestFit="1" customWidth="1"/>
    <col min="4" max="16384" width="9.140625" style="8"/>
  </cols>
  <sheetData>
    <row r="1" spans="1:7" s="16" customFormat="1" x14ac:dyDescent="0.25">
      <c r="A1" s="16" t="s">
        <v>71</v>
      </c>
      <c r="B1" s="16" t="s">
        <v>70</v>
      </c>
      <c r="C1" s="16" t="s">
        <v>69</v>
      </c>
      <c r="D1" s="16" t="s">
        <v>68</v>
      </c>
      <c r="E1" s="16" t="s">
        <v>67</v>
      </c>
      <c r="F1" s="16" t="s">
        <v>66</v>
      </c>
      <c r="G1" s="16" t="s">
        <v>65</v>
      </c>
    </row>
    <row r="2" spans="1:7" x14ac:dyDescent="0.25">
      <c r="A2" s="8" t="s">
        <v>64</v>
      </c>
      <c r="B2" s="8" t="str">
        <f t="shared" ref="B2:B15" si="0">"C:\"&amp;CHAR(34)&amp;"Program Files"&amp;CHAR(34)&amp;"\"&amp;CHAR(34)&amp;A2&amp;CHAR(34)</f>
        <v>C:\"Program Files"\"MetaTrader - Alpari UK"</v>
      </c>
      <c r="C2" s="8" t="str">
        <f t="shared" ref="C2:E15" si="1">"copy /Y "&amp;C$1&amp;"\* "&amp;$B2&amp;"\MQL4\"&amp;C$1</f>
        <v>copy /Y Experts\* C:\"Program Files"\"MetaTrader - Alpari UK"\MQL4\Experts</v>
      </c>
      <c r="D2" s="8" t="str">
        <f t="shared" si="1"/>
        <v>copy /Y Libraries\* C:\"Program Files"\"MetaTrader - Alpari UK"\MQL4\Libraries</v>
      </c>
      <c r="E2" s="8" t="str">
        <f t="shared" si="1"/>
        <v>copy /Y Indicators\* C:\"Program Files"\"MetaTrader - Alpari UK"\MQL4\Indicators</v>
      </c>
      <c r="F2" s="8" t="str">
        <f t="shared" ref="F2:G15" si="2">"copy /Y "&amp;F$1&amp;"\* "&amp;$B2&amp;"\"&amp;F$1</f>
        <v>copy /Y Templates\* C:\"Program Files"\"MetaTrader - Alpari UK"\Templates</v>
      </c>
      <c r="G2" s="8" t="str">
        <f t="shared" si="2"/>
        <v>copy /Y Profiles\* C:\"Program Files"\"MetaTrader - Alpari UK"\Profiles</v>
      </c>
    </row>
    <row r="3" spans="1:7" x14ac:dyDescent="0.25">
      <c r="A3" s="8" t="s">
        <v>63</v>
      </c>
      <c r="B3" s="8" t="str">
        <f t="shared" si="0"/>
        <v>C:\"Program Files"\"MetaTrader-IA"</v>
      </c>
      <c r="C3" s="8" t="str">
        <f t="shared" si="1"/>
        <v>copy /Y Experts\* C:\"Program Files"\"MetaTrader-IA"\MQL4\Experts</v>
      </c>
      <c r="D3" s="8" t="str">
        <f t="shared" si="1"/>
        <v>copy /Y Libraries\* C:\"Program Files"\"MetaTrader-IA"\MQL4\Libraries</v>
      </c>
      <c r="E3" s="8" t="str">
        <f t="shared" si="1"/>
        <v>copy /Y Indicators\* C:\"Program Files"\"MetaTrader-IA"\MQL4\Indicators</v>
      </c>
      <c r="F3" s="8" t="str">
        <f t="shared" si="2"/>
        <v>copy /Y Templates\* C:\"Program Files"\"MetaTrader-IA"\Templates</v>
      </c>
      <c r="G3" s="8" t="str">
        <f t="shared" si="2"/>
        <v>copy /Y Profiles\* C:\"Program Files"\"MetaTrader-IA"\Profiles</v>
      </c>
    </row>
    <row r="4" spans="1:7" x14ac:dyDescent="0.25">
      <c r="A4" s="8" t="s">
        <v>62</v>
      </c>
      <c r="B4" s="8" t="str">
        <f t="shared" si="0"/>
        <v>C:\"Program Files"\"MT4-Augusto"</v>
      </c>
      <c r="C4" s="8" t="str">
        <f t="shared" si="1"/>
        <v>copy /Y Experts\* C:\"Program Files"\"MT4-Augusto"\MQL4\Experts</v>
      </c>
      <c r="D4" s="8" t="str">
        <f t="shared" si="1"/>
        <v>copy /Y Libraries\* C:\"Program Files"\"MT4-Augusto"\MQL4\Libraries</v>
      </c>
      <c r="E4" s="8" t="str">
        <f t="shared" si="1"/>
        <v>copy /Y Indicators\* C:\"Program Files"\"MT4-Augusto"\MQL4\Indicators</v>
      </c>
      <c r="F4" s="8" t="str">
        <f t="shared" si="2"/>
        <v>copy /Y Templates\* C:\"Program Files"\"MT4-Augusto"\Templates</v>
      </c>
      <c r="G4" s="8" t="str">
        <f t="shared" si="2"/>
        <v>copy /Y Profiles\* C:\"Program Files"\"MT4-Augusto"\Profiles</v>
      </c>
    </row>
    <row r="5" spans="1:7" x14ac:dyDescent="0.25">
      <c r="A5" s="8" t="s">
        <v>61</v>
      </c>
      <c r="B5" s="8" t="str">
        <f t="shared" si="0"/>
        <v>C:\"Program Files"\"MT4-GC2"</v>
      </c>
      <c r="C5" s="8" t="str">
        <f t="shared" si="1"/>
        <v>copy /Y Experts\* C:\"Program Files"\"MT4-GC2"\MQL4\Experts</v>
      </c>
      <c r="D5" s="8" t="str">
        <f t="shared" si="1"/>
        <v>copy /Y Libraries\* C:\"Program Files"\"MT4-GC2"\MQL4\Libraries</v>
      </c>
      <c r="E5" s="8" t="str">
        <f t="shared" si="1"/>
        <v>copy /Y Indicators\* C:\"Program Files"\"MT4-GC2"\MQL4\Indicators</v>
      </c>
      <c r="F5" s="8" t="str">
        <f t="shared" si="2"/>
        <v>copy /Y Templates\* C:\"Program Files"\"MT4-GC2"\Templates</v>
      </c>
      <c r="G5" s="8" t="str">
        <f t="shared" si="2"/>
        <v>copy /Y Profiles\* C:\"Program Files"\"MT4-GC2"\Profiles</v>
      </c>
    </row>
    <row r="6" spans="1:7" x14ac:dyDescent="0.25">
      <c r="A6" s="8" t="s">
        <v>60</v>
      </c>
      <c r="B6" s="8" t="str">
        <f t="shared" si="0"/>
        <v>C:\"Program Files"\"MT4-IN"</v>
      </c>
      <c r="C6" s="8" t="str">
        <f t="shared" si="1"/>
        <v>copy /Y Experts\* C:\"Program Files"\"MT4-IN"\MQL4\Experts</v>
      </c>
      <c r="D6" s="8" t="str">
        <f t="shared" si="1"/>
        <v>copy /Y Libraries\* C:\"Program Files"\"MT4-IN"\MQL4\Libraries</v>
      </c>
      <c r="E6" s="8" t="str">
        <f t="shared" si="1"/>
        <v>copy /Y Indicators\* C:\"Program Files"\"MT4-IN"\MQL4\Indicators</v>
      </c>
      <c r="F6" s="8" t="str">
        <f t="shared" si="2"/>
        <v>copy /Y Templates\* C:\"Program Files"\"MT4-IN"\Templates</v>
      </c>
      <c r="G6" s="8" t="str">
        <f t="shared" si="2"/>
        <v>copy /Y Profiles\* C:\"Program Files"\"MT4-IN"\Profiles</v>
      </c>
    </row>
    <row r="7" spans="1:7" x14ac:dyDescent="0.25">
      <c r="A7" s="8" t="s">
        <v>59</v>
      </c>
      <c r="B7" s="8" t="str">
        <f t="shared" si="0"/>
        <v>C:\"Program Files"\"MT4-Leo"</v>
      </c>
      <c r="C7" s="8" t="str">
        <f t="shared" si="1"/>
        <v>copy /Y Experts\* C:\"Program Files"\"MT4-Leo"\MQL4\Experts</v>
      </c>
      <c r="D7" s="8" t="str">
        <f t="shared" si="1"/>
        <v>copy /Y Libraries\* C:\"Program Files"\"MT4-Leo"\MQL4\Libraries</v>
      </c>
      <c r="E7" s="8" t="str">
        <f t="shared" si="1"/>
        <v>copy /Y Indicators\* C:\"Program Files"\"MT4-Leo"\MQL4\Indicators</v>
      </c>
      <c r="F7" s="8" t="str">
        <f t="shared" si="2"/>
        <v>copy /Y Templates\* C:\"Program Files"\"MT4-Leo"\Templates</v>
      </c>
      <c r="G7" s="8" t="str">
        <f t="shared" si="2"/>
        <v>copy /Y Profiles\* C:\"Program Files"\"MT4-Leo"\Profiles</v>
      </c>
    </row>
    <row r="8" spans="1:7" x14ac:dyDescent="0.25">
      <c r="A8" s="8" t="s">
        <v>58</v>
      </c>
      <c r="B8" s="8" t="str">
        <f t="shared" si="0"/>
        <v>C:\"Program Files"\"MT4-Mavi"</v>
      </c>
      <c r="C8" s="8" t="str">
        <f t="shared" si="1"/>
        <v>copy /Y Experts\* C:\"Program Files"\"MT4-Mavi"\MQL4\Experts</v>
      </c>
      <c r="D8" s="8" t="str">
        <f t="shared" si="1"/>
        <v>copy /Y Libraries\* C:\"Program Files"\"MT4-Mavi"\MQL4\Libraries</v>
      </c>
      <c r="E8" s="8" t="str">
        <f t="shared" si="1"/>
        <v>copy /Y Indicators\* C:\"Program Files"\"MT4-Mavi"\MQL4\Indicators</v>
      </c>
      <c r="F8" s="8" t="str">
        <f t="shared" si="2"/>
        <v>copy /Y Templates\* C:\"Program Files"\"MT4-Mavi"\Templates</v>
      </c>
      <c r="G8" s="8" t="str">
        <f t="shared" si="2"/>
        <v>copy /Y Profiles\* C:\"Program Files"\"MT4-Mavi"\Profiles</v>
      </c>
    </row>
    <row r="9" spans="1:7" x14ac:dyDescent="0.25">
      <c r="A9" s="8" t="s">
        <v>57</v>
      </c>
      <c r="B9" s="8" t="str">
        <f t="shared" si="0"/>
        <v>C:\"Program Files"\"MT4-Roberto"</v>
      </c>
      <c r="C9" s="8" t="str">
        <f t="shared" si="1"/>
        <v>copy /Y Experts\* C:\"Program Files"\"MT4-Roberto"\MQL4\Experts</v>
      </c>
      <c r="D9" s="8" t="str">
        <f t="shared" si="1"/>
        <v>copy /Y Libraries\* C:\"Program Files"\"MT4-Roberto"\MQL4\Libraries</v>
      </c>
      <c r="E9" s="8" t="str">
        <f t="shared" si="1"/>
        <v>copy /Y Indicators\* C:\"Program Files"\"MT4-Roberto"\MQL4\Indicators</v>
      </c>
      <c r="F9" s="8" t="str">
        <f t="shared" si="2"/>
        <v>copy /Y Templates\* C:\"Program Files"\"MT4-Roberto"\Templates</v>
      </c>
      <c r="G9" s="8" t="str">
        <f t="shared" si="2"/>
        <v>copy /Y Profiles\* C:\"Program Files"\"MT4-Roberto"\Profiles</v>
      </c>
    </row>
    <row r="10" spans="1:7" x14ac:dyDescent="0.25">
      <c r="A10" s="8" t="s">
        <v>56</v>
      </c>
      <c r="B10" s="8" t="str">
        <f t="shared" si="0"/>
        <v>C:\"Program Files"\"Mt4-Sara"</v>
      </c>
      <c r="C10" s="8" t="str">
        <f t="shared" si="1"/>
        <v>copy /Y Experts\* C:\"Program Files"\"Mt4-Sara"\MQL4\Experts</v>
      </c>
      <c r="D10" s="8" t="str">
        <f t="shared" si="1"/>
        <v>copy /Y Libraries\* C:\"Program Files"\"Mt4-Sara"\MQL4\Libraries</v>
      </c>
      <c r="E10" s="8" t="str">
        <f t="shared" si="1"/>
        <v>copy /Y Indicators\* C:\"Program Files"\"Mt4-Sara"\MQL4\Indicators</v>
      </c>
      <c r="F10" s="8" t="str">
        <f t="shared" si="2"/>
        <v>copy /Y Templates\* C:\"Program Files"\"Mt4-Sara"\Templates</v>
      </c>
      <c r="G10" s="8" t="str">
        <f t="shared" si="2"/>
        <v>copy /Y Profiles\* C:\"Program Files"\"Mt4-Sara"\Profiles</v>
      </c>
    </row>
    <row r="11" spans="1:7" x14ac:dyDescent="0.25">
      <c r="A11" s="8" t="s">
        <v>55</v>
      </c>
      <c r="B11" s="8" t="str">
        <f t="shared" si="0"/>
        <v>C:\"Program Files"\"MT4-Tiziana"</v>
      </c>
      <c r="C11" s="8" t="str">
        <f t="shared" si="1"/>
        <v>copy /Y Experts\* C:\"Program Files"\"MT4-Tiziana"\MQL4\Experts</v>
      </c>
      <c r="D11" s="8" t="str">
        <f t="shared" si="1"/>
        <v>copy /Y Libraries\* C:\"Program Files"\"MT4-Tiziana"\MQL4\Libraries</v>
      </c>
      <c r="E11" s="8" t="str">
        <f t="shared" si="1"/>
        <v>copy /Y Indicators\* C:\"Program Files"\"MT4-Tiziana"\MQL4\Indicators</v>
      </c>
      <c r="F11" s="8" t="str">
        <f t="shared" si="2"/>
        <v>copy /Y Templates\* C:\"Program Files"\"MT4-Tiziana"\Templates</v>
      </c>
      <c r="G11" s="8" t="str">
        <f t="shared" si="2"/>
        <v>copy /Y Profiles\* C:\"Program Files"\"MT4-Tiziana"\Profiles</v>
      </c>
    </row>
    <row r="12" spans="1:7" x14ac:dyDescent="0.25">
      <c r="A12" s="8" t="s">
        <v>54</v>
      </c>
      <c r="B12" s="8" t="str">
        <f t="shared" si="0"/>
        <v>C:\"Program Files"\"MT4-Vittorio"</v>
      </c>
      <c r="C12" s="8" t="str">
        <f t="shared" si="1"/>
        <v>copy /Y Experts\* C:\"Program Files"\"MT4-Vittorio"\MQL4\Experts</v>
      </c>
      <c r="D12" s="8" t="str">
        <f t="shared" si="1"/>
        <v>copy /Y Libraries\* C:\"Program Files"\"MT4-Vittorio"\MQL4\Libraries</v>
      </c>
      <c r="E12" s="8" t="str">
        <f t="shared" si="1"/>
        <v>copy /Y Indicators\* C:\"Program Files"\"MT4-Vittorio"\MQL4\Indicators</v>
      </c>
      <c r="F12" s="8" t="str">
        <f t="shared" si="2"/>
        <v>copy /Y Templates\* C:\"Program Files"\"MT4-Vittorio"\Templates</v>
      </c>
      <c r="G12" s="8" t="str">
        <f t="shared" si="2"/>
        <v>copy /Y Profiles\* C:\"Program Files"\"MT4-Vittorio"\Profiles</v>
      </c>
    </row>
    <row r="13" spans="1:7" x14ac:dyDescent="0.25">
      <c r="A13" s="8" t="s">
        <v>53</v>
      </c>
      <c r="B13" s="8" t="str">
        <f t="shared" si="0"/>
        <v>C:\"Program Files"\"XeMarkets MT4"</v>
      </c>
      <c r="C13" s="8" t="str">
        <f t="shared" si="1"/>
        <v>copy /Y Experts\* C:\"Program Files"\"XeMarkets MT4"\MQL4\Experts</v>
      </c>
      <c r="D13" s="8" t="str">
        <f t="shared" si="1"/>
        <v>copy /Y Libraries\* C:\"Program Files"\"XeMarkets MT4"\MQL4\Libraries</v>
      </c>
      <c r="E13" s="8" t="str">
        <f t="shared" si="1"/>
        <v>copy /Y Indicators\* C:\"Program Files"\"XeMarkets MT4"\MQL4\Indicators</v>
      </c>
      <c r="F13" s="8" t="str">
        <f t="shared" si="2"/>
        <v>copy /Y Templates\* C:\"Program Files"\"XeMarkets MT4"\Templates</v>
      </c>
      <c r="G13" s="8" t="str">
        <f t="shared" si="2"/>
        <v>copy /Y Profiles\* C:\"Program Files"\"XeMarkets MT4"\Profiles</v>
      </c>
    </row>
    <row r="14" spans="1:7" x14ac:dyDescent="0.25">
      <c r="A14" s="8" t="s">
        <v>52</v>
      </c>
      <c r="B14" s="8" t="str">
        <f t="shared" si="0"/>
        <v>C:\"Program Files"\"XM MT4"</v>
      </c>
      <c r="C14" s="8" t="str">
        <f t="shared" si="1"/>
        <v>copy /Y Experts\* C:\"Program Files"\"XM MT4"\MQL4\Experts</v>
      </c>
      <c r="D14" s="8" t="str">
        <f t="shared" si="1"/>
        <v>copy /Y Libraries\* C:\"Program Files"\"XM MT4"\MQL4\Libraries</v>
      </c>
      <c r="E14" s="8" t="str">
        <f t="shared" si="1"/>
        <v>copy /Y Indicators\* C:\"Program Files"\"XM MT4"\MQL4\Indicators</v>
      </c>
      <c r="F14" s="8" t="str">
        <f t="shared" si="2"/>
        <v>copy /Y Templates\* C:\"Program Files"\"XM MT4"\Templates</v>
      </c>
      <c r="G14" s="8" t="str">
        <f t="shared" si="2"/>
        <v>copy /Y Profiles\* C:\"Program Files"\"XM MT4"\Profiles</v>
      </c>
    </row>
    <row r="15" spans="1:7" x14ac:dyDescent="0.25">
      <c r="A15" s="8" t="s">
        <v>51</v>
      </c>
      <c r="B15" s="8" t="str">
        <f t="shared" si="0"/>
        <v>C:\"Program Files"\"XM MT4-IA"</v>
      </c>
      <c r="C15" s="8" t="str">
        <f t="shared" si="1"/>
        <v>copy /Y Experts\* C:\"Program Files"\"XM MT4-IA"\MQL4\Experts</v>
      </c>
      <c r="D15" s="8" t="str">
        <f t="shared" si="1"/>
        <v>copy /Y Libraries\* C:\"Program Files"\"XM MT4-IA"\MQL4\Libraries</v>
      </c>
      <c r="E15" s="8" t="str">
        <f t="shared" si="1"/>
        <v>copy /Y Indicators\* C:\"Program Files"\"XM MT4-IA"\MQL4\Indicators</v>
      </c>
      <c r="F15" s="8" t="str">
        <f t="shared" si="2"/>
        <v>copy /Y Templates\* C:\"Program Files"\"XM MT4-IA"\Templates</v>
      </c>
      <c r="G15" s="8" t="str">
        <f t="shared" si="2"/>
        <v>copy /Y Profiles\* C:\"Program Files"\"XM MT4-IA"\Profiles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Balancing</vt:lpstr>
      <vt:lpstr>Pairs</vt:lpstr>
      <vt:lpstr>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2014-04-30T13:44:45Z</dcterms:created>
  <dcterms:modified xsi:type="dcterms:W3CDTF">2014-06-23T09:24:52Z</dcterms:modified>
</cp:coreProperties>
</file>