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caglion\Documents\MyTrader\"/>
    </mc:Choice>
  </mc:AlternateContent>
  <bookViews>
    <workbookView xWindow="0" yWindow="0" windowWidth="28800" windowHeight="12435" activeTab="3"/>
  </bookViews>
  <sheets>
    <sheet name="Profits" sheetId="1" r:id="rId1"/>
    <sheet name="Volatility" sheetId="4" r:id="rId2"/>
    <sheet name="pairs" sheetId="5" r:id="rId3"/>
    <sheet name="pairs (2)" sheetId="6" r:id="rId4"/>
    <sheet name="Sheet3" sheetId="3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_xlnm._FilterDatabase" localSheetId="1" hidden="1">Volatility!$A$3:$K$39</definedName>
  </definedNames>
  <calcPr calcId="152511"/>
</workbook>
</file>

<file path=xl/calcChain.xml><?xml version="1.0" encoding="utf-8"?>
<calcChain xmlns="http://schemas.openxmlformats.org/spreadsheetml/2006/main">
  <c r="E1" i="6" l="1"/>
  <c r="E2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P27" i="1"/>
  <c r="P2" i="1"/>
  <c r="P28" i="1" s="1"/>
  <c r="P10" i="1"/>
  <c r="P25" i="1" s="1"/>
  <c r="P6" i="1"/>
  <c r="P23" i="1" s="1"/>
  <c r="P7" i="1"/>
  <c r="P22" i="1" s="1"/>
  <c r="P21" i="1" l="1"/>
  <c r="P29" i="1"/>
  <c r="P19" i="1"/>
  <c r="P17" i="1"/>
  <c r="P18" i="1"/>
  <c r="P26" i="1"/>
  <c r="P20" i="1"/>
  <c r="P24" i="1"/>
  <c r="O13" i="1"/>
  <c r="O5" i="1"/>
  <c r="O6" i="1"/>
  <c r="O2" i="1"/>
  <c r="O21" i="1" l="1"/>
  <c r="O20" i="1"/>
  <c r="O29" i="1"/>
  <c r="O25" i="1"/>
  <c r="O17" i="1"/>
  <c r="O27" i="1"/>
  <c r="O23" i="1"/>
  <c r="O19" i="1"/>
  <c r="O26" i="1"/>
  <c r="O22" i="1"/>
  <c r="O18" i="1"/>
  <c r="O24" i="1"/>
  <c r="O28" i="1"/>
  <c r="B5" i="1"/>
  <c r="B4" i="1"/>
  <c r="B3" i="1"/>
  <c r="B2" i="1"/>
  <c r="E8" i="1"/>
  <c r="E5" i="1"/>
  <c r="H9" i="1"/>
  <c r="H8" i="1"/>
  <c r="H7" i="1"/>
  <c r="H4" i="1"/>
  <c r="K10" i="1"/>
  <c r="K7" i="1"/>
  <c r="K6" i="1"/>
  <c r="K2" i="1"/>
  <c r="G10" i="1"/>
  <c r="G6" i="1"/>
  <c r="G2" i="1"/>
  <c r="F9" i="1"/>
  <c r="F4" i="1"/>
  <c r="F2" i="1"/>
  <c r="F28" i="1" s="1"/>
  <c r="D5" i="1"/>
  <c r="D4" i="1"/>
  <c r="D3" i="1"/>
  <c r="D2" i="1"/>
  <c r="D28" i="1" s="1"/>
  <c r="I11" i="1"/>
  <c r="I8" i="1"/>
  <c r="I6" i="1"/>
  <c r="I5" i="1"/>
  <c r="I28" i="1" s="1"/>
  <c r="N14" i="1"/>
  <c r="N12" i="1"/>
  <c r="N6" i="1"/>
  <c r="N5" i="1"/>
  <c r="N28" i="1" s="1"/>
  <c r="M14" i="1"/>
  <c r="M12" i="1"/>
  <c r="M6" i="1"/>
  <c r="M5" i="1"/>
  <c r="M28" i="1" s="1"/>
  <c r="J11" i="1"/>
  <c r="J10" i="1"/>
  <c r="J8" i="1"/>
  <c r="J28" i="1" s="1"/>
  <c r="L9" i="1"/>
  <c r="L7" i="1"/>
  <c r="L6" i="1"/>
  <c r="C7" i="1"/>
  <c r="C6" i="1"/>
  <c r="C28" i="1" s="1"/>
  <c r="O2" i="4"/>
  <c r="N2" i="4"/>
  <c r="O1" i="4"/>
  <c r="N1" i="4"/>
  <c r="L28" i="1" l="1"/>
  <c r="H28" i="1"/>
  <c r="G28" i="1"/>
  <c r="N27" i="1"/>
  <c r="K28" i="1"/>
  <c r="E28" i="1"/>
  <c r="B28" i="1"/>
  <c r="N29" i="1"/>
  <c r="N25" i="1"/>
  <c r="N18" i="1"/>
  <c r="P2" i="4"/>
  <c r="N26" i="1"/>
  <c r="N23" i="1"/>
  <c r="N20" i="1"/>
  <c r="P1" i="4"/>
  <c r="N21" i="1"/>
  <c r="N24" i="1"/>
  <c r="N19" i="1"/>
  <c r="N22" i="1"/>
  <c r="N17" i="1"/>
  <c r="I6" i="4" l="1"/>
  <c r="M27" i="1"/>
  <c r="M22" i="1"/>
  <c r="M20" i="1"/>
  <c r="M19" i="1"/>
  <c r="M24" i="1"/>
  <c r="M23" i="1"/>
  <c r="M26" i="1"/>
  <c r="M18" i="1"/>
  <c r="M25" i="1"/>
  <c r="M17" i="1"/>
  <c r="M21" i="1"/>
  <c r="M29" i="1"/>
  <c r="I8" i="4"/>
  <c r="L22" i="1" l="1"/>
  <c r="L27" i="1"/>
  <c r="L19" i="1"/>
  <c r="L17" i="1"/>
  <c r="L23" i="1"/>
  <c r="L21" i="1"/>
  <c r="L25" i="1"/>
  <c r="L26" i="1"/>
  <c r="L18" i="1"/>
  <c r="L20" i="1"/>
  <c r="L29" i="1"/>
  <c r="L24" i="1"/>
  <c r="K21" i="1" l="1"/>
  <c r="K24" i="1"/>
  <c r="K17" i="1"/>
  <c r="K26" i="1"/>
  <c r="K18" i="1"/>
  <c r="K23" i="1"/>
  <c r="K29" i="1"/>
  <c r="K20" i="1"/>
  <c r="K27" i="1"/>
  <c r="K19" i="1"/>
  <c r="K25" i="1"/>
  <c r="K22" i="1"/>
  <c r="J21" i="1" l="1"/>
  <c r="J18" i="1"/>
  <c r="J23" i="1"/>
  <c r="J29" i="1"/>
  <c r="J20" i="1"/>
  <c r="J17" i="1"/>
  <c r="J22" i="1"/>
  <c r="J19" i="1"/>
  <c r="J27" i="1"/>
  <c r="J24" i="1"/>
  <c r="J25" i="1"/>
  <c r="J26" i="1"/>
  <c r="O29" i="4"/>
  <c r="O6" i="4"/>
  <c r="O10" i="4"/>
  <c r="O5" i="4"/>
  <c r="O12" i="4"/>
  <c r="O4" i="4"/>
  <c r="O8" i="4"/>
  <c r="O11" i="4"/>
  <c r="O7" i="4"/>
  <c r="O14" i="4"/>
  <c r="O19" i="4"/>
  <c r="O15" i="4"/>
  <c r="O9" i="4"/>
  <c r="O24" i="4"/>
  <c r="O26" i="4"/>
  <c r="O13" i="4"/>
  <c r="O35" i="4"/>
  <c r="O36" i="4"/>
  <c r="O31" i="4"/>
  <c r="O18" i="4"/>
  <c r="O32" i="4"/>
  <c r="O23" i="4"/>
  <c r="O22" i="4"/>
  <c r="O27" i="4"/>
  <c r="O17" i="4"/>
  <c r="O16" i="4"/>
  <c r="O21" i="4"/>
  <c r="O25" i="4"/>
  <c r="O30" i="4"/>
  <c r="O33" i="4"/>
  <c r="O20" i="4"/>
  <c r="O34" i="4"/>
  <c r="O38" i="4"/>
  <c r="O28" i="4"/>
  <c r="O37" i="4"/>
  <c r="O39" i="4"/>
  <c r="N39" i="4" l="1"/>
  <c r="N38" i="4"/>
  <c r="N37" i="4"/>
  <c r="N36" i="4"/>
  <c r="N35" i="4"/>
  <c r="N34" i="4"/>
  <c r="N33" i="4"/>
  <c r="N32" i="4"/>
  <c r="N31" i="4"/>
  <c r="N30" i="4"/>
  <c r="N28" i="4"/>
  <c r="N29" i="4"/>
  <c r="N27" i="4"/>
  <c r="N26" i="4"/>
  <c r="N25" i="4"/>
  <c r="N24" i="4"/>
  <c r="N23" i="4"/>
  <c r="N22" i="4"/>
  <c r="N21" i="4"/>
  <c r="N20" i="4"/>
  <c r="N19" i="4"/>
  <c r="N18" i="4"/>
  <c r="N17" i="4"/>
  <c r="N16" i="4"/>
  <c r="N15" i="4"/>
  <c r="N14" i="4"/>
  <c r="N13" i="4"/>
  <c r="N12" i="4"/>
  <c r="N11" i="4"/>
  <c r="N10" i="4"/>
  <c r="N9" i="4"/>
  <c r="N8" i="4"/>
  <c r="N7" i="4"/>
  <c r="N6" i="4"/>
  <c r="N5" i="4"/>
  <c r="N4" i="4"/>
  <c r="I23" i="1"/>
  <c r="I21" i="1" l="1"/>
  <c r="I18" i="1"/>
  <c r="I24" i="1"/>
  <c r="I29" i="1"/>
  <c r="I20" i="1"/>
  <c r="I25" i="1"/>
  <c r="I17" i="1"/>
  <c r="I22" i="1"/>
  <c r="I27" i="1"/>
  <c r="I19" i="1"/>
  <c r="I26" i="1"/>
  <c r="B18" i="1" l="1"/>
  <c r="B20" i="1"/>
  <c r="B21" i="1"/>
  <c r="B22" i="1"/>
  <c r="B26" i="1"/>
  <c r="B23" i="1"/>
  <c r="B17" i="1"/>
  <c r="B29" i="1"/>
  <c r="B25" i="1"/>
  <c r="B27" i="1"/>
  <c r="B24" i="1"/>
  <c r="B19" i="1"/>
  <c r="F25" i="4"/>
  <c r="G25" i="4"/>
  <c r="H25" i="4"/>
  <c r="I25" i="4"/>
  <c r="F17" i="4"/>
  <c r="G17" i="4"/>
  <c r="H17" i="4"/>
  <c r="I17" i="4"/>
  <c r="F18" i="4"/>
  <c r="G18" i="4"/>
  <c r="H18" i="4"/>
  <c r="I18" i="4"/>
  <c r="F5" i="4"/>
  <c r="G5" i="4"/>
  <c r="H5" i="4"/>
  <c r="I5" i="4"/>
  <c r="F9" i="4"/>
  <c r="G9" i="4"/>
  <c r="H9" i="4"/>
  <c r="I9" i="4"/>
  <c r="F31" i="4"/>
  <c r="G31" i="4"/>
  <c r="H31" i="4"/>
  <c r="I31" i="4"/>
  <c r="F27" i="4"/>
  <c r="G27" i="4"/>
  <c r="H27" i="4"/>
  <c r="I27" i="4"/>
  <c r="F10" i="4"/>
  <c r="G10" i="4"/>
  <c r="H10" i="4"/>
  <c r="I10" i="4"/>
  <c r="F14" i="4"/>
  <c r="G14" i="4"/>
  <c r="H14" i="4"/>
  <c r="I14" i="4"/>
  <c r="F28" i="4"/>
  <c r="G28" i="4"/>
  <c r="H28" i="4"/>
  <c r="I28" i="4"/>
  <c r="F6" i="4"/>
  <c r="G6" i="4"/>
  <c r="H6" i="4"/>
  <c r="F7" i="4"/>
  <c r="G7" i="4"/>
  <c r="H7" i="4"/>
  <c r="I7" i="4"/>
  <c r="F21" i="4"/>
  <c r="G21" i="4"/>
  <c r="H21" i="4"/>
  <c r="I21" i="4"/>
  <c r="F35" i="4"/>
  <c r="G35" i="4"/>
  <c r="H35" i="4"/>
  <c r="I35" i="4"/>
  <c r="F37" i="4"/>
  <c r="G37" i="4"/>
  <c r="H37" i="4"/>
  <c r="I37" i="4"/>
  <c r="F22" i="4"/>
  <c r="G22" i="4"/>
  <c r="H22" i="4"/>
  <c r="I22" i="4"/>
  <c r="F33" i="4"/>
  <c r="G33" i="4"/>
  <c r="H33" i="4"/>
  <c r="I33" i="4"/>
  <c r="F13" i="4"/>
  <c r="G13" i="4"/>
  <c r="H13" i="4"/>
  <c r="I13" i="4"/>
  <c r="F36" i="4"/>
  <c r="G36" i="4"/>
  <c r="H36" i="4"/>
  <c r="I36" i="4"/>
  <c r="F19" i="4"/>
  <c r="G19" i="4"/>
  <c r="H19" i="4"/>
  <c r="I19" i="4"/>
  <c r="F20" i="4"/>
  <c r="G20" i="4"/>
  <c r="H20" i="4"/>
  <c r="I20" i="4"/>
  <c r="F15" i="4"/>
  <c r="G15" i="4"/>
  <c r="H15" i="4"/>
  <c r="I15" i="4"/>
  <c r="F12" i="4"/>
  <c r="G12" i="4"/>
  <c r="H12" i="4"/>
  <c r="I12" i="4"/>
  <c r="F26" i="4"/>
  <c r="G26" i="4"/>
  <c r="H26" i="4"/>
  <c r="I26" i="4"/>
  <c r="F39" i="4"/>
  <c r="G39" i="4"/>
  <c r="H39" i="4"/>
  <c r="I39" i="4"/>
  <c r="F4" i="4"/>
  <c r="G4" i="4"/>
  <c r="H4" i="4"/>
  <c r="I4" i="4"/>
  <c r="F16" i="4"/>
  <c r="G16" i="4"/>
  <c r="H16" i="4"/>
  <c r="I16" i="4"/>
  <c r="F24" i="4"/>
  <c r="G24" i="4"/>
  <c r="H24" i="4"/>
  <c r="I24" i="4"/>
  <c r="F38" i="4"/>
  <c r="G38" i="4"/>
  <c r="H38" i="4"/>
  <c r="I38" i="4"/>
  <c r="F11" i="4"/>
  <c r="G11" i="4"/>
  <c r="H11" i="4"/>
  <c r="I11" i="4"/>
  <c r="F23" i="4"/>
  <c r="G23" i="4"/>
  <c r="H23" i="4"/>
  <c r="I23" i="4"/>
  <c r="F30" i="4"/>
  <c r="G30" i="4"/>
  <c r="H30" i="4"/>
  <c r="I30" i="4"/>
  <c r="F32" i="4"/>
  <c r="G32" i="4"/>
  <c r="H32" i="4"/>
  <c r="I32" i="4"/>
  <c r="F8" i="4"/>
  <c r="G8" i="4"/>
  <c r="H8" i="4"/>
  <c r="F29" i="4"/>
  <c r="G29" i="4"/>
  <c r="H29" i="4"/>
  <c r="I29" i="4"/>
  <c r="F34" i="4"/>
  <c r="G34" i="4"/>
  <c r="H34" i="4"/>
  <c r="I34" i="4"/>
  <c r="F24" i="1"/>
  <c r="F19" i="1" l="1"/>
  <c r="F25" i="1"/>
  <c r="F17" i="1"/>
  <c r="F22" i="1"/>
  <c r="F23" i="1"/>
  <c r="F27" i="1"/>
  <c r="F21" i="1"/>
  <c r="F18" i="1"/>
  <c r="F26" i="1"/>
  <c r="F29" i="1"/>
  <c r="F20" i="1"/>
  <c r="K29" i="4"/>
  <c r="K23" i="4"/>
  <c r="K24" i="4"/>
  <c r="K26" i="4"/>
  <c r="K19" i="4"/>
  <c r="K22" i="4"/>
  <c r="K7" i="4"/>
  <c r="K34" i="4"/>
  <c r="K8" i="4"/>
  <c r="K30" i="4"/>
  <c r="K38" i="4"/>
  <c r="K16" i="4"/>
  <c r="K39" i="4"/>
  <c r="K12" i="4"/>
  <c r="K20" i="4"/>
  <c r="K36" i="4"/>
  <c r="K14" i="4"/>
  <c r="K27" i="4"/>
  <c r="K9" i="4"/>
  <c r="K18" i="4"/>
  <c r="K25" i="4"/>
  <c r="K33" i="4"/>
  <c r="K10" i="4"/>
  <c r="K5" i="4"/>
  <c r="K31" i="4"/>
  <c r="K17" i="4"/>
  <c r="K35" i="4"/>
  <c r="K28" i="4"/>
  <c r="K15" i="4"/>
  <c r="K13" i="4"/>
  <c r="K11" i="4"/>
  <c r="K4" i="4"/>
  <c r="K32" i="4"/>
  <c r="K37" i="4"/>
  <c r="K21" i="4"/>
  <c r="K6" i="4"/>
  <c r="D20" i="1"/>
  <c r="C22" i="1"/>
  <c r="G21" i="1" l="1"/>
  <c r="E23" i="1"/>
  <c r="H22" i="1"/>
  <c r="G25" i="1"/>
  <c r="E22" i="1"/>
  <c r="E27" i="1"/>
  <c r="E19" i="1"/>
  <c r="E18" i="1"/>
  <c r="E24" i="1"/>
  <c r="E21" i="1"/>
  <c r="E26" i="1"/>
  <c r="E29" i="1"/>
  <c r="E20" i="1"/>
  <c r="E25" i="1"/>
  <c r="E17" i="1"/>
  <c r="D27" i="1"/>
  <c r="D24" i="1"/>
  <c r="D21" i="1"/>
  <c r="D26" i="1"/>
  <c r="D23" i="1"/>
  <c r="D25" i="1"/>
  <c r="D17" i="1"/>
  <c r="D29" i="1"/>
  <c r="D22" i="1"/>
  <c r="H24" i="1"/>
  <c r="D19" i="1"/>
  <c r="C24" i="1"/>
  <c r="C21" i="1"/>
  <c r="C20" i="1"/>
  <c r="C25" i="1"/>
  <c r="C17" i="1"/>
  <c r="C26" i="1"/>
  <c r="C18" i="1"/>
  <c r="C23" i="1"/>
  <c r="C29" i="1"/>
  <c r="C27" i="1"/>
  <c r="C19" i="1"/>
  <c r="H29" i="1"/>
  <c r="H20" i="1"/>
  <c r="H25" i="1"/>
  <c r="H17" i="1"/>
  <c r="H19" i="1"/>
  <c r="H21" i="1"/>
  <c r="H27" i="1"/>
  <c r="H26" i="1"/>
  <c r="H18" i="1"/>
  <c r="D18" i="1"/>
  <c r="G29" i="1"/>
  <c r="G20" i="1"/>
  <c r="G17" i="1"/>
  <c r="G18" i="1"/>
  <c r="G22" i="1"/>
  <c r="G27" i="1"/>
  <c r="G19" i="1"/>
  <c r="G24" i="1"/>
  <c r="G26" i="1"/>
  <c r="G23" i="1"/>
  <c r="H23" i="1"/>
</calcChain>
</file>

<file path=xl/sharedStrings.xml><?xml version="1.0" encoding="utf-8"?>
<sst xmlns="http://schemas.openxmlformats.org/spreadsheetml/2006/main" count="303" uniqueCount="194">
  <si>
    <t>eurusd</t>
  </si>
  <si>
    <t>usdcad</t>
  </si>
  <si>
    <t>nzdusd</t>
  </si>
  <si>
    <t>usdjpy</t>
  </si>
  <si>
    <t>G-XM</t>
  </si>
  <si>
    <t>G-Alpari</t>
  </si>
  <si>
    <t>gbpnzd</t>
  </si>
  <si>
    <t>usdchf</t>
  </si>
  <si>
    <t>G-eToro</t>
  </si>
  <si>
    <t>I-Alpari</t>
  </si>
  <si>
    <t>M-Alpari</t>
  </si>
  <si>
    <t>T-FXCM</t>
  </si>
  <si>
    <t>eurgbp</t>
  </si>
  <si>
    <t>audjpy</t>
  </si>
  <si>
    <t>L-XM</t>
  </si>
  <si>
    <t>cadjpy</t>
  </si>
  <si>
    <t>eurpln</t>
  </si>
  <si>
    <t>nzdsgd</t>
  </si>
  <si>
    <t>usdzar</t>
  </si>
  <si>
    <t>audnzd</t>
  </si>
  <si>
    <t>nzdchf</t>
  </si>
  <si>
    <t>nzdcad</t>
  </si>
  <si>
    <t>eurnzd</t>
  </si>
  <si>
    <t>eurnok</t>
  </si>
  <si>
    <t>nzdjpy</t>
  </si>
  <si>
    <t>chfsgd</t>
  </si>
  <si>
    <t>usdnok</t>
  </si>
  <si>
    <t>cadchf</t>
  </si>
  <si>
    <t>gbpsgd</t>
  </si>
  <si>
    <t>gbpchf</t>
  </si>
  <si>
    <t>audcad</t>
  </si>
  <si>
    <t>chfjpy</t>
  </si>
  <si>
    <t>silver</t>
  </si>
  <si>
    <t>eurcad</t>
  </si>
  <si>
    <t>audchf</t>
  </si>
  <si>
    <t>gbpcad</t>
  </si>
  <si>
    <t>gold</t>
  </si>
  <si>
    <t>eurjpy</t>
  </si>
  <si>
    <t>gbpjpy</t>
  </si>
  <si>
    <t>euraud</t>
  </si>
  <si>
    <t>gbpaud</t>
  </si>
  <si>
    <t>gbpusd</t>
  </si>
  <si>
    <t>audusd</t>
  </si>
  <si>
    <t>PIPsPerStep</t>
  </si>
  <si>
    <t>Spread</t>
  </si>
  <si>
    <t>Avg-Pips</t>
  </si>
  <si>
    <t>Max-Pips</t>
  </si>
  <si>
    <t>Min-Pips</t>
  </si>
  <si>
    <t>Avg-Abs</t>
  </si>
  <si>
    <t>Max-Abs</t>
  </si>
  <si>
    <t>Min-Abs</t>
  </si>
  <si>
    <t>pScale</t>
  </si>
  <si>
    <t>Pair</t>
  </si>
  <si>
    <t>ATR(14) - Daily - since 20-jul-2012</t>
  </si>
  <si>
    <t>Avg.Pips/Spread</t>
  </si>
  <si>
    <t>A-Alpari</t>
  </si>
  <si>
    <t>ChannelMin</t>
  </si>
  <si>
    <t>ChannelMax</t>
  </si>
  <si>
    <t>Channel Min/Max since 2009</t>
  </si>
  <si>
    <t>ChannelWidth</t>
  </si>
  <si>
    <t>Position</t>
  </si>
  <si>
    <t>R-Alpari</t>
  </si>
  <si>
    <t>V-Alpari</t>
  </si>
  <si>
    <t>S-Alpari</t>
  </si>
  <si>
    <t>G-Alpari2</t>
  </si>
  <si>
    <t>IA-XM</t>
  </si>
  <si>
    <t>xauusd</t>
  </si>
  <si>
    <t>Ina-Alpari</t>
  </si>
  <si>
    <t>V-Alpari2</t>
  </si>
  <si>
    <t>"GBPAUD"</t>
  </si>
  <si>
    <t xml:space="preserve">     1000   </t>
  </si>
  <si>
    <t xml:space="preserve">    1950 </t>
  </si>
  <si>
    <t xml:space="preserve">    1150 </t>
  </si>
  <si>
    <t xml:space="preserve">      50    </t>
  </si>
  <si>
    <t xml:space="preserve">  "XAUUSD"</t>
  </si>
  <si>
    <t xml:space="preserve">   "GOLD"</t>
  </si>
  <si>
    <t xml:space="preserve">   "EURAUD"</t>
  </si>
  <si>
    <t xml:space="preserve">   "USDZAR"</t>
  </si>
  <si>
    <t xml:space="preserve">   "AUDUSD"</t>
  </si>
  <si>
    <t xml:space="preserve">   "EURPLN"</t>
  </si>
  <si>
    <t xml:space="preserve">   "NZDSGD"</t>
  </si>
  <si>
    <t xml:space="preserve">   "CADJPY"</t>
  </si>
  <si>
    <t xml:space="preserve">   "GBPCHF"</t>
  </si>
  <si>
    <t xml:space="preserve">   "AUDJPY"</t>
  </si>
  <si>
    <t xml:space="preserve"> "USDCHF"</t>
  </si>
  <si>
    <t xml:space="preserve"> "GBPUSD"</t>
  </si>
  <si>
    <t xml:space="preserve"> "EURNOK"</t>
  </si>
  <si>
    <t xml:space="preserve"> "EURGBP"</t>
  </si>
  <si>
    <t xml:space="preserve"> "NZDCHF"</t>
  </si>
  <si>
    <t xml:space="preserve"> "GBPNZD"</t>
  </si>
  <si>
    <t>"EURJPY"</t>
  </si>
  <si>
    <t xml:space="preserve"> "USDJPY"</t>
  </si>
  <si>
    <t xml:space="preserve"> "USDCAD"</t>
  </si>
  <si>
    <t xml:space="preserve"> "NZDUSD"</t>
  </si>
  <si>
    <t>1</t>
  </si>
  <si>
    <t>1.5000</t>
  </si>
  <si>
    <t>1.1900</t>
  </si>
  <si>
    <t>30</t>
  </si>
  <si>
    <t>"EURUSD"</t>
  </si>
  <si>
    <t>EURJPY</t>
  </si>
  <si>
    <t xml:space="preserve">   774022 GBPAUD             .1</t>
  </si>
  <si>
    <t xml:space="preserve">   774022 GBPNZD             .1</t>
  </si>
  <si>
    <t xml:space="preserve">   774022 NZDUSD             .1</t>
  </si>
  <si>
    <t xml:space="preserve">   774022 USDCHF     .156964006</t>
  </si>
  <si>
    <t xml:space="preserve">   774022                   .01</t>
  </si>
  <si>
    <t xml:space="preserve">   774678 AUDJPY     .135807422</t>
  </si>
  <si>
    <t xml:space="preserve">   774678 EURUSD     .142424242</t>
  </si>
  <si>
    <t xml:space="preserve">   774678 NZDUSD     .152931854</t>
  </si>
  <si>
    <t xml:space="preserve">   774678                   .01</t>
  </si>
  <si>
    <t xml:space="preserve">   775191 CADJPY             .1</t>
  </si>
  <si>
    <t xml:space="preserve">   775191 EURUSD             .1</t>
  </si>
  <si>
    <t xml:space="preserve">   775191 GBPNZD     .099852507</t>
  </si>
  <si>
    <t xml:space="preserve">   775191                   .01</t>
  </si>
  <si>
    <t xml:space="preserve">   776849 AUDUSD             .1</t>
  </si>
  <si>
    <t xml:space="preserve">   776849 EURGBP             .2</t>
  </si>
  <si>
    <t xml:space="preserve">   776849 GBPNZD     .197444089</t>
  </si>
  <si>
    <t xml:space="preserve">   776849 USDJPY             .2</t>
  </si>
  <si>
    <t xml:space="preserve">   776849                   .01</t>
  </si>
  <si>
    <t xml:space="preserve">   776980 AUDUSD             .1</t>
  </si>
  <si>
    <t xml:space="preserve">   776980 CADJPY             .1</t>
  </si>
  <si>
    <t xml:space="preserve">   776980 EURGBP             .1</t>
  </si>
  <si>
    <t xml:space="preserve">   776980                   .01</t>
  </si>
  <si>
    <t xml:space="preserve">   776982 CADJPY     .199082569</t>
  </si>
  <si>
    <t xml:space="preserve">   776982 EURUSD             .2</t>
  </si>
  <si>
    <t xml:space="preserve">   776982 GBPNZD     .199261993</t>
  </si>
  <si>
    <t xml:space="preserve">   776982 USDCHF             .2</t>
  </si>
  <si>
    <t xml:space="preserve">   776982                   .01</t>
  </si>
  <si>
    <t xml:space="preserve">   777094 AUDUSD             .3</t>
  </si>
  <si>
    <t xml:space="preserve">   777094 EURAUD     .199855491</t>
  </si>
  <si>
    <t xml:space="preserve">   777094 GBPNZD     .197297297</t>
  </si>
  <si>
    <t xml:space="preserve">   777094 USDJPY             .2</t>
  </si>
  <si>
    <t xml:space="preserve">   777094 XAUUSD             .2</t>
  </si>
  <si>
    <t xml:space="preserve">   777094                   .01</t>
  </si>
  <si>
    <t xml:space="preserve">   917261 AUDJPY            .02</t>
  </si>
  <si>
    <t xml:space="preserve">   917261 GBPNZD            .02</t>
  </si>
  <si>
    <t xml:space="preserve">   917261 USDCHF            .02</t>
  </si>
  <si>
    <t xml:space="preserve">   917261                   .01</t>
  </si>
  <si>
    <t xml:space="preserve">   918062 AUDJPY     .057777778</t>
  </si>
  <si>
    <t xml:space="preserve">   918062 EURUSD     .065263158</t>
  </si>
  <si>
    <t xml:space="preserve">   918062 GBPNZD     .054883721</t>
  </si>
  <si>
    <t xml:space="preserve">   918062 USDJPY     .064615385</t>
  </si>
  <si>
    <t xml:space="preserve">   918062                   .01</t>
  </si>
  <si>
    <t xml:space="preserve">   918583 GBPNZD            .04</t>
  </si>
  <si>
    <t xml:space="preserve">   918583 USDCHF            .04</t>
  </si>
  <si>
    <t xml:space="preserve">   918583                   .01</t>
  </si>
  <si>
    <t xml:space="preserve">  2131916 AUDNZD             .5</t>
  </si>
  <si>
    <t xml:space="preserve">  2131916 AUDUSD             .5</t>
  </si>
  <si>
    <t xml:space="preserve">  2131916 EURCAD              1</t>
  </si>
  <si>
    <t xml:space="preserve">  2131916 EURCHF             .5</t>
  </si>
  <si>
    <t xml:space="preserve">  2131916 EURJPY              1</t>
  </si>
  <si>
    <t xml:space="preserve">  2131916 EURUSD     .059873303</t>
  </si>
  <si>
    <t xml:space="preserve">  2131916 GBPAUD             .5</t>
  </si>
  <si>
    <t xml:space="preserve">  2131916 GBPCHF              1</t>
  </si>
  <si>
    <t xml:space="preserve">  2131916 GBPUSD             .8</t>
  </si>
  <si>
    <t xml:space="preserve">  2131916 NZDUSD     .061660808</t>
  </si>
  <si>
    <t xml:space="preserve">  2131916 USDCAD     .061229508</t>
  </si>
  <si>
    <t xml:space="preserve">  2131916 USDCHF              1</t>
  </si>
  <si>
    <t xml:space="preserve">  2131916 USDJPY     .055382353</t>
  </si>
  <si>
    <t xml:space="preserve">  2131916                  .008</t>
  </si>
  <si>
    <t xml:space="preserve">  2148515 EURGBP     .058953168</t>
  </si>
  <si>
    <t xml:space="preserve">  2148515 GBPNZD            .06</t>
  </si>
  <si>
    <t xml:space="preserve">  2148515 NZDCHF            .06</t>
  </si>
  <si>
    <t xml:space="preserve">  2148515 USDJPY     .059613993</t>
  </si>
  <si>
    <t xml:space="preserve">  2148515                   .01</t>
  </si>
  <si>
    <t xml:space="preserve">  2171896 EURAUD             .1</t>
  </si>
  <si>
    <t xml:space="preserve">  2171896 GBPNZD             .1</t>
  </si>
  <si>
    <t xml:space="preserve">  2171896 GOLD               .1</t>
  </si>
  <si>
    <t xml:space="preserve">  2171896 USDJPY             .1</t>
  </si>
  <si>
    <t xml:space="preserve">  2171896                   .01</t>
  </si>
  <si>
    <t xml:space="preserve"> 87012568 AUDJPY            .04</t>
  </si>
  <si>
    <t xml:space="preserve"> 87012568 EURGBP     .038421053</t>
  </si>
  <si>
    <t xml:space="preserve"> 87012568 NZDUSD            .04</t>
  </si>
  <si>
    <t xml:space="preserve"> 87012568 USDCHF          .0384</t>
  </si>
  <si>
    <t xml:space="preserve"> 87012568                   .01</t>
  </si>
  <si>
    <t>USDCHF</t>
  </si>
  <si>
    <t>NZDUSD</t>
  </si>
  <si>
    <t>EURGBP</t>
  </si>
  <si>
    <t>AUDJPY</t>
  </si>
  <si>
    <t>USDJPY</t>
  </si>
  <si>
    <t>GOLD</t>
  </si>
  <si>
    <t>GBPNZD</t>
  </si>
  <si>
    <t>EURAUD</t>
  </si>
  <si>
    <t>NZDCHF</t>
  </si>
  <si>
    <t>USDCAD</t>
  </si>
  <si>
    <t>GBPUSD</t>
  </si>
  <si>
    <t>GBPCHF</t>
  </si>
  <si>
    <t>GBPAUD</t>
  </si>
  <si>
    <t>EURUSD</t>
  </si>
  <si>
    <t>EURCHF</t>
  </si>
  <si>
    <t>EURCAD</t>
  </si>
  <si>
    <t>AUDUSD</t>
  </si>
  <si>
    <t>AUDNZD</t>
  </si>
  <si>
    <t>XAUUSD</t>
  </si>
  <si>
    <t>CADJPY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</si>
</sst>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%;\-0%;\-"/>
    <numFmt numFmtId="165" formatCode="0.0000"/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3" fontId="0" fillId="0" borderId="0" xfId="0" applyNumberFormat="1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0" xfId="0" applyFont="1"/>
    <xf numFmtId="165" fontId="1" fillId="0" borderId="0" xfId="0" applyNumberFormat="1" applyFont="1"/>
    <xf numFmtId="9" fontId="0" fillId="0" borderId="0" xfId="0" applyNumberFormat="1"/>
    <xf numFmtId="0" fontId="0" fillId="2" borderId="0" xfId="0" applyFill="1"/>
    <xf numFmtId="0" fontId="0" fillId="0" borderId="0" xfId="0" applyFill="1"/>
    <xf numFmtId="165" fontId="0" fillId="0" borderId="0" xfId="0" applyNumberFormat="1" applyFill="1"/>
    <xf numFmtId="1" fontId="0" fillId="0" borderId="0" xfId="0" applyNumberFormat="1" applyFill="1"/>
    <xf numFmtId="2" fontId="0" fillId="0" borderId="0" xfId="0" applyNumberFormat="1" applyFill="1"/>
    <xf numFmtId="9" fontId="0" fillId="0" borderId="0" xfId="0" applyNumberFormat="1" applyFill="1"/>
    <xf numFmtId="166" fontId="0" fillId="0" borderId="0" xfId="0" applyNumberFormat="1"/>
    <xf numFmtId="166" fontId="1" fillId="0" borderId="0" xfId="0" applyNumberFormat="1" applyFont="1"/>
    <xf numFmtId="166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theme" Target="theme/theme1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eeklyReports/MyChannel-X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WeeklyReports/MyChannel-eToro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WeeklyReports/MyChannel-Mavi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WeeklyReports/MyChannel-IA.Alpari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WeeklyReports/MyChannel-Vittorio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WeeklyReports/MyChannel-Ina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WeeklyReports/MyChannel-Vittorio2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WeeklyReports/MyChannel-Tiziana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WeeklyReports/MyChannel-Luca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WeeklyReports/MyChannel-Augusto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WeeklyReports/MyChannel-Giacomo.Alpari2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WeeklyReports/MyChannel-IA.XM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WeeklyReports/MyChannel-Giacomo.Alpari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WeeklyReports/MyChannel-Sara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WeeklyReports/MyChannel-Robert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HTML"/>
      <sheetName val="HistoryPivot"/>
      <sheetName val="OpenTradesHTML"/>
      <sheetName val="OpenTrades"/>
      <sheetName val="OpenTradesPivot"/>
      <sheetName val="Summary"/>
      <sheetName val="Net Equity%"/>
      <sheetName val="Balancing"/>
      <sheetName val="Margin"/>
      <sheetName val="Rates"/>
      <sheetName val="Info"/>
    </sheetNames>
    <sheetDataSet>
      <sheetData sheetId="0"/>
      <sheetData sheetId="1"/>
      <sheetData sheetId="2"/>
      <sheetData sheetId="3"/>
      <sheetData sheetId="4"/>
      <sheetData sheetId="5">
        <row r="3">
          <cell r="C3">
            <v>9750.8299999999981</v>
          </cell>
          <cell r="D3">
            <v>4022.4700000000003</v>
          </cell>
          <cell r="E3">
            <v>5570.7999999999993</v>
          </cell>
          <cell r="F3">
            <v>11886.550000000001</v>
          </cell>
        </row>
      </sheetData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P Count"/>
      <sheetName val="MyTraderStats"/>
      <sheetName val="NZD-USD"/>
      <sheetName val="USD-CAD"/>
      <sheetName val="EUR-USD"/>
      <sheetName val="USD-JPY"/>
      <sheetName val="USD-JPY (Test)"/>
      <sheetName val="FlatHistory"/>
      <sheetName val="Profits"/>
      <sheetName val="Summary"/>
      <sheetName val="SummaryChart"/>
      <sheetName val="Balancing"/>
      <sheetName val="MM"/>
      <sheetName val="Rates"/>
      <sheetName val="CashFlow"/>
      <sheetName val="Anchors"/>
      <sheetName val="Matrix-NZDUSD"/>
      <sheetName val="Matrix-EURUSD"/>
      <sheetName val="Matrix-USDCAD"/>
      <sheetName val="Matrix-USDJP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7">
          <cell r="D7">
            <v>2557.9300000000003</v>
          </cell>
          <cell r="E7">
            <v>1365.1699999999996</v>
          </cell>
          <cell r="F7">
            <v>1611.7600000000002</v>
          </cell>
          <cell r="G7">
            <v>5317.54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HTML"/>
      <sheetName val="HistoryPivot"/>
      <sheetName val="OpenTradesHTML"/>
      <sheetName val="OpenTradesPivot"/>
      <sheetName val="Summary"/>
      <sheetName val="Net Equity %"/>
      <sheetName val="Balancing"/>
      <sheetName val="Margin"/>
      <sheetName val="Rates"/>
      <sheetName val="Info"/>
    </sheetNames>
    <sheetDataSet>
      <sheetData sheetId="0"/>
      <sheetData sheetId="1"/>
      <sheetData sheetId="2"/>
      <sheetData sheetId="3"/>
      <sheetData sheetId="4">
        <row r="3">
          <cell r="C3">
            <v>6600.38</v>
          </cell>
          <cell r="D3">
            <v>2834.4899999999993</v>
          </cell>
          <cell r="E3">
            <v>4237.829999999999</v>
          </cell>
        </row>
      </sheetData>
      <sheetData sheetId="5"/>
      <sheetData sheetId="6"/>
      <sheetData sheetId="7"/>
      <sheetData sheetId="8"/>
      <sheetData sheetId="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HTML"/>
      <sheetName val="HistoryPivot"/>
      <sheetName val="OpenTradesHTML"/>
      <sheetName val="OpenTradesPivot"/>
      <sheetName val="Summary"/>
      <sheetName val="Net Equity %"/>
      <sheetName val="Balancing"/>
      <sheetName val="Margin"/>
      <sheetName val="Rates"/>
      <sheetName val="Info"/>
    </sheetNames>
    <sheetDataSet>
      <sheetData sheetId="0"/>
      <sheetData sheetId="1"/>
      <sheetData sheetId="2"/>
      <sheetData sheetId="3"/>
      <sheetData sheetId="4">
        <row r="3">
          <cell r="C3">
            <v>2052.84</v>
          </cell>
          <cell r="D3">
            <v>7350.21</v>
          </cell>
          <cell r="E3">
            <v>3891.96</v>
          </cell>
        </row>
      </sheetData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HTML"/>
      <sheetName val="HistoryPivot"/>
      <sheetName val="OpenTradesHTML"/>
      <sheetName val="OpenTradesPivot"/>
      <sheetName val="Summary"/>
      <sheetName val="Net Equity%"/>
      <sheetName val="Balancing"/>
      <sheetName val="Rates"/>
      <sheetName val="Info"/>
    </sheetNames>
    <sheetDataSet>
      <sheetData sheetId="0"/>
      <sheetData sheetId="1"/>
      <sheetData sheetId="2"/>
      <sheetData sheetId="3"/>
      <sheetData sheetId="4">
        <row r="3">
          <cell r="C3">
            <v>438.46000000000049</v>
          </cell>
          <cell r="D3">
            <v>679.51000000000022</v>
          </cell>
          <cell r="E3">
            <v>-111.15999999999985</v>
          </cell>
          <cell r="F3">
            <v>1408.0000000000005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HTML"/>
      <sheetName val="HistoryPivot"/>
      <sheetName val="OpenTradesHTML"/>
      <sheetName val="OpenTradesPivot"/>
      <sheetName val="Summary"/>
      <sheetName val="Net Equity%"/>
      <sheetName val="Balancing"/>
      <sheetName val="Rates"/>
      <sheetName val="Info"/>
    </sheetNames>
    <sheetDataSet>
      <sheetData sheetId="0" refreshError="1"/>
      <sheetData sheetId="1" refreshError="1"/>
      <sheetData sheetId="2" refreshError="1"/>
      <sheetData sheetId="3" refreshError="1"/>
      <sheetData sheetId="4">
        <row r="3">
          <cell r="C3">
            <v>0</v>
          </cell>
          <cell r="D3">
            <v>0</v>
          </cell>
          <cell r="E3">
            <v>0</v>
          </cell>
          <cell r="F3">
            <v>0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HTML"/>
      <sheetName val="HistoryPivot"/>
      <sheetName val="OpenTradesHTML"/>
      <sheetName val="OpenTradesPivot"/>
      <sheetName val="Summary"/>
      <sheetName val="Net Equity%"/>
      <sheetName val="Balancing"/>
      <sheetName val="Rates"/>
      <sheetName val="Info"/>
    </sheetNames>
    <sheetDataSet>
      <sheetData sheetId="0" refreshError="1"/>
      <sheetData sheetId="1" refreshError="1"/>
      <sheetData sheetId="2" refreshError="1"/>
      <sheetData sheetId="3" refreshError="1"/>
      <sheetData sheetId="4">
        <row r="3">
          <cell r="C3">
            <v>0</v>
          </cell>
          <cell r="D3">
            <v>0</v>
          </cell>
          <cell r="E3">
            <v>0</v>
          </cell>
          <cell r="F3">
            <v>0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HTML"/>
      <sheetName val="HistoryPivot"/>
      <sheetName val="OpenTradesHTML"/>
      <sheetName val="OpenTradesPivot"/>
      <sheetName val="Summary"/>
      <sheetName val="Net Equity %"/>
      <sheetName val="Balancing"/>
      <sheetName val="Margin"/>
      <sheetName val="Rates"/>
      <sheetName val="Info"/>
    </sheetNames>
    <sheetDataSet>
      <sheetData sheetId="0"/>
      <sheetData sheetId="1"/>
      <sheetData sheetId="2"/>
      <sheetData sheetId="3"/>
      <sheetData sheetId="4">
        <row r="3">
          <cell r="C3">
            <v>358.38</v>
          </cell>
          <cell r="D3">
            <v>310.98</v>
          </cell>
          <cell r="E3">
            <v>719.66</v>
          </cell>
          <cell r="F3">
            <v>0</v>
          </cell>
        </row>
      </sheetData>
      <sheetData sheetId="5"/>
      <sheetData sheetId="6"/>
      <sheetData sheetId="7"/>
      <sheetData sheetId="8"/>
      <sheetData sheetId="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HTML"/>
      <sheetName val="HistoryPivot"/>
      <sheetName val="OpenTradesHTML"/>
      <sheetName val="OpenTradesPivot"/>
      <sheetName val="Summary"/>
      <sheetName val="Net Equity %"/>
      <sheetName val="Balancing"/>
      <sheetName val="Margin"/>
      <sheetName val="Rates"/>
      <sheetName val="Info"/>
    </sheetNames>
    <sheetDataSet>
      <sheetData sheetId="0"/>
      <sheetData sheetId="1"/>
      <sheetData sheetId="2"/>
      <sheetData sheetId="3"/>
      <sheetData sheetId="4">
        <row r="3">
          <cell r="C3">
            <v>5000.0899999999992</v>
          </cell>
          <cell r="E3">
            <v>3023.31</v>
          </cell>
        </row>
      </sheetData>
      <sheetData sheetId="5"/>
      <sheetData sheetId="6"/>
      <sheetData sheetId="7"/>
      <sheetData sheetId="8"/>
      <sheetData sheetId="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HTML"/>
      <sheetName val="HistoryPivot"/>
      <sheetName val="OpenTradesHTML"/>
      <sheetName val="OpenTradesPivot"/>
      <sheetName val="Summary"/>
      <sheetName val="Net Equity%"/>
      <sheetName val="Balancing"/>
      <sheetName val="Rates"/>
      <sheetName val="Info"/>
    </sheetNames>
    <sheetDataSet>
      <sheetData sheetId="0"/>
      <sheetData sheetId="1"/>
      <sheetData sheetId="2"/>
      <sheetData sheetId="3"/>
      <sheetData sheetId="4">
        <row r="3">
          <cell r="C3">
            <v>3844.0199999999995</v>
          </cell>
          <cell r="D3">
            <v>8936.02</v>
          </cell>
          <cell r="E3">
            <v>2263.2500000000005</v>
          </cell>
          <cell r="F3">
            <v>2409.7399999999998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HTML"/>
      <sheetName val="HistoryPivot"/>
      <sheetName val="OpenTradesHTML"/>
      <sheetName val="OpenTradesPivot"/>
      <sheetName val="Summary"/>
      <sheetName val="Net Equity%"/>
      <sheetName val="Balancing"/>
      <sheetName val="Rates"/>
      <sheetName val="Info"/>
    </sheetNames>
    <sheetDataSet>
      <sheetData sheetId="0"/>
      <sheetData sheetId="1"/>
      <sheetData sheetId="2"/>
      <sheetData sheetId="3"/>
      <sheetData sheetId="4">
        <row r="3">
          <cell r="C3">
            <v>8238.9599999999991</v>
          </cell>
          <cell r="D3">
            <v>10181.25</v>
          </cell>
          <cell r="E3">
            <v>7612.5800000000008</v>
          </cell>
          <cell r="F3">
            <v>3340.96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HTML"/>
      <sheetName val="HistoryPivot"/>
      <sheetName val="OpenTradesHTML"/>
      <sheetName val="OpenTradesPivot"/>
      <sheetName val="Summary"/>
      <sheetName val="Net Equity%"/>
      <sheetName val="Balancing"/>
      <sheetName val="Rates"/>
      <sheetName val="Info"/>
    </sheetNames>
    <sheetDataSet>
      <sheetData sheetId="0"/>
      <sheetData sheetId="1"/>
      <sheetData sheetId="2"/>
      <sheetData sheetId="3"/>
      <sheetData sheetId="4">
        <row r="3">
          <cell r="C3">
            <v>4546.7200000000012</v>
          </cell>
          <cell r="D3">
            <v>5398.3600000000006</v>
          </cell>
          <cell r="E3">
            <v>3816.8</v>
          </cell>
          <cell r="F3">
            <v>1525.75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HTML"/>
      <sheetName val="HistoryPivot"/>
      <sheetName val="OpenTradesHTML"/>
      <sheetName val="OpenTradesPivot"/>
      <sheetName val="Summary"/>
      <sheetName val="Net Equity %"/>
      <sheetName val="Balancing"/>
      <sheetName val="Margin"/>
      <sheetName val="Rates"/>
      <sheetName val="Info"/>
    </sheetNames>
    <sheetDataSet>
      <sheetData sheetId="0"/>
      <sheetData sheetId="1"/>
      <sheetData sheetId="2"/>
      <sheetData sheetId="3"/>
      <sheetData sheetId="4">
        <row r="3">
          <cell r="D3">
            <v>26915.27</v>
          </cell>
          <cell r="F3">
            <v>9317.5199999999968</v>
          </cell>
        </row>
      </sheetData>
      <sheetData sheetId="5"/>
      <sheetData sheetId="6"/>
      <sheetData sheetId="7"/>
      <sheetData sheetId="8"/>
      <sheetData sheetId="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HTML"/>
      <sheetName val="HistoryPivot"/>
      <sheetName val="OpenTradesHTML"/>
      <sheetName val="OpenTradesPivot"/>
      <sheetName val="Summary"/>
      <sheetName val="Net Equity%"/>
      <sheetName val="Balancing"/>
      <sheetName val="Rates"/>
      <sheetName val="Info"/>
    </sheetNames>
    <sheetDataSet>
      <sheetData sheetId="0"/>
      <sheetData sheetId="1"/>
      <sheetData sheetId="2"/>
      <sheetData sheetId="3"/>
      <sheetData sheetId="4">
        <row r="3">
          <cell r="C3">
            <v>535.94999999999993</v>
          </cell>
          <cell r="E3">
            <v>784.81999999999994</v>
          </cell>
          <cell r="F3">
            <v>241.42999999999998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HTML"/>
      <sheetName val="HistoryPivot"/>
      <sheetName val="OpenTradesHTML"/>
      <sheetName val="OpenTradesPivot"/>
      <sheetName val="Summary"/>
      <sheetName val="Net Equity%"/>
      <sheetName val="Balancing"/>
      <sheetName val="Rates"/>
      <sheetName val="Info"/>
    </sheetNames>
    <sheetDataSet>
      <sheetData sheetId="0"/>
      <sheetData sheetId="1"/>
      <sheetData sheetId="2"/>
      <sheetData sheetId="3"/>
      <sheetData sheetId="4">
        <row r="3">
          <cell r="C3">
            <v>1960.1000000000001</v>
          </cell>
          <cell r="E3">
            <v>1987.0100000000002</v>
          </cell>
          <cell r="F3">
            <v>1131.48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MT4" ddeTopic="ASK">
    <ddeItems>
      <ddeItem name="AUDCAD" advise="1"/>
      <ddeItem name="AUDCHF" advise="1"/>
      <ddeItem name="AUDJPY" advise="1"/>
      <ddeItem name="AUDNZD" advise="1"/>
      <ddeItem name="AUDUSD" advise="1"/>
      <ddeItem name="CADCHF" advise="1"/>
      <ddeItem name="CADJPY" advise="1"/>
      <ddeItem name="CHFJPY" advise="1"/>
      <ddeItem name="CHFSGD" advise="1"/>
      <ddeItem name="EURAUD" advise="1"/>
      <ddeItem name="EURCAD" advise="1"/>
      <ddeItem name="EURGBP" advise="1"/>
      <ddeItem name="EURJPY" advise="1"/>
      <ddeItem name="EURNOK" advise="1"/>
      <ddeItem name="EURNZD" advise="1"/>
      <ddeItem name="EURPLN" advise="1"/>
      <ddeItem name="EURUSD" advise="1"/>
      <ddeItem name="GBPAUD" advise="1"/>
      <ddeItem name="GBPCAD" advise="1"/>
      <ddeItem name="GBPCHF" advise="1"/>
      <ddeItem name="GBPJPY" advise="1"/>
      <ddeItem name="GBPNZD" advise="1"/>
      <ddeItem name="GBPSGD" advise="1"/>
      <ddeItem name="GBPUSD" advise="1"/>
      <ddeItem name="GOLD" advise="1"/>
      <ddeItem name="NZDCAD" advise="1"/>
      <ddeItem name="NZDCHF" advise="1"/>
      <ddeItem name="NZDJPY" advise="1"/>
      <ddeItem name="NZDSGD" advise="1"/>
      <ddeItem name="NZDUSD" advise="1"/>
      <ddeItem name="SILVER" advise="1"/>
      <ddeItem name="StdDocumentName" ole="1" advise="1"/>
      <ddeItem name="USDCAD" advise="1"/>
      <ddeItem name="USDCHF" advise="1"/>
      <ddeItem name="USDJPY" advise="1"/>
      <ddeItem name="USDNOK" advise="1"/>
      <ddeItem name="USDZAR" advise="1"/>
      <ddeItem name="XAUUSD" advise="1"/>
    </ddeItems>
  </ddeLin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MT4" ddeTopic="BID">
    <ddeItems>
      <ddeItem name="AUDCAD" advise="1"/>
      <ddeItem name="AUDCHF" advise="1"/>
      <ddeItem name="AUDJPY" advise="1"/>
      <ddeItem name="AUDNZD" advise="1"/>
      <ddeItem name="AUDUSD" advise="1"/>
      <ddeItem name="CADCHF" advise="1"/>
      <ddeItem name="CADJPY" advise="1"/>
      <ddeItem name="CHFJPY" advise="1"/>
      <ddeItem name="CHFSGD" advise="1"/>
      <ddeItem name="EURAUD" advise="1"/>
      <ddeItem name="EURCAD" advise="1"/>
      <ddeItem name="EURGBP" advise="1"/>
      <ddeItem name="EURJPY" advise="1"/>
      <ddeItem name="EURNOK" advise="1"/>
      <ddeItem name="EURNZD" advise="1"/>
      <ddeItem name="EURPLN" advise="1"/>
      <ddeItem name="EURUSD" advise="1"/>
      <ddeItem name="GBPAUD" advise="1"/>
      <ddeItem name="GBPCAD" advise="1"/>
      <ddeItem name="GBPCHF" advise="1"/>
      <ddeItem name="GBPJPY" advise="1"/>
      <ddeItem name="GBPNZD" advise="1"/>
      <ddeItem name="GBPSGD" advise="1"/>
      <ddeItem name="GBPUSD" advise="1"/>
      <ddeItem name="GOLD" advise="1"/>
      <ddeItem name="NZDCAD" advise="1"/>
      <ddeItem name="NZDCHF" advise="1"/>
      <ddeItem name="NZDJPY" advise="1"/>
      <ddeItem name="NZDSGD" advise="1"/>
      <ddeItem name="NZDUSD" advise="1"/>
      <ddeItem name="SILVER" advise="1"/>
      <ddeItem name="StdDocumentName" ole="1" advise="1"/>
      <ddeItem name="USDCAD" advise="1"/>
      <ddeItem name="USDCHF" advise="1"/>
      <ddeItem name="USDJPY" advise="1"/>
      <ddeItem name="USDNOK" advise="1"/>
      <ddeItem name="USDZAR" advise="1"/>
      <ddeItem name="XAUUSD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>
      <selection activeCell="D24" sqref="D24"/>
    </sheetView>
  </sheetViews>
  <sheetFormatPr defaultRowHeight="15" x14ac:dyDescent="0.25"/>
  <cols>
    <col min="1" max="1" width="7.42578125" bestFit="1" customWidth="1"/>
    <col min="2" max="3" width="10.5703125" bestFit="1" customWidth="1"/>
    <col min="5" max="7" width="9.5703125" bestFit="1" customWidth="1"/>
    <col min="8" max="8" width="8" bestFit="1" customWidth="1"/>
    <col min="9" max="11" width="9.5703125" bestFit="1" customWidth="1"/>
    <col min="12" max="12" width="8" bestFit="1" customWidth="1"/>
    <col min="13" max="13" width="10.5703125" bestFit="1" customWidth="1"/>
    <col min="14" max="14" width="9.5703125" bestFit="1" customWidth="1"/>
    <col min="15" max="15" width="9.7109375" bestFit="1" customWidth="1"/>
    <col min="16" max="16" width="9.28515625" bestFit="1" customWidth="1"/>
  </cols>
  <sheetData>
    <row r="1" spans="1:17" x14ac:dyDescent="0.25">
      <c r="B1" t="s">
        <v>4</v>
      </c>
      <c r="C1" t="s">
        <v>5</v>
      </c>
      <c r="D1" t="s">
        <v>8</v>
      </c>
      <c r="E1" t="s">
        <v>14</v>
      </c>
      <c r="F1" t="s">
        <v>10</v>
      </c>
      <c r="G1" t="s">
        <v>9</v>
      </c>
      <c r="H1" t="s">
        <v>11</v>
      </c>
      <c r="I1" t="s">
        <v>55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67</v>
      </c>
      <c r="P1" t="s">
        <v>68</v>
      </c>
    </row>
    <row r="2" spans="1:17" x14ac:dyDescent="0.25">
      <c r="A2" t="s">
        <v>0</v>
      </c>
      <c r="B2" s="1">
        <f>[1]Summary!$E$3</f>
        <v>5570.7999999999993</v>
      </c>
      <c r="D2" s="2">
        <f>[2]Summary!$D$7</f>
        <v>2557.9300000000003</v>
      </c>
      <c r="F2" s="1">
        <f>[3]Summary!$D$3</f>
        <v>2834.4899999999993</v>
      </c>
      <c r="G2" s="1">
        <f>[4]Summary!$C$3</f>
        <v>2052.84</v>
      </c>
      <c r="K2" s="1">
        <f>+[5]Summary!$F$3</f>
        <v>1408.0000000000005</v>
      </c>
      <c r="O2" s="1">
        <f>+[6]Summary!$C$3</f>
        <v>0</v>
      </c>
      <c r="P2" s="1">
        <f>+[7]Summary!$F$3</f>
        <v>0</v>
      </c>
    </row>
    <row r="3" spans="1:17" x14ac:dyDescent="0.25">
      <c r="A3" t="s">
        <v>1</v>
      </c>
      <c r="B3" s="1">
        <f>[1]Summary!$D$3</f>
        <v>4022.4700000000003</v>
      </c>
      <c r="D3" s="2">
        <f>[2]Summary!$F$7</f>
        <v>1611.7600000000002</v>
      </c>
    </row>
    <row r="4" spans="1:17" x14ac:dyDescent="0.25">
      <c r="A4" t="s">
        <v>2</v>
      </c>
      <c r="B4" s="1">
        <f>[1]Summary!$C$3</f>
        <v>9750.8299999999981</v>
      </c>
      <c r="D4" s="2">
        <f>[2]Summary!$E$7</f>
        <v>1365.1699999999996</v>
      </c>
      <c r="F4" s="1">
        <f>[3]Summary!$E$3</f>
        <v>4237.829999999999</v>
      </c>
      <c r="H4" s="1">
        <f>[8]Summary!$C$3</f>
        <v>358.38</v>
      </c>
    </row>
    <row r="5" spans="1:17" x14ac:dyDescent="0.25">
      <c r="A5" t="s">
        <v>3</v>
      </c>
      <c r="B5" s="1">
        <f>[1]Summary!$F$3</f>
        <v>11886.550000000001</v>
      </c>
      <c r="D5" s="2">
        <f>[2]Summary!$G$7</f>
        <v>5317.54</v>
      </c>
      <c r="E5" s="1">
        <f>[9]Summary!$C$3</f>
        <v>5000.0899999999992</v>
      </c>
      <c r="I5" s="1">
        <f>+[10]Summary!$C$3</f>
        <v>3844.0199999999995</v>
      </c>
      <c r="M5" s="1">
        <f>+[11]Summary!$F$3</f>
        <v>3340.96</v>
      </c>
      <c r="N5" s="1">
        <f>+[12]Summary!$F$3</f>
        <v>1525.75</v>
      </c>
      <c r="O5" s="1">
        <f>+[6]Summary!$F$3</f>
        <v>0</v>
      </c>
    </row>
    <row r="6" spans="1:17" x14ac:dyDescent="0.25">
      <c r="A6" t="s">
        <v>6</v>
      </c>
      <c r="C6" s="1">
        <f>[13]Summary!$D$3</f>
        <v>26915.27</v>
      </c>
      <c r="G6" s="1">
        <f>[4]Summary!$D$3</f>
        <v>7350.21</v>
      </c>
      <c r="I6" s="1">
        <f>+[10]Summary!$D$3</f>
        <v>8936.02</v>
      </c>
      <c r="K6" s="1">
        <f>+[5]Summary!$D$3</f>
        <v>679.51000000000022</v>
      </c>
      <c r="L6" s="1">
        <f>+[14]Summary!$E$3</f>
        <v>784.81999999999994</v>
      </c>
      <c r="M6" s="1">
        <f>+[11]Summary!$E$3</f>
        <v>7612.5800000000008</v>
      </c>
      <c r="N6" s="1">
        <f>+[12]Summary!$E$3</f>
        <v>3816.8</v>
      </c>
      <c r="O6" s="1">
        <f>+[6]Summary!$E$3</f>
        <v>0</v>
      </c>
      <c r="P6" s="1">
        <f>+[7]Summary!$D$3</f>
        <v>0</v>
      </c>
    </row>
    <row r="7" spans="1:17" x14ac:dyDescent="0.25">
      <c r="A7" t="s">
        <v>7</v>
      </c>
      <c r="C7" s="1">
        <f>[13]Summary!$F$3</f>
        <v>9317.5199999999968</v>
      </c>
      <c r="H7" s="1">
        <f>[8]Summary!$F$3</f>
        <v>0</v>
      </c>
      <c r="K7" s="1">
        <f>+[5]Summary!$C$3</f>
        <v>438.46000000000049</v>
      </c>
      <c r="L7" s="1">
        <f>+[14]Summary!$F$3</f>
        <v>241.42999999999998</v>
      </c>
      <c r="P7" s="1">
        <f>+[7]Summary!$C$3</f>
        <v>0</v>
      </c>
    </row>
    <row r="8" spans="1:17" x14ac:dyDescent="0.25">
      <c r="A8" t="s">
        <v>12</v>
      </c>
      <c r="E8" s="1">
        <f>[9]Summary!$E$3</f>
        <v>3023.31</v>
      </c>
      <c r="H8" s="1">
        <f>[8]Summary!$D$3</f>
        <v>310.98</v>
      </c>
      <c r="I8" s="1">
        <f>+[10]Summary!$F$3</f>
        <v>2409.7399999999998</v>
      </c>
      <c r="J8" s="1">
        <f>[15]Summary!$F$3</f>
        <v>1131.48</v>
      </c>
    </row>
    <row r="9" spans="1:17" x14ac:dyDescent="0.25">
      <c r="A9" t="s">
        <v>13</v>
      </c>
      <c r="F9" s="1">
        <f>[3]Summary!$C$3</f>
        <v>6600.38</v>
      </c>
      <c r="H9" s="1">
        <f>[8]Summary!$E$3</f>
        <v>719.66</v>
      </c>
      <c r="L9" s="1">
        <f>+[14]Summary!$C$3</f>
        <v>535.94999999999993</v>
      </c>
    </row>
    <row r="10" spans="1:17" x14ac:dyDescent="0.25">
      <c r="A10" t="s">
        <v>15</v>
      </c>
      <c r="G10" s="1">
        <f>[4]Summary!$E$3</f>
        <v>3891.96</v>
      </c>
      <c r="J10" s="1">
        <f>[15]Summary!$C$3</f>
        <v>1960.1000000000001</v>
      </c>
      <c r="K10" s="1">
        <f>+[5]Summary!$E$3</f>
        <v>-111.15999999999985</v>
      </c>
      <c r="P10" s="1">
        <f>+[7]Summary!$E$3</f>
        <v>0</v>
      </c>
    </row>
    <row r="11" spans="1:17" x14ac:dyDescent="0.25">
      <c r="A11" t="s">
        <v>42</v>
      </c>
      <c r="G11" s="1"/>
      <c r="I11" s="1">
        <f>+[10]Summary!$E$3</f>
        <v>2263.2500000000005</v>
      </c>
      <c r="J11" s="1">
        <f>[15]Summary!$E$3</f>
        <v>1987.0100000000002</v>
      </c>
    </row>
    <row r="12" spans="1:17" x14ac:dyDescent="0.25">
      <c r="A12" t="s">
        <v>39</v>
      </c>
      <c r="M12" s="1">
        <f>+[11]Summary!$C$3</f>
        <v>8238.9599999999991</v>
      </c>
      <c r="N12" s="1">
        <f>+[12]Summary!$C$3</f>
        <v>4546.7200000000012</v>
      </c>
    </row>
    <row r="13" spans="1:17" x14ac:dyDescent="0.25">
      <c r="A13" t="s">
        <v>13</v>
      </c>
      <c r="M13" s="1"/>
      <c r="N13" s="1"/>
      <c r="O13" s="1">
        <f>+[6]Summary!$D$3</f>
        <v>0</v>
      </c>
    </row>
    <row r="14" spans="1:17" x14ac:dyDescent="0.25">
      <c r="A14" t="s">
        <v>66</v>
      </c>
      <c r="M14" s="1">
        <f>+[11]Summary!$D$3</f>
        <v>10181.25</v>
      </c>
      <c r="N14" s="1">
        <f>+[12]Summary!$D$3</f>
        <v>5398.3600000000006</v>
      </c>
    </row>
    <row r="16" spans="1:17" x14ac:dyDescent="0.25">
      <c r="B16" t="s">
        <v>4</v>
      </c>
      <c r="C16" t="s">
        <v>5</v>
      </c>
      <c r="D16" t="s">
        <v>8</v>
      </c>
      <c r="E16" t="s">
        <v>14</v>
      </c>
      <c r="F16" t="s">
        <v>10</v>
      </c>
      <c r="G16" t="s">
        <v>9</v>
      </c>
      <c r="H16" t="s">
        <v>11</v>
      </c>
      <c r="I16" t="s">
        <v>55</v>
      </c>
      <c r="J16" t="s">
        <v>61</v>
      </c>
      <c r="K16" t="s">
        <v>62</v>
      </c>
      <c r="L16" t="s">
        <v>63</v>
      </c>
      <c r="M16" t="s">
        <v>64</v>
      </c>
      <c r="N16" t="s">
        <v>65</v>
      </c>
      <c r="O16" t="s">
        <v>67</v>
      </c>
      <c r="P16" t="s">
        <v>68</v>
      </c>
      <c r="Q16" t="s">
        <v>64</v>
      </c>
    </row>
    <row r="17" spans="1:16" x14ac:dyDescent="0.25">
      <c r="A17" t="s">
        <v>0</v>
      </c>
      <c r="B17" s="3">
        <f>+B2/SUM(B$2:B$14)</f>
        <v>0.17837605045043889</v>
      </c>
      <c r="C17" s="3">
        <f t="shared" ref="C17:N17" si="0">+C2/SUM(C$2:C$14)</f>
        <v>0</v>
      </c>
      <c r="D17" s="3">
        <f t="shared" si="0"/>
        <v>0.23570178025137295</v>
      </c>
      <c r="E17" s="3">
        <f t="shared" si="0"/>
        <v>0</v>
      </c>
      <c r="F17" s="3">
        <f t="shared" si="0"/>
        <v>0.20731018745383134</v>
      </c>
      <c r="G17" s="3">
        <f t="shared" si="0"/>
        <v>0.15440680375569485</v>
      </c>
      <c r="H17" s="3">
        <f t="shared" si="0"/>
        <v>0</v>
      </c>
      <c r="I17" s="3">
        <f t="shared" si="0"/>
        <v>0</v>
      </c>
      <c r="J17" s="3">
        <f t="shared" si="0"/>
        <v>0</v>
      </c>
      <c r="K17" s="3">
        <f t="shared" si="0"/>
        <v>0.58306864722276275</v>
      </c>
      <c r="L17" s="3">
        <f t="shared" si="0"/>
        <v>0</v>
      </c>
      <c r="M17" s="3">
        <f t="shared" si="0"/>
        <v>0</v>
      </c>
      <c r="N17" s="3">
        <f t="shared" si="0"/>
        <v>0</v>
      </c>
      <c r="O17" s="3" t="e">
        <f t="shared" ref="O17:P17" si="1">+O2/SUM(O$2:O$14)</f>
        <v>#DIV/0!</v>
      </c>
      <c r="P17" s="3" t="e">
        <f t="shared" si="1"/>
        <v>#DIV/0!</v>
      </c>
    </row>
    <row r="18" spans="1:16" x14ac:dyDescent="0.25">
      <c r="A18" t="s">
        <v>1</v>
      </c>
      <c r="B18" s="3">
        <f t="shared" ref="B18:N18" si="2">+B3/SUM(B$2:B$14)</f>
        <v>0.12879879221213775</v>
      </c>
      <c r="C18" s="3">
        <f t="shared" si="2"/>
        <v>0</v>
      </c>
      <c r="D18" s="3">
        <f t="shared" si="2"/>
        <v>0.14851645718919318</v>
      </c>
      <c r="E18" s="3">
        <f t="shared" si="2"/>
        <v>0</v>
      </c>
      <c r="F18" s="3">
        <f t="shared" si="2"/>
        <v>0</v>
      </c>
      <c r="G18" s="3">
        <f t="shared" si="2"/>
        <v>0</v>
      </c>
      <c r="H18" s="3">
        <f t="shared" si="2"/>
        <v>0</v>
      </c>
      <c r="I18" s="3">
        <f t="shared" si="2"/>
        <v>0</v>
      </c>
      <c r="J18" s="3">
        <f t="shared" si="2"/>
        <v>0</v>
      </c>
      <c r="K18" s="3">
        <f t="shared" si="2"/>
        <v>0</v>
      </c>
      <c r="L18" s="3">
        <f t="shared" si="2"/>
        <v>0</v>
      </c>
      <c r="M18" s="3">
        <f t="shared" si="2"/>
        <v>0</v>
      </c>
      <c r="N18" s="3">
        <f t="shared" si="2"/>
        <v>0</v>
      </c>
      <c r="O18" s="3" t="e">
        <f t="shared" ref="O18:P18" si="3">+O3/SUM(O$2:O$14)</f>
        <v>#DIV/0!</v>
      </c>
      <c r="P18" s="3" t="e">
        <f t="shared" si="3"/>
        <v>#DIV/0!</v>
      </c>
    </row>
    <row r="19" spans="1:16" x14ac:dyDescent="0.25">
      <c r="A19" t="s">
        <v>2</v>
      </c>
      <c r="B19" s="3">
        <f t="shared" ref="B19:N19" si="4">+B4/SUM(B$2:B$14)</f>
        <v>0.31221988655375399</v>
      </c>
      <c r="C19" s="3">
        <f t="shared" si="4"/>
        <v>0</v>
      </c>
      <c r="D19" s="3">
        <f t="shared" si="4"/>
        <v>0.1257942943496369</v>
      </c>
      <c r="E19" s="3">
        <f t="shared" si="4"/>
        <v>0</v>
      </c>
      <c r="F19" s="3">
        <f t="shared" si="4"/>
        <v>0.30994829112026151</v>
      </c>
      <c r="G19" s="3">
        <f t="shared" si="4"/>
        <v>0</v>
      </c>
      <c r="H19" s="3">
        <f t="shared" si="4"/>
        <v>0.25800924392737323</v>
      </c>
      <c r="I19" s="3">
        <f t="shared" si="4"/>
        <v>0</v>
      </c>
      <c r="J19" s="3">
        <f t="shared" si="4"/>
        <v>0</v>
      </c>
      <c r="K19" s="3">
        <f t="shared" si="4"/>
        <v>0</v>
      </c>
      <c r="L19" s="3">
        <f t="shared" si="4"/>
        <v>0</v>
      </c>
      <c r="M19" s="3">
        <f t="shared" si="4"/>
        <v>0</v>
      </c>
      <c r="N19" s="3">
        <f t="shared" si="4"/>
        <v>0</v>
      </c>
      <c r="O19" s="3" t="e">
        <f t="shared" ref="O19:P19" si="5">+O4/SUM(O$2:O$14)</f>
        <v>#DIV/0!</v>
      </c>
      <c r="P19" s="3" t="e">
        <f t="shared" si="5"/>
        <v>#DIV/0!</v>
      </c>
    </row>
    <row r="20" spans="1:16" x14ac:dyDescent="0.25">
      <c r="A20" t="s">
        <v>3</v>
      </c>
      <c r="B20" s="3">
        <f t="shared" ref="B20:N20" si="6">+B5/SUM(B$2:B$14)</f>
        <v>0.38060527078366929</v>
      </c>
      <c r="C20" s="3">
        <f t="shared" si="6"/>
        <v>0</v>
      </c>
      <c r="D20" s="3">
        <f t="shared" si="6"/>
        <v>0.48998746820979683</v>
      </c>
      <c r="E20" s="3">
        <f t="shared" si="6"/>
        <v>0.62318842386020878</v>
      </c>
      <c r="F20" s="3">
        <f t="shared" si="6"/>
        <v>0</v>
      </c>
      <c r="G20" s="3">
        <f t="shared" si="6"/>
        <v>0</v>
      </c>
      <c r="H20" s="3">
        <f t="shared" si="6"/>
        <v>0</v>
      </c>
      <c r="I20" s="3">
        <f t="shared" si="6"/>
        <v>0.22024943519835805</v>
      </c>
      <c r="J20" s="3">
        <f t="shared" si="6"/>
        <v>0</v>
      </c>
      <c r="K20" s="3">
        <f t="shared" si="6"/>
        <v>0</v>
      </c>
      <c r="L20" s="3">
        <f t="shared" si="6"/>
        <v>0</v>
      </c>
      <c r="M20" s="3">
        <f t="shared" si="6"/>
        <v>0.11373964849568066</v>
      </c>
      <c r="N20" s="3">
        <f t="shared" si="6"/>
        <v>9.9802912550866277E-2</v>
      </c>
      <c r="O20" s="3" t="e">
        <f t="shared" ref="O20:P20" si="7">+O5/SUM(O$2:O$14)</f>
        <v>#DIV/0!</v>
      </c>
      <c r="P20" s="3" t="e">
        <f t="shared" si="7"/>
        <v>#DIV/0!</v>
      </c>
    </row>
    <row r="21" spans="1:16" x14ac:dyDescent="0.25">
      <c r="A21" t="s">
        <v>6</v>
      </c>
      <c r="B21" s="3">
        <f t="shared" ref="B21:N21" si="8">+B6/SUM(B$2:B$14)</f>
        <v>0</v>
      </c>
      <c r="C21" s="3">
        <f t="shared" si="8"/>
        <v>0.74284287795667969</v>
      </c>
      <c r="D21" s="3">
        <f t="shared" si="8"/>
        <v>0</v>
      </c>
      <c r="E21" s="3">
        <f t="shared" si="8"/>
        <v>0</v>
      </c>
      <c r="F21" s="3">
        <f t="shared" si="8"/>
        <v>0</v>
      </c>
      <c r="G21" s="3">
        <f t="shared" si="8"/>
        <v>0.55285479288845973</v>
      </c>
      <c r="H21" s="3">
        <f t="shared" si="8"/>
        <v>0</v>
      </c>
      <c r="I21" s="3">
        <f t="shared" si="8"/>
        <v>0.51200393284146073</v>
      </c>
      <c r="J21" s="3">
        <f t="shared" si="8"/>
        <v>0</v>
      </c>
      <c r="K21" s="3">
        <f t="shared" si="8"/>
        <v>0.28139273897325251</v>
      </c>
      <c r="L21" s="3">
        <f t="shared" si="8"/>
        <v>0.50238125720138271</v>
      </c>
      <c r="M21" s="3">
        <f t="shared" si="8"/>
        <v>0.25916268777394785</v>
      </c>
      <c r="N21" s="3">
        <f t="shared" si="8"/>
        <v>0.24966590635696964</v>
      </c>
      <c r="O21" s="3" t="e">
        <f t="shared" ref="O21:P21" si="9">+O6/SUM(O$2:O$14)</f>
        <v>#DIV/0!</v>
      </c>
      <c r="P21" s="3" t="e">
        <f t="shared" si="9"/>
        <v>#DIV/0!</v>
      </c>
    </row>
    <row r="22" spans="1:16" x14ac:dyDescent="0.25">
      <c r="A22" t="s">
        <v>7</v>
      </c>
      <c r="B22" s="3">
        <f t="shared" ref="B22:N22" si="10">+B7/SUM(B$2:B$14)</f>
        <v>0</v>
      </c>
      <c r="C22" s="3">
        <f t="shared" si="10"/>
        <v>0.25715712204332036</v>
      </c>
      <c r="D22" s="3">
        <f t="shared" si="10"/>
        <v>0</v>
      </c>
      <c r="E22" s="3">
        <f t="shared" si="10"/>
        <v>0</v>
      </c>
      <c r="F22" s="3">
        <f t="shared" si="10"/>
        <v>0</v>
      </c>
      <c r="G22" s="3">
        <f t="shared" si="10"/>
        <v>0</v>
      </c>
      <c r="H22" s="3">
        <f t="shared" si="10"/>
        <v>0</v>
      </c>
      <c r="I22" s="3">
        <f t="shared" si="10"/>
        <v>0</v>
      </c>
      <c r="J22" s="3">
        <f t="shared" si="10"/>
        <v>0</v>
      </c>
      <c r="K22" s="3">
        <f t="shared" si="10"/>
        <v>0.1815712209242136</v>
      </c>
      <c r="L22" s="3">
        <f t="shared" si="10"/>
        <v>0.1545448726155422</v>
      </c>
      <c r="M22" s="3">
        <f t="shared" si="10"/>
        <v>0</v>
      </c>
      <c r="N22" s="3">
        <f t="shared" si="10"/>
        <v>0</v>
      </c>
      <c r="O22" s="3" t="e">
        <f t="shared" ref="O22:P22" si="11">+O7/SUM(O$2:O$14)</f>
        <v>#DIV/0!</v>
      </c>
      <c r="P22" s="3" t="e">
        <f t="shared" si="11"/>
        <v>#DIV/0!</v>
      </c>
    </row>
    <row r="23" spans="1:16" x14ac:dyDescent="0.25">
      <c r="A23" t="s">
        <v>12</v>
      </c>
      <c r="B23" s="3">
        <f t="shared" ref="B23:N23" si="12">+B8/SUM(B$2:B$14)</f>
        <v>0</v>
      </c>
      <c r="C23" s="3">
        <f t="shared" si="12"/>
        <v>0</v>
      </c>
      <c r="D23" s="3">
        <f t="shared" si="12"/>
        <v>0</v>
      </c>
      <c r="E23" s="3">
        <f t="shared" si="12"/>
        <v>0.3768115761397911</v>
      </c>
      <c r="F23" s="3">
        <f t="shared" si="12"/>
        <v>0</v>
      </c>
      <c r="G23" s="3">
        <f t="shared" si="12"/>
        <v>0</v>
      </c>
      <c r="H23" s="3">
        <f t="shared" si="12"/>
        <v>0.22388446530647507</v>
      </c>
      <c r="I23" s="3">
        <f t="shared" si="12"/>
        <v>0.13807000847417322</v>
      </c>
      <c r="J23" s="3">
        <f t="shared" si="12"/>
        <v>0.22279412199055249</v>
      </c>
      <c r="K23" s="3">
        <f t="shared" si="12"/>
        <v>0</v>
      </c>
      <c r="L23" s="3">
        <f t="shared" si="12"/>
        <v>0</v>
      </c>
      <c r="M23" s="3">
        <f t="shared" si="12"/>
        <v>0</v>
      </c>
      <c r="N23" s="3">
        <f t="shared" si="12"/>
        <v>0</v>
      </c>
      <c r="O23" s="3" t="e">
        <f t="shared" ref="O23:P23" si="13">+O8/SUM(O$2:O$14)</f>
        <v>#DIV/0!</v>
      </c>
      <c r="P23" s="3" t="e">
        <f t="shared" si="13"/>
        <v>#DIV/0!</v>
      </c>
    </row>
    <row r="24" spans="1:16" x14ac:dyDescent="0.25">
      <c r="A24" t="s">
        <v>13</v>
      </c>
      <c r="B24" s="3">
        <f t="shared" ref="B24:N24" si="14">+B9/SUM(B$2:B$14)</f>
        <v>0</v>
      </c>
      <c r="C24" s="3">
        <f t="shared" si="14"/>
        <v>0</v>
      </c>
      <c r="D24" s="3">
        <f t="shared" si="14"/>
        <v>0</v>
      </c>
      <c r="E24" s="3">
        <f t="shared" si="14"/>
        <v>0</v>
      </c>
      <c r="F24" s="3">
        <f t="shared" si="14"/>
        <v>0.48274152142590721</v>
      </c>
      <c r="G24" s="3">
        <f t="shared" si="14"/>
        <v>0</v>
      </c>
      <c r="H24" s="3">
        <f t="shared" si="14"/>
        <v>0.51810629076615167</v>
      </c>
      <c r="I24" s="3">
        <f t="shared" si="14"/>
        <v>0</v>
      </c>
      <c r="J24" s="3">
        <f t="shared" si="14"/>
        <v>0</v>
      </c>
      <c r="K24" s="3">
        <f t="shared" si="14"/>
        <v>0</v>
      </c>
      <c r="L24" s="3">
        <f t="shared" si="14"/>
        <v>0.34307387018307517</v>
      </c>
      <c r="M24" s="3">
        <f t="shared" si="14"/>
        <v>0</v>
      </c>
      <c r="N24" s="3">
        <f t="shared" si="14"/>
        <v>0</v>
      </c>
      <c r="O24" s="3" t="e">
        <f t="shared" ref="O24:P24" si="15">+O9/SUM(O$2:O$14)</f>
        <v>#DIV/0!</v>
      </c>
      <c r="P24" s="3" t="e">
        <f t="shared" si="15"/>
        <v>#DIV/0!</v>
      </c>
    </row>
    <row r="25" spans="1:16" x14ac:dyDescent="0.25">
      <c r="A25" t="s">
        <v>15</v>
      </c>
      <c r="B25" s="3">
        <f t="shared" ref="B25:N25" si="16">+B10/SUM(B$2:B$14)</f>
        <v>0</v>
      </c>
      <c r="C25" s="3">
        <f t="shared" si="16"/>
        <v>0</v>
      </c>
      <c r="D25" s="3">
        <f t="shared" si="16"/>
        <v>0</v>
      </c>
      <c r="E25" s="3">
        <f t="shared" si="16"/>
        <v>0</v>
      </c>
      <c r="F25" s="3">
        <f t="shared" si="16"/>
        <v>0</v>
      </c>
      <c r="G25" s="3">
        <f t="shared" si="16"/>
        <v>0.29273840335584556</v>
      </c>
      <c r="H25" s="3">
        <f t="shared" si="16"/>
        <v>0</v>
      </c>
      <c r="I25" s="3">
        <f t="shared" si="16"/>
        <v>0</v>
      </c>
      <c r="J25" s="3">
        <f t="shared" si="16"/>
        <v>0.38595358160434295</v>
      </c>
      <c r="K25" s="3">
        <f t="shared" si="16"/>
        <v>-4.6032607120228837E-2</v>
      </c>
      <c r="L25" s="3">
        <f t="shared" si="16"/>
        <v>0</v>
      </c>
      <c r="M25" s="3">
        <f t="shared" si="16"/>
        <v>0</v>
      </c>
      <c r="N25" s="3">
        <f t="shared" si="16"/>
        <v>0</v>
      </c>
      <c r="O25" s="3" t="e">
        <f t="shared" ref="O25:P25" si="17">+O10/SUM(O$2:O$14)</f>
        <v>#DIV/0!</v>
      </c>
      <c r="P25" s="3" t="e">
        <f t="shared" si="17"/>
        <v>#DIV/0!</v>
      </c>
    </row>
    <row r="26" spans="1:16" x14ac:dyDescent="0.25">
      <c r="A26" t="s">
        <v>42</v>
      </c>
      <c r="B26" s="3">
        <f t="shared" ref="B26:N26" si="18">+B11/SUM(B$2:B$14)</f>
        <v>0</v>
      </c>
      <c r="C26" s="3">
        <f t="shared" si="18"/>
        <v>0</v>
      </c>
      <c r="D26" s="3">
        <f t="shared" si="18"/>
        <v>0</v>
      </c>
      <c r="E26" s="3">
        <f t="shared" si="18"/>
        <v>0</v>
      </c>
      <c r="F26" s="3">
        <f t="shared" si="18"/>
        <v>0</v>
      </c>
      <c r="G26" s="3">
        <f t="shared" si="18"/>
        <v>0</v>
      </c>
      <c r="H26" s="3">
        <f t="shared" si="18"/>
        <v>0</v>
      </c>
      <c r="I26" s="3">
        <f t="shared" si="18"/>
        <v>0.12967662348600789</v>
      </c>
      <c r="J26" s="3">
        <f t="shared" si="18"/>
        <v>0.39125229640510462</v>
      </c>
      <c r="K26" s="3">
        <f t="shared" si="18"/>
        <v>0</v>
      </c>
      <c r="L26" s="3">
        <f t="shared" si="18"/>
        <v>0</v>
      </c>
      <c r="M26" s="3">
        <f t="shared" si="18"/>
        <v>0</v>
      </c>
      <c r="N26" s="3">
        <f t="shared" si="18"/>
        <v>0</v>
      </c>
      <c r="O26" s="3" t="e">
        <f t="shared" ref="O26:P26" si="19">+O11/SUM(O$2:O$14)</f>
        <v>#DIV/0!</v>
      </c>
      <c r="P26" s="3" t="e">
        <f t="shared" si="19"/>
        <v>#DIV/0!</v>
      </c>
    </row>
    <row r="27" spans="1:16" x14ac:dyDescent="0.25">
      <c r="A27" t="s">
        <v>39</v>
      </c>
      <c r="B27" s="3">
        <f t="shared" ref="B27:N28" si="20">+B12/SUM(B$2:B$14)</f>
        <v>0</v>
      </c>
      <c r="C27" s="3">
        <f t="shared" si="20"/>
        <v>0</v>
      </c>
      <c r="D27" s="3">
        <f t="shared" si="20"/>
        <v>0</v>
      </c>
      <c r="E27" s="3">
        <f t="shared" si="20"/>
        <v>0</v>
      </c>
      <c r="F27" s="3">
        <f t="shared" si="20"/>
        <v>0</v>
      </c>
      <c r="G27" s="3">
        <f t="shared" si="20"/>
        <v>0</v>
      </c>
      <c r="H27" s="3">
        <f t="shared" si="20"/>
        <v>0</v>
      </c>
      <c r="I27" s="3">
        <f t="shared" si="20"/>
        <v>0</v>
      </c>
      <c r="J27" s="3">
        <f t="shared" si="20"/>
        <v>0</v>
      </c>
      <c r="K27" s="3">
        <f t="shared" si="20"/>
        <v>0</v>
      </c>
      <c r="L27" s="3">
        <f t="shared" si="20"/>
        <v>0</v>
      </c>
      <c r="M27" s="3">
        <f t="shared" si="20"/>
        <v>0.28048716966679432</v>
      </c>
      <c r="N27" s="3">
        <f t="shared" si="20"/>
        <v>0.2974116982161395</v>
      </c>
      <c r="O27" s="3" t="e">
        <f t="shared" ref="O27:P27" si="21">+O12/SUM(O$2:O$14)</f>
        <v>#DIV/0!</v>
      </c>
      <c r="P27" s="3" t="e">
        <f t="shared" si="21"/>
        <v>#DIV/0!</v>
      </c>
    </row>
    <row r="28" spans="1:16" x14ac:dyDescent="0.25">
      <c r="A28" t="s">
        <v>13</v>
      </c>
      <c r="B28" s="3">
        <f t="shared" si="20"/>
        <v>0</v>
      </c>
      <c r="C28" s="3">
        <f t="shared" si="20"/>
        <v>0</v>
      </c>
      <c r="D28" s="3">
        <f t="shared" si="20"/>
        <v>0</v>
      </c>
      <c r="E28" s="3">
        <f t="shared" si="20"/>
        <v>0</v>
      </c>
      <c r="F28" s="3">
        <f t="shared" si="20"/>
        <v>0</v>
      </c>
      <c r="G28" s="3">
        <f t="shared" si="20"/>
        <v>0</v>
      </c>
      <c r="H28" s="3">
        <f t="shared" si="20"/>
        <v>0</v>
      </c>
      <c r="I28" s="3">
        <f t="shared" si="20"/>
        <v>0</v>
      </c>
      <c r="J28" s="3">
        <f t="shared" si="20"/>
        <v>0</v>
      </c>
      <c r="K28" s="3">
        <f t="shared" si="20"/>
        <v>0</v>
      </c>
      <c r="L28" s="3">
        <f t="shared" si="20"/>
        <v>0</v>
      </c>
      <c r="M28" s="3">
        <f t="shared" si="20"/>
        <v>0</v>
      </c>
      <c r="N28" s="3">
        <f t="shared" si="20"/>
        <v>0</v>
      </c>
      <c r="O28" s="3" t="e">
        <f t="shared" ref="O28:P28" si="22">+O13/SUM(O$2:O$14)</f>
        <v>#DIV/0!</v>
      </c>
      <c r="P28" s="3" t="e">
        <f t="shared" si="22"/>
        <v>#DIV/0!</v>
      </c>
    </row>
    <row r="29" spans="1:16" x14ac:dyDescent="0.25">
      <c r="A29" t="s">
        <v>66</v>
      </c>
      <c r="B29" s="3">
        <f t="shared" ref="B29:N29" si="23">+B14/SUM(B$2:B$14)</f>
        <v>0</v>
      </c>
      <c r="C29" s="3">
        <f t="shared" si="23"/>
        <v>0</v>
      </c>
      <c r="D29" s="3">
        <f t="shared" si="23"/>
        <v>0</v>
      </c>
      <c r="E29" s="3">
        <f t="shared" si="23"/>
        <v>0</v>
      </c>
      <c r="F29" s="3">
        <f t="shared" si="23"/>
        <v>0</v>
      </c>
      <c r="G29" s="3">
        <f t="shared" si="23"/>
        <v>0</v>
      </c>
      <c r="H29" s="3">
        <f t="shared" si="23"/>
        <v>0</v>
      </c>
      <c r="I29" s="3">
        <f t="shared" si="23"/>
        <v>0</v>
      </c>
      <c r="J29" s="3">
        <f t="shared" si="23"/>
        <v>0</v>
      </c>
      <c r="K29" s="3">
        <f t="shared" si="23"/>
        <v>0</v>
      </c>
      <c r="L29" s="3">
        <f t="shared" si="23"/>
        <v>0</v>
      </c>
      <c r="M29" s="3">
        <f t="shared" si="23"/>
        <v>0.34661049406357719</v>
      </c>
      <c r="N29" s="3">
        <f t="shared" si="23"/>
        <v>0.35311948287602463</v>
      </c>
      <c r="O29" s="3" t="e">
        <f t="shared" ref="O29:P29" si="24">+O14/SUM(O$2:O$14)</f>
        <v>#DIV/0!</v>
      </c>
      <c r="P29" s="3" t="e">
        <f t="shared" si="24"/>
        <v>#DIV/0!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workbookViewId="0">
      <selection activeCell="I27" sqref="I27"/>
    </sheetView>
  </sheetViews>
  <sheetFormatPr defaultRowHeight="15" x14ac:dyDescent="0.25"/>
  <cols>
    <col min="2" max="2" width="6.7109375" bestFit="1" customWidth="1"/>
    <col min="3" max="3" width="8.42578125" style="4" bestFit="1" customWidth="1"/>
    <col min="4" max="4" width="8.7109375" style="4" bestFit="1" customWidth="1"/>
    <col min="5" max="5" width="8.28515625" style="4" bestFit="1" customWidth="1"/>
    <col min="6" max="6" width="8.85546875" bestFit="1" customWidth="1"/>
    <col min="8" max="8" width="8.7109375" bestFit="1" customWidth="1"/>
    <col min="9" max="9" width="8.42578125" style="16" bestFit="1" customWidth="1"/>
    <col min="10" max="10" width="11.7109375" bestFit="1" customWidth="1"/>
    <col min="11" max="11" width="11.28515625" bestFit="1" customWidth="1"/>
    <col min="12" max="13" width="9.5703125" style="4" bestFit="1" customWidth="1"/>
  </cols>
  <sheetData>
    <row r="1" spans="1:16" x14ac:dyDescent="0.25">
      <c r="A1" s="7" t="s">
        <v>53</v>
      </c>
      <c r="E1" s="8" t="s">
        <v>58</v>
      </c>
      <c r="N1" t="e">
        <f>[16]!GOLD</f>
        <v>#REF!</v>
      </c>
      <c r="O1" t="e">
        <f>[17]!GOLD</f>
        <v>#REF!</v>
      </c>
      <c r="P1" t="e">
        <f>+N1-O1</f>
        <v>#REF!</v>
      </c>
    </row>
    <row r="2" spans="1:16" x14ac:dyDescent="0.25">
      <c r="A2" s="7"/>
      <c r="N2" t="e">
        <f>[16]!XAUUSD</f>
        <v>#REF!</v>
      </c>
      <c r="O2" t="e">
        <f>[17]!XAUUSD</f>
        <v>#REF!</v>
      </c>
      <c r="P2" t="e">
        <f>+N2-O2</f>
        <v>#REF!</v>
      </c>
    </row>
    <row r="3" spans="1:16" x14ac:dyDescent="0.25">
      <c r="A3" s="7" t="s">
        <v>52</v>
      </c>
      <c r="B3" s="7" t="s">
        <v>51</v>
      </c>
      <c r="C3" s="8" t="s">
        <v>50</v>
      </c>
      <c r="D3" s="8" t="s">
        <v>49</v>
      </c>
      <c r="E3" s="8" t="s">
        <v>48</v>
      </c>
      <c r="F3" s="8" t="s">
        <v>47</v>
      </c>
      <c r="G3" s="8" t="s">
        <v>46</v>
      </c>
      <c r="H3" s="8" t="s">
        <v>45</v>
      </c>
      <c r="I3" s="17" t="s">
        <v>44</v>
      </c>
      <c r="J3" s="8" t="s">
        <v>43</v>
      </c>
      <c r="K3" s="8" t="s">
        <v>54</v>
      </c>
      <c r="L3" s="8" t="s">
        <v>56</v>
      </c>
      <c r="M3" s="8" t="s">
        <v>57</v>
      </c>
      <c r="N3" s="8" t="s">
        <v>59</v>
      </c>
      <c r="O3" s="8" t="s">
        <v>60</v>
      </c>
    </row>
    <row r="4" spans="1:16" x14ac:dyDescent="0.25">
      <c r="A4" s="10" t="s">
        <v>6</v>
      </c>
      <c r="B4" s="11">
        <v>10000</v>
      </c>
      <c r="C4" s="12">
        <v>9.5999999999999992E-3</v>
      </c>
      <c r="D4" s="12">
        <v>3.4599999999999999E-2</v>
      </c>
      <c r="E4" s="12">
        <v>1.7399999999999999E-2</v>
      </c>
      <c r="F4" s="13">
        <f t="shared" ref="F4:F39" si="0">+C4*$B4</f>
        <v>95.999999999999986</v>
      </c>
      <c r="G4" s="13">
        <f t="shared" ref="G4:G39" si="1">+D4*$B4</f>
        <v>346</v>
      </c>
      <c r="H4" s="13">
        <f t="shared" ref="H4:H39" si="2">+E4*$B4</f>
        <v>174</v>
      </c>
      <c r="I4" s="18" t="e">
        <f>B4*([16]!GBPNZD-[17]!GBPNZD)</f>
        <v>#REF!</v>
      </c>
      <c r="J4" s="11">
        <v>40</v>
      </c>
      <c r="K4" s="14" t="e">
        <f t="shared" ref="K4:K39" si="3">H4/I4</f>
        <v>#REF!</v>
      </c>
      <c r="L4" s="12">
        <v>1.77</v>
      </c>
      <c r="M4" s="12">
        <v>2.33</v>
      </c>
      <c r="N4" s="11">
        <f t="shared" ref="N4:N39" si="4">(M4-L4)*B4</f>
        <v>5600.0000000000009</v>
      </c>
      <c r="O4" s="15" t="e">
        <f>2*MIN(([16]!GBPNZD-L4)/(M4-L4),1-([16]!GBPNZD-L4)/(M4-L4))</f>
        <v>#REF!</v>
      </c>
    </row>
    <row r="5" spans="1:16" x14ac:dyDescent="0.25">
      <c r="A5" t="s">
        <v>40</v>
      </c>
      <c r="B5">
        <v>10000</v>
      </c>
      <c r="C5" s="4">
        <v>5.4999999999999997E-3</v>
      </c>
      <c r="D5" s="4">
        <v>2.6200000000000001E-2</v>
      </c>
      <c r="E5" s="4">
        <v>1.6899999999999998E-2</v>
      </c>
      <c r="F5" s="6">
        <f t="shared" si="0"/>
        <v>55</v>
      </c>
      <c r="G5" s="6">
        <f t="shared" si="1"/>
        <v>262</v>
      </c>
      <c r="H5" s="6">
        <f t="shared" si="2"/>
        <v>168.99999999999997</v>
      </c>
      <c r="I5" s="16" t="e">
        <f>B5*([16]!GBPAUD-[17]!GBPAUD)</f>
        <v>#REF!</v>
      </c>
      <c r="J5">
        <v>20</v>
      </c>
      <c r="K5" s="5" t="e">
        <f t="shared" si="3"/>
        <v>#REF!</v>
      </c>
      <c r="L5" s="4">
        <v>1.43</v>
      </c>
      <c r="M5" s="4">
        <v>2.0299999999999998</v>
      </c>
      <c r="N5">
        <f t="shared" si="4"/>
        <v>5999.9999999999991</v>
      </c>
      <c r="O5" s="9" t="e">
        <f>2*MIN(([16]!GBPAUD-L5)/(M5-L5),1-([16]!GBPAUD-L5)/(M5-L5))</f>
        <v>#REF!</v>
      </c>
    </row>
    <row r="6" spans="1:16" s="11" customFormat="1" x14ac:dyDescent="0.25">
      <c r="A6" s="11" t="s">
        <v>36</v>
      </c>
      <c r="B6" s="11">
        <v>10</v>
      </c>
      <c r="C6" s="12">
        <v>11.910299999999999</v>
      </c>
      <c r="D6" s="12">
        <v>51.378999999999998</v>
      </c>
      <c r="E6" s="12">
        <v>16.579999999999998</v>
      </c>
      <c r="F6" s="13">
        <f t="shared" si="0"/>
        <v>119.10299999999999</v>
      </c>
      <c r="G6" s="13">
        <f t="shared" si="1"/>
        <v>513.79</v>
      </c>
      <c r="H6" s="13">
        <f t="shared" si="2"/>
        <v>165.79999999999998</v>
      </c>
      <c r="I6" s="18" t="e">
        <f>B6*IF(ISERR($P$1),$P$2,$P$1)</f>
        <v>#REF!</v>
      </c>
      <c r="J6" s="11">
        <v>20</v>
      </c>
      <c r="K6" s="14" t="e">
        <f t="shared" si="3"/>
        <v>#REF!</v>
      </c>
      <c r="L6" s="13">
        <v>1150</v>
      </c>
      <c r="M6" s="13">
        <v>1950</v>
      </c>
      <c r="N6" s="11">
        <f t="shared" si="4"/>
        <v>8000</v>
      </c>
      <c r="O6" s="15" t="e">
        <f>2*MIN(([16]!GOLD-L6)/(M6-L6),1-([16]!GOLD-L6)/(M6-L6))</f>
        <v>#REF!</v>
      </c>
    </row>
    <row r="7" spans="1:16" x14ac:dyDescent="0.25">
      <c r="A7" t="s">
        <v>35</v>
      </c>
      <c r="B7">
        <v>10000</v>
      </c>
      <c r="C7" s="4">
        <v>5.1999999999999998E-3</v>
      </c>
      <c r="D7" s="4">
        <v>2.1899999999999999E-2</v>
      </c>
      <c r="E7" s="4">
        <v>1.6199999999999999E-2</v>
      </c>
      <c r="F7" s="6">
        <f t="shared" si="0"/>
        <v>52</v>
      </c>
      <c r="G7" s="6">
        <f t="shared" si="1"/>
        <v>219</v>
      </c>
      <c r="H7" s="6">
        <f t="shared" si="2"/>
        <v>162</v>
      </c>
      <c r="I7" s="16" t="e">
        <f>B7*([16]!GBPCAD-[17]!GBPCAD)</f>
        <v>#REF!</v>
      </c>
      <c r="J7">
        <v>20</v>
      </c>
      <c r="K7" s="5" t="e">
        <f t="shared" si="3"/>
        <v>#REF!</v>
      </c>
      <c r="L7" s="4">
        <v>1.48</v>
      </c>
      <c r="M7" s="4">
        <v>1.95</v>
      </c>
      <c r="N7">
        <f t="shared" si="4"/>
        <v>4700</v>
      </c>
      <c r="O7" s="9" t="e">
        <f>2*MIN(([16]!GBPCAD-L7)/(M7-L7),1-([16]!GBPCAD-L7)/(M7-L7))</f>
        <v>#REF!</v>
      </c>
    </row>
    <row r="8" spans="1:16" s="11" customFormat="1" x14ac:dyDescent="0.25">
      <c r="A8" s="11" t="s">
        <v>18</v>
      </c>
      <c r="B8" s="11">
        <v>1000</v>
      </c>
      <c r="C8" s="12">
        <v>5.9299999999999999E-2</v>
      </c>
      <c r="D8" s="12">
        <v>0.25750000000000001</v>
      </c>
      <c r="E8" s="12">
        <v>0.158</v>
      </c>
      <c r="F8" s="13">
        <f t="shared" si="0"/>
        <v>59.3</v>
      </c>
      <c r="G8" s="13">
        <f t="shared" si="1"/>
        <v>257.5</v>
      </c>
      <c r="H8" s="13">
        <f t="shared" si="2"/>
        <v>158</v>
      </c>
      <c r="I8" s="18" t="e">
        <f>B8*([16]!USDZAR-[17]!USDZAR)</f>
        <v>#REF!</v>
      </c>
      <c r="J8" s="11">
        <v>20</v>
      </c>
      <c r="K8" s="14" t="e">
        <f t="shared" si="3"/>
        <v>#REF!</v>
      </c>
      <c r="L8" s="12">
        <v>6.6</v>
      </c>
      <c r="M8" s="12">
        <v>11.9</v>
      </c>
      <c r="N8" s="11">
        <f t="shared" si="4"/>
        <v>5300.0000000000009</v>
      </c>
      <c r="O8" s="15" t="e">
        <f>2*MIN(([16]!USDZAR-L8)/(M8-L8),1-([16]!USDZAR-L8)/(M8-L8))</f>
        <v>#REF!</v>
      </c>
    </row>
    <row r="9" spans="1:16" s="11" customFormat="1" x14ac:dyDescent="0.25">
      <c r="A9" s="11" t="s">
        <v>39</v>
      </c>
      <c r="B9" s="11">
        <v>10000</v>
      </c>
      <c r="C9" s="12">
        <v>5.4999999999999997E-3</v>
      </c>
      <c r="D9" s="12">
        <v>2.2200000000000001E-2</v>
      </c>
      <c r="E9" s="12">
        <v>1.46E-2</v>
      </c>
      <c r="F9" s="13">
        <f t="shared" si="0"/>
        <v>55</v>
      </c>
      <c r="G9" s="13">
        <f t="shared" si="1"/>
        <v>222</v>
      </c>
      <c r="H9" s="13">
        <f t="shared" si="2"/>
        <v>146</v>
      </c>
      <c r="I9" s="18" t="e">
        <f>B9*([16]!EURAUD-[17]!EURAUD)</f>
        <v>#REF!</v>
      </c>
      <c r="J9" s="11">
        <v>20</v>
      </c>
      <c r="K9" s="14" t="e">
        <f t="shared" si="3"/>
        <v>#REF!</v>
      </c>
      <c r="L9" s="12">
        <v>1.1599999999999999</v>
      </c>
      <c r="M9" s="12">
        <v>1.6</v>
      </c>
      <c r="N9" s="11">
        <f t="shared" si="4"/>
        <v>4400.0000000000018</v>
      </c>
      <c r="O9" s="15" t="e">
        <f>2*MIN(([16]!EURAUD-L9)/(M9-L9),1-([16]!EURAUD-L9)/(M9-L9))</f>
        <v>#REF!</v>
      </c>
    </row>
    <row r="10" spans="1:16" s="11" customFormat="1" x14ac:dyDescent="0.25">
      <c r="A10" s="11" t="s">
        <v>38</v>
      </c>
      <c r="B10" s="11">
        <v>100</v>
      </c>
      <c r="C10" s="12">
        <v>0.61480000000000001</v>
      </c>
      <c r="D10" s="12">
        <v>2.9558</v>
      </c>
      <c r="E10" s="12">
        <v>1.4534</v>
      </c>
      <c r="F10" s="13">
        <f t="shared" si="0"/>
        <v>61.480000000000004</v>
      </c>
      <c r="G10" s="13">
        <f t="shared" si="1"/>
        <v>295.58</v>
      </c>
      <c r="H10" s="13">
        <f t="shared" si="2"/>
        <v>145.34</v>
      </c>
      <c r="I10" s="18" t="e">
        <f>B10*([16]!GBPJPY-[17]!GBPJPY)</f>
        <v>#REF!</v>
      </c>
      <c r="J10" s="11">
        <v>20</v>
      </c>
      <c r="K10" s="14" t="e">
        <f t="shared" si="3"/>
        <v>#REF!</v>
      </c>
      <c r="L10" s="12">
        <v>117</v>
      </c>
      <c r="M10" s="12">
        <v>185</v>
      </c>
      <c r="N10" s="11">
        <f t="shared" si="4"/>
        <v>6800</v>
      </c>
      <c r="O10" s="15" t="e">
        <f>2*MIN(([16]!GBPJPY-L10)/(M10-L10),1-([16]!GBPJPY-L10)/(M10-L10))</f>
        <v>#REF!</v>
      </c>
    </row>
    <row r="11" spans="1:16" x14ac:dyDescent="0.25">
      <c r="A11" t="s">
        <v>22</v>
      </c>
      <c r="B11">
        <v>10000</v>
      </c>
      <c r="C11" s="4">
        <v>8.3000000000000001E-3</v>
      </c>
      <c r="D11" s="4">
        <v>2.93E-2</v>
      </c>
      <c r="E11" s="4">
        <v>1.41E-2</v>
      </c>
      <c r="F11" s="6">
        <f t="shared" si="0"/>
        <v>83</v>
      </c>
      <c r="G11" s="6">
        <f t="shared" si="1"/>
        <v>293</v>
      </c>
      <c r="H11" s="6">
        <f t="shared" si="2"/>
        <v>141</v>
      </c>
      <c r="I11" s="16" t="e">
        <f>B11*([16]!EURNZD-[17]!EURNZD)</f>
        <v>#REF!</v>
      </c>
      <c r="J11">
        <v>20</v>
      </c>
      <c r="K11" s="5" t="e">
        <f t="shared" si="3"/>
        <v>#REF!</v>
      </c>
      <c r="L11" s="4">
        <v>1.49</v>
      </c>
      <c r="M11" s="4">
        <v>1.96</v>
      </c>
      <c r="N11">
        <f t="shared" si="4"/>
        <v>4700</v>
      </c>
      <c r="O11" s="9" t="e">
        <f>2*MIN(([16]!EURNZD-L11)/(M11-L11),1-([16]!EURNZD-L11)/(M11-L11))</f>
        <v>#REF!</v>
      </c>
    </row>
    <row r="12" spans="1:16" x14ac:dyDescent="0.25">
      <c r="A12" t="s">
        <v>28</v>
      </c>
      <c r="B12">
        <v>10000</v>
      </c>
      <c r="C12" s="4">
        <v>6.6E-3</v>
      </c>
      <c r="D12" s="4">
        <v>1.8599999999999998E-2</v>
      </c>
      <c r="E12" s="4">
        <v>1.2800000000000001E-2</v>
      </c>
      <c r="F12" s="6">
        <f t="shared" si="0"/>
        <v>66</v>
      </c>
      <c r="G12" s="6">
        <f t="shared" si="1"/>
        <v>185.99999999999997</v>
      </c>
      <c r="H12" s="6">
        <f t="shared" si="2"/>
        <v>128</v>
      </c>
      <c r="I12" s="16" t="e">
        <f>B12*([16]!GBPSGD-[17]!GBPSGD)</f>
        <v>#REF!</v>
      </c>
      <c r="J12">
        <v>20</v>
      </c>
      <c r="K12" s="5" t="e">
        <f t="shared" si="3"/>
        <v>#REF!</v>
      </c>
      <c r="L12" s="4">
        <v>1.85</v>
      </c>
      <c r="M12" s="4">
        <v>2.44</v>
      </c>
      <c r="N12">
        <f t="shared" si="4"/>
        <v>5899.9999999999982</v>
      </c>
      <c r="O12" s="9" t="e">
        <f>2*MIN(([16]!GBPSGD-L12)/(M12-L12),1-([16]!GBPSGD-L12)/(M12-L12))</f>
        <v>#REF!</v>
      </c>
    </row>
    <row r="13" spans="1:16" x14ac:dyDescent="0.25">
      <c r="A13" t="s">
        <v>33</v>
      </c>
      <c r="B13">
        <v>10000</v>
      </c>
      <c r="C13" s="4">
        <v>6.4000000000000003E-3</v>
      </c>
      <c r="D13" s="4">
        <v>1.7000000000000001E-2</v>
      </c>
      <c r="E13" s="4">
        <v>1.23E-2</v>
      </c>
      <c r="F13" s="6">
        <f t="shared" si="0"/>
        <v>64</v>
      </c>
      <c r="G13" s="6">
        <f t="shared" si="1"/>
        <v>170</v>
      </c>
      <c r="H13" s="6">
        <f t="shared" si="2"/>
        <v>123</v>
      </c>
      <c r="I13" s="16" t="e">
        <f>B13*([16]!EURCAD-[17]!EURCAD)</f>
        <v>#REF!</v>
      </c>
      <c r="J13">
        <v>20</v>
      </c>
      <c r="K13" s="5" t="e">
        <f t="shared" si="3"/>
        <v>#REF!</v>
      </c>
      <c r="L13" s="4">
        <v>1.21</v>
      </c>
      <c r="M13" s="4">
        <v>1.6</v>
      </c>
      <c r="N13">
        <f t="shared" si="4"/>
        <v>3900.0000000000014</v>
      </c>
      <c r="O13" s="9" t="e">
        <f>2*MIN(([16]!EURCAD-L13)/(M13-L13),1-([16]!EURCAD-L13)/(M13-L13))</f>
        <v>#REF!</v>
      </c>
    </row>
    <row r="14" spans="1:16" x14ac:dyDescent="0.25">
      <c r="A14" t="s">
        <v>37</v>
      </c>
      <c r="B14">
        <v>100</v>
      </c>
      <c r="C14" s="4">
        <v>0.62129999999999996</v>
      </c>
      <c r="D14" s="4">
        <v>2.7057000000000002</v>
      </c>
      <c r="E14" s="4">
        <v>1.1633</v>
      </c>
      <c r="F14" s="6">
        <f t="shared" si="0"/>
        <v>62.129999999999995</v>
      </c>
      <c r="G14" s="6">
        <f t="shared" si="1"/>
        <v>270.57000000000005</v>
      </c>
      <c r="H14" s="6">
        <f t="shared" si="2"/>
        <v>116.33</v>
      </c>
      <c r="I14" s="16" t="e">
        <f>B14*([16]!EURJPY-[17]!EURJPY)</f>
        <v>#REF!</v>
      </c>
      <c r="J14">
        <v>20</v>
      </c>
      <c r="K14" s="5" t="e">
        <f t="shared" si="3"/>
        <v>#REF!</v>
      </c>
      <c r="L14" s="4">
        <v>94</v>
      </c>
      <c r="M14" s="4">
        <v>140</v>
      </c>
      <c r="N14">
        <f t="shared" si="4"/>
        <v>4600</v>
      </c>
      <c r="O14" s="9" t="e">
        <f>2*MIN(([16]!EURJPY-L14)/(M14-L14),1-([16]!EURJPY-L14)/(M14-L14))</f>
        <v>#REF!</v>
      </c>
    </row>
    <row r="15" spans="1:16" s="11" customFormat="1" x14ac:dyDescent="0.25">
      <c r="A15" s="11" t="s">
        <v>29</v>
      </c>
      <c r="B15" s="11">
        <v>10000</v>
      </c>
      <c r="C15" s="12">
        <v>5.5999999999999999E-3</v>
      </c>
      <c r="D15" s="12">
        <v>1.5100000000000001E-2</v>
      </c>
      <c r="E15" s="12">
        <v>1.0500000000000001E-2</v>
      </c>
      <c r="F15" s="13">
        <f t="shared" si="0"/>
        <v>56</v>
      </c>
      <c r="G15" s="13">
        <f t="shared" si="1"/>
        <v>151</v>
      </c>
      <c r="H15" s="13">
        <f t="shared" si="2"/>
        <v>105</v>
      </c>
      <c r="I15" s="18" t="e">
        <f>B15*([16]!GBPCHF-[17]!GBPCHF)</f>
        <v>#REF!</v>
      </c>
      <c r="J15" s="11">
        <v>20</v>
      </c>
      <c r="K15" s="14" t="e">
        <f t="shared" si="3"/>
        <v>#REF!</v>
      </c>
      <c r="L15" s="12">
        <v>1.25</v>
      </c>
      <c r="M15" s="12">
        <v>1.7</v>
      </c>
      <c r="N15" s="11">
        <f t="shared" si="4"/>
        <v>4500</v>
      </c>
      <c r="O15" s="15" t="e">
        <f>2*MIN(([16]!GBPCHF-L15)/(M15-L15),1-([16]!GBPCHF-L15)/(M15-L15))</f>
        <v>#REF!</v>
      </c>
    </row>
    <row r="16" spans="1:16" x14ac:dyDescent="0.25">
      <c r="A16" t="s">
        <v>25</v>
      </c>
      <c r="B16">
        <v>10000</v>
      </c>
      <c r="C16" s="4">
        <v>5.7999999999999996E-3</v>
      </c>
      <c r="D16" s="4">
        <v>1.6400000000000001E-2</v>
      </c>
      <c r="E16" s="4">
        <v>1.01E-2</v>
      </c>
      <c r="F16" s="6">
        <f t="shared" si="0"/>
        <v>57.999999999999993</v>
      </c>
      <c r="G16" s="6">
        <f t="shared" si="1"/>
        <v>164</v>
      </c>
      <c r="H16" s="6">
        <f t="shared" si="2"/>
        <v>101</v>
      </c>
      <c r="I16" s="16" t="e">
        <f>B16*([16]!CHFSGD-[17]!CHFSGD)</f>
        <v>#REF!</v>
      </c>
      <c r="J16">
        <v>20</v>
      </c>
      <c r="K16" s="5" t="e">
        <f t="shared" si="3"/>
        <v>#REF!</v>
      </c>
      <c r="L16" s="4">
        <v>1.2</v>
      </c>
      <c r="M16" s="4">
        <v>1.5</v>
      </c>
      <c r="N16">
        <f t="shared" si="4"/>
        <v>3000.0000000000005</v>
      </c>
      <c r="O16" s="9" t="e">
        <f>2*MIN(([16]!CHFSGD-L16)/(M16-L16),1-([16]!CHFSGD-L16)/(M16-L16))</f>
        <v>#REF!</v>
      </c>
    </row>
    <row r="17" spans="1:15" x14ac:dyDescent="0.25">
      <c r="A17" t="s">
        <v>41</v>
      </c>
      <c r="B17">
        <v>10000</v>
      </c>
      <c r="C17" s="4">
        <v>5.4999999999999997E-3</v>
      </c>
      <c r="D17" s="4">
        <v>1.5599999999999999E-2</v>
      </c>
      <c r="E17" s="4">
        <v>9.9000000000000008E-3</v>
      </c>
      <c r="F17" s="6">
        <f t="shared" si="0"/>
        <v>55</v>
      </c>
      <c r="G17" s="6">
        <f t="shared" si="1"/>
        <v>156</v>
      </c>
      <c r="H17" s="6">
        <f t="shared" si="2"/>
        <v>99.000000000000014</v>
      </c>
      <c r="I17" s="16" t="e">
        <f>B17*([16]!GBPUSD-[17]!GBPUSD)</f>
        <v>#REF!</v>
      </c>
      <c r="J17">
        <v>30</v>
      </c>
      <c r="K17" s="5" t="e">
        <f t="shared" si="3"/>
        <v>#REF!</v>
      </c>
      <c r="L17" s="4">
        <v>1.4</v>
      </c>
      <c r="M17" s="4">
        <v>1.7</v>
      </c>
      <c r="N17">
        <f t="shared" si="4"/>
        <v>3000.0000000000005</v>
      </c>
      <c r="O17" s="9" t="e">
        <f>2*MIN(([16]!GBPUSD-L17)/(M17-L17),1-([16]!GBPUSD-L17)/(M17-L17))</f>
        <v>#REF!</v>
      </c>
    </row>
    <row r="18" spans="1:15" x14ac:dyDescent="0.25">
      <c r="A18" s="10" t="s">
        <v>13</v>
      </c>
      <c r="B18" s="11">
        <v>100</v>
      </c>
      <c r="C18" s="12">
        <v>0.52939999999999998</v>
      </c>
      <c r="D18" s="12">
        <v>2.2349000000000001</v>
      </c>
      <c r="E18" s="12">
        <v>0.95340000000000003</v>
      </c>
      <c r="F18" s="13">
        <f t="shared" si="0"/>
        <v>52.94</v>
      </c>
      <c r="G18" s="13">
        <f t="shared" si="1"/>
        <v>223.49</v>
      </c>
      <c r="H18" s="13">
        <f t="shared" si="2"/>
        <v>95.34</v>
      </c>
      <c r="I18" s="18" t="e">
        <f>B18*([16]!AUDJPY-[17]!AUDJPY)</f>
        <v>#REF!</v>
      </c>
      <c r="J18" s="11">
        <v>20</v>
      </c>
      <c r="K18" s="14" t="e">
        <f t="shared" si="3"/>
        <v>#REF!</v>
      </c>
      <c r="L18" s="12">
        <v>71</v>
      </c>
      <c r="M18" s="12">
        <v>105</v>
      </c>
      <c r="N18" s="11">
        <f t="shared" si="4"/>
        <v>3400</v>
      </c>
      <c r="O18" s="15" t="e">
        <f>2*MIN(([16]!AUDJPY-L18)/(M18-L18),1-([16]!AUDJPY-L18)/(M18-L18))</f>
        <v>#REF!</v>
      </c>
    </row>
    <row r="19" spans="1:15" x14ac:dyDescent="0.25">
      <c r="A19" t="s">
        <v>31</v>
      </c>
      <c r="B19">
        <v>100</v>
      </c>
      <c r="C19" s="4">
        <v>0.50900000000000001</v>
      </c>
      <c r="D19" s="4">
        <v>2.1581000000000001</v>
      </c>
      <c r="E19" s="4">
        <v>0.9133</v>
      </c>
      <c r="F19" s="6">
        <f t="shared" si="0"/>
        <v>50.9</v>
      </c>
      <c r="G19" s="6">
        <f t="shared" si="1"/>
        <v>215.81</v>
      </c>
      <c r="H19" s="6">
        <f t="shared" si="2"/>
        <v>91.33</v>
      </c>
      <c r="I19" s="16" t="e">
        <f>B19*([16]!CHFJPY-[17]!CHFJPY)</f>
        <v>#REF!</v>
      </c>
      <c r="J19">
        <v>20</v>
      </c>
      <c r="K19" s="5" t="e">
        <f t="shared" si="3"/>
        <v>#REF!</v>
      </c>
      <c r="L19" s="4">
        <v>75</v>
      </c>
      <c r="M19" s="4">
        <v>120</v>
      </c>
      <c r="N19">
        <f t="shared" si="4"/>
        <v>4500</v>
      </c>
      <c r="O19" s="9" t="e">
        <f>2*MIN(([16]!CHFJPY-L19)/(M19-L19),1-([16]!CHFJPY-L19)/(M19-L19))</f>
        <v>#REF!</v>
      </c>
    </row>
    <row r="20" spans="1:15" s="11" customFormat="1" x14ac:dyDescent="0.25">
      <c r="A20" s="11" t="s">
        <v>30</v>
      </c>
      <c r="B20" s="11">
        <v>10000</v>
      </c>
      <c r="C20" s="12">
        <v>3.9E-2</v>
      </c>
      <c r="D20" s="12">
        <v>1.2999999999999999E-2</v>
      </c>
      <c r="E20" s="12">
        <v>8.9999999999999993E-3</v>
      </c>
      <c r="F20" s="13">
        <f t="shared" si="0"/>
        <v>390</v>
      </c>
      <c r="G20" s="13">
        <f t="shared" si="1"/>
        <v>130</v>
      </c>
      <c r="H20" s="13">
        <f t="shared" si="2"/>
        <v>90</v>
      </c>
      <c r="I20" s="18" t="e">
        <f>B20*([16]!AUDCAD-[17]!AUDCAD)</f>
        <v>#REF!</v>
      </c>
      <c r="J20" s="11">
        <v>20</v>
      </c>
      <c r="K20" s="14" t="e">
        <f t="shared" si="3"/>
        <v>#REF!</v>
      </c>
      <c r="L20" s="12">
        <v>0.86</v>
      </c>
      <c r="M20" s="12">
        <v>1.08</v>
      </c>
      <c r="N20" s="11">
        <f t="shared" si="4"/>
        <v>2200.0000000000009</v>
      </c>
      <c r="O20" s="15" t="e">
        <f>2*MIN(([16]!AUDCAD-L20)/(M20-L20),1-([16]!AUDCAD-L20)/(M20-L20))</f>
        <v>#REF!</v>
      </c>
    </row>
    <row r="21" spans="1:15" x14ac:dyDescent="0.25">
      <c r="A21" s="10" t="s">
        <v>15</v>
      </c>
      <c r="B21" s="11">
        <v>100</v>
      </c>
      <c r="C21" s="12">
        <v>0.49070000000000003</v>
      </c>
      <c r="D21" s="12">
        <v>2.0063</v>
      </c>
      <c r="E21" s="12">
        <v>0.8468</v>
      </c>
      <c r="F21" s="13">
        <f t="shared" si="0"/>
        <v>49.07</v>
      </c>
      <c r="G21" s="13">
        <f t="shared" si="1"/>
        <v>200.63</v>
      </c>
      <c r="H21" s="13">
        <f t="shared" si="2"/>
        <v>84.68</v>
      </c>
      <c r="I21" s="18" t="e">
        <f>B21*([16]!CADJPY-[17]!CADJPY)</f>
        <v>#REF!</v>
      </c>
      <c r="J21" s="11">
        <v>20</v>
      </c>
      <c r="K21" s="14" t="e">
        <f t="shared" si="3"/>
        <v>#REF!</v>
      </c>
      <c r="L21" s="12">
        <v>72</v>
      </c>
      <c r="M21" s="12">
        <v>101</v>
      </c>
      <c r="N21" s="11">
        <f t="shared" si="4"/>
        <v>2900</v>
      </c>
      <c r="O21" s="15" t="e">
        <f>2*MIN(([16]!CADJPY-L21)/(M21-L21),1-([16]!CADJPY-L21)/(M21-L21))</f>
        <v>#REF!</v>
      </c>
    </row>
    <row r="22" spans="1:15" x14ac:dyDescent="0.25">
      <c r="A22" t="s">
        <v>34</v>
      </c>
      <c r="B22">
        <v>10000</v>
      </c>
      <c r="C22" s="4">
        <v>4.1000000000000003E-3</v>
      </c>
      <c r="D22" s="4">
        <v>1.5800000000000002E-2</v>
      </c>
      <c r="E22" s="4">
        <v>8.3999999999999995E-3</v>
      </c>
      <c r="F22" s="6">
        <f t="shared" si="0"/>
        <v>41</v>
      </c>
      <c r="G22" s="6">
        <f t="shared" si="1"/>
        <v>158.00000000000003</v>
      </c>
      <c r="H22" s="6">
        <f t="shared" si="2"/>
        <v>84</v>
      </c>
      <c r="I22" s="16" t="e">
        <f>B22*([16]!AUDCHF-[17]!AUDCHF)</f>
        <v>#REF!</v>
      </c>
      <c r="J22">
        <v>20</v>
      </c>
      <c r="K22" s="5" t="e">
        <f t="shared" si="3"/>
        <v>#REF!</v>
      </c>
      <c r="L22" s="4">
        <v>0.72</v>
      </c>
      <c r="M22" s="4">
        <v>1.03</v>
      </c>
      <c r="N22">
        <f t="shared" si="4"/>
        <v>3100.0000000000005</v>
      </c>
      <c r="O22" s="9" t="e">
        <f>2*MIN(([16]!AUDCHF-L22)/(M22-L22),1-([16]!AUDCHF-L22)/(M22-L22))</f>
        <v>#REF!</v>
      </c>
    </row>
    <row r="23" spans="1:15" x14ac:dyDescent="0.25">
      <c r="A23" t="s">
        <v>21</v>
      </c>
      <c r="B23">
        <v>10000</v>
      </c>
      <c r="C23" s="4">
        <v>4.0000000000000001E-3</v>
      </c>
      <c r="D23" s="4">
        <v>1.23E-2</v>
      </c>
      <c r="E23" s="4">
        <v>8.0000000000000002E-3</v>
      </c>
      <c r="F23" s="6">
        <f t="shared" si="0"/>
        <v>40</v>
      </c>
      <c r="G23" s="6">
        <f t="shared" si="1"/>
        <v>123</v>
      </c>
      <c r="H23" s="6">
        <f t="shared" si="2"/>
        <v>80</v>
      </c>
      <c r="I23" s="16" t="e">
        <f>B23*([16]!NZDCAD-[17]!NZDCAD)</f>
        <v>#REF!</v>
      </c>
      <c r="J23">
        <v>20</v>
      </c>
      <c r="K23" s="5" t="e">
        <f t="shared" si="3"/>
        <v>#REF!</v>
      </c>
      <c r="L23" s="4">
        <v>0.62</v>
      </c>
      <c r="M23" s="4">
        <v>0.94</v>
      </c>
      <c r="N23">
        <f t="shared" si="4"/>
        <v>3199.9999999999995</v>
      </c>
      <c r="O23" s="9" t="e">
        <f>2*MIN(([16]!NZDCAD-L23)/(M23-L23),1-([16]!NZDCAD-L23)/(M23-L23))</f>
        <v>#REF!</v>
      </c>
    </row>
    <row r="24" spans="1:15" x14ac:dyDescent="0.25">
      <c r="A24" t="s">
        <v>24</v>
      </c>
      <c r="B24">
        <v>100</v>
      </c>
      <c r="C24" s="4">
        <v>0.438</v>
      </c>
      <c r="D24" s="4">
        <v>1.9520999999999999</v>
      </c>
      <c r="E24" s="4">
        <v>0.79320000000000002</v>
      </c>
      <c r="F24" s="6">
        <f t="shared" si="0"/>
        <v>43.8</v>
      </c>
      <c r="G24" s="6">
        <f t="shared" si="1"/>
        <v>195.21</v>
      </c>
      <c r="H24" s="6">
        <f t="shared" si="2"/>
        <v>79.320000000000007</v>
      </c>
      <c r="I24" s="16" t="e">
        <f>B24*([16]!NZDJPY-[17]!NZDJPY)</f>
        <v>#REF!</v>
      </c>
      <c r="J24">
        <v>20</v>
      </c>
      <c r="K24" s="5" t="e">
        <f t="shared" si="3"/>
        <v>#REF!</v>
      </c>
      <c r="L24" s="4">
        <v>44</v>
      </c>
      <c r="M24" s="4">
        <v>88</v>
      </c>
      <c r="N24">
        <f t="shared" si="4"/>
        <v>4400</v>
      </c>
      <c r="O24" s="9" t="e">
        <f>2*MIN(([16]!NZDJPY-L24)/(M24-L24),1-([16]!NZDJPY-L24)/(M24-L24))</f>
        <v>#REF!</v>
      </c>
    </row>
    <row r="25" spans="1:15" s="11" customFormat="1" x14ac:dyDescent="0.25">
      <c r="A25" s="10" t="s">
        <v>42</v>
      </c>
      <c r="B25" s="11">
        <v>10000</v>
      </c>
      <c r="C25" s="12">
        <v>4.3E-3</v>
      </c>
      <c r="D25" s="12">
        <v>1.7299999999999999E-2</v>
      </c>
      <c r="E25" s="12">
        <v>7.4999999999999997E-3</v>
      </c>
      <c r="F25" s="13">
        <f t="shared" si="0"/>
        <v>43</v>
      </c>
      <c r="G25" s="13">
        <f t="shared" si="1"/>
        <v>173</v>
      </c>
      <c r="H25" s="13">
        <f t="shared" si="2"/>
        <v>75</v>
      </c>
      <c r="I25" s="18" t="e">
        <f>B25*([16]!AUDUSD-[17]!AUDUSD)</f>
        <v>#REF!</v>
      </c>
      <c r="J25" s="11">
        <v>20</v>
      </c>
      <c r="K25" s="14" t="e">
        <f t="shared" si="3"/>
        <v>#REF!</v>
      </c>
      <c r="L25" s="12">
        <v>0.81</v>
      </c>
      <c r="M25" s="12">
        <v>1.0900000000000001</v>
      </c>
      <c r="N25" s="11">
        <f t="shared" si="4"/>
        <v>2800.0000000000005</v>
      </c>
      <c r="O25" s="15" t="e">
        <f>2*MIN(([16]!AUDUSD-L25)/(M25-L25),1-([16]!AUDUSD-L25)/(M25-L25))</f>
        <v>#REF!</v>
      </c>
    </row>
    <row r="26" spans="1:15" s="11" customFormat="1" x14ac:dyDescent="0.25">
      <c r="A26" t="s">
        <v>27</v>
      </c>
      <c r="B26">
        <v>10000</v>
      </c>
      <c r="C26" s="4">
        <v>4.4999999999999997E-3</v>
      </c>
      <c r="D26" s="4">
        <v>1.24E-2</v>
      </c>
      <c r="E26" s="4">
        <v>7.3000000000000001E-3</v>
      </c>
      <c r="F26" s="6">
        <f t="shared" si="0"/>
        <v>45</v>
      </c>
      <c r="G26" s="6">
        <f t="shared" si="1"/>
        <v>124</v>
      </c>
      <c r="H26" s="6">
        <f t="shared" si="2"/>
        <v>73</v>
      </c>
      <c r="I26" s="16" t="e">
        <f>B26*([16]!CADCHF-[17]!CADCHF)</f>
        <v>#REF!</v>
      </c>
      <c r="J26">
        <v>20</v>
      </c>
      <c r="K26" s="5" t="e">
        <f t="shared" si="3"/>
        <v>#REF!</v>
      </c>
      <c r="L26" s="4">
        <v>0.75</v>
      </c>
      <c r="M26" s="4">
        <v>1.1499999999999999</v>
      </c>
      <c r="N26">
        <f t="shared" si="4"/>
        <v>3999.9999999999991</v>
      </c>
      <c r="O26" s="9" t="e">
        <f>2*MIN(([16]!CADCHF-L26)/(M26-L26),1-([16]!CADCHF-L26)/(M26-L26))</f>
        <v>#REF!</v>
      </c>
    </row>
    <row r="27" spans="1:15" s="11" customFormat="1" x14ac:dyDescent="0.25">
      <c r="A27" s="10" t="s">
        <v>0</v>
      </c>
      <c r="B27" s="11">
        <v>10000</v>
      </c>
      <c r="C27" s="12">
        <v>6.0000000000000001E-3</v>
      </c>
      <c r="D27" s="12">
        <v>1.38E-2</v>
      </c>
      <c r="E27" s="12">
        <v>7.1999999999999998E-3</v>
      </c>
      <c r="F27" s="13">
        <f t="shared" si="0"/>
        <v>60</v>
      </c>
      <c r="G27" s="13">
        <f t="shared" si="1"/>
        <v>138</v>
      </c>
      <c r="H27" s="13">
        <f t="shared" si="2"/>
        <v>72</v>
      </c>
      <c r="I27" s="18" t="e">
        <f>B27*([16]!EURUSD-[17]!EURUSD)</f>
        <v>#REF!</v>
      </c>
      <c r="J27" s="11">
        <v>30</v>
      </c>
      <c r="K27" s="14" t="e">
        <f t="shared" si="3"/>
        <v>#REF!</v>
      </c>
      <c r="L27" s="12">
        <v>1.2</v>
      </c>
      <c r="M27" s="12">
        <v>1.5</v>
      </c>
      <c r="N27" s="11">
        <f t="shared" si="4"/>
        <v>3000.0000000000005</v>
      </c>
      <c r="O27" s="15" t="e">
        <f>2*MIN(([16]!EURUSD-L27)/(M27-L27),1-([16]!EURUSD-L27)/(M27-L27))</f>
        <v>#REF!</v>
      </c>
    </row>
    <row r="28" spans="1:15" s="11" customFormat="1" x14ac:dyDescent="0.25">
      <c r="A28" s="10" t="s">
        <v>1</v>
      </c>
      <c r="B28" s="11">
        <v>10000</v>
      </c>
      <c r="C28" s="12">
        <v>3.2000000000000002E-3</v>
      </c>
      <c r="D28" s="12">
        <v>9.5999999999999992E-3</v>
      </c>
      <c r="E28" s="12">
        <v>7.1999999999999998E-3</v>
      </c>
      <c r="F28" s="13">
        <f t="shared" si="0"/>
        <v>32</v>
      </c>
      <c r="G28" s="13">
        <f t="shared" si="1"/>
        <v>95.999999999999986</v>
      </c>
      <c r="H28" s="13">
        <f t="shared" si="2"/>
        <v>72</v>
      </c>
      <c r="I28" s="18" t="e">
        <f>B28*([16]!USDCAD-[17]!USDCAD)</f>
        <v>#REF!</v>
      </c>
      <c r="J28" s="11">
        <v>20</v>
      </c>
      <c r="K28" s="14" t="e">
        <f t="shared" si="3"/>
        <v>#REF!</v>
      </c>
      <c r="L28" s="12">
        <v>0.94</v>
      </c>
      <c r="M28" s="12">
        <v>1.1100000000000001</v>
      </c>
      <c r="N28" s="11">
        <f t="shared" si="4"/>
        <v>1700.0000000000016</v>
      </c>
      <c r="O28" s="15" t="e">
        <f>2*MIN(([16]!USDCAD-L28)/(M28-L28),1-([16]!USDCAD-L28)/(M28-L28))</f>
        <v>#REF!</v>
      </c>
    </row>
    <row r="29" spans="1:15" s="11" customFormat="1" x14ac:dyDescent="0.25">
      <c r="A29" t="s">
        <v>17</v>
      </c>
      <c r="B29">
        <v>10000</v>
      </c>
      <c r="C29" s="4">
        <v>5.4000000000000003E-3</v>
      </c>
      <c r="D29" s="4">
        <v>2.6800000000000001E-2</v>
      </c>
      <c r="E29" s="4">
        <v>7.1999999999999998E-3</v>
      </c>
      <c r="F29" s="6">
        <f t="shared" si="0"/>
        <v>54</v>
      </c>
      <c r="G29" s="6">
        <f t="shared" si="1"/>
        <v>268</v>
      </c>
      <c r="H29" s="6">
        <f t="shared" si="2"/>
        <v>72</v>
      </c>
      <c r="I29" s="16" t="e">
        <f>B29*([16]!NZDSGD-[17]!NZDSGD)</f>
        <v>#REF!</v>
      </c>
      <c r="J29">
        <v>20</v>
      </c>
      <c r="K29" s="5" t="e">
        <f t="shared" si="3"/>
        <v>#REF!</v>
      </c>
      <c r="L29" s="4">
        <v>0.91</v>
      </c>
      <c r="M29" s="4">
        <v>1.07</v>
      </c>
      <c r="N29">
        <f t="shared" si="4"/>
        <v>1600.0000000000002</v>
      </c>
      <c r="O29" s="9" t="e">
        <f>2*MIN(([16]!NZDSGD-L29)/(M29-L29),1-([16]!NZDSGD-L29)/(M29-L29))</f>
        <v>#REF!</v>
      </c>
    </row>
    <row r="30" spans="1:15" s="11" customFormat="1" x14ac:dyDescent="0.25">
      <c r="A30" t="s">
        <v>20</v>
      </c>
      <c r="B30">
        <v>10000</v>
      </c>
      <c r="C30" s="4">
        <v>6.6E-3</v>
      </c>
      <c r="D30" s="4">
        <v>1.47E-2</v>
      </c>
      <c r="E30" s="4">
        <v>7.0000000000000001E-3</v>
      </c>
      <c r="F30" s="6">
        <f t="shared" si="0"/>
        <v>66</v>
      </c>
      <c r="G30" s="6">
        <f t="shared" si="1"/>
        <v>147</v>
      </c>
      <c r="H30" s="6">
        <f t="shared" si="2"/>
        <v>70</v>
      </c>
      <c r="I30" s="16" t="e">
        <f>B30*([16]!NZDCHF-[17]!NZDCHF)</f>
        <v>#REF!</v>
      </c>
      <c r="J30">
        <v>20</v>
      </c>
      <c r="K30" s="5" t="e">
        <f t="shared" si="3"/>
        <v>#REF!</v>
      </c>
      <c r="L30" s="4">
        <v>0.56999999999999995</v>
      </c>
      <c r="M30" s="4">
        <v>0.81</v>
      </c>
      <c r="N30">
        <f t="shared" si="4"/>
        <v>2400.0000000000009</v>
      </c>
      <c r="O30" s="9" t="e">
        <f>2*MIN(([16]!NZDCHF-L30)/(M30-L30),1-([16]!NZDCHF-L30)/(M30-L30))</f>
        <v>#REF!</v>
      </c>
    </row>
    <row r="31" spans="1:15" s="11" customFormat="1" x14ac:dyDescent="0.25">
      <c r="A31" s="10" t="s">
        <v>3</v>
      </c>
      <c r="B31" s="11">
        <v>100</v>
      </c>
      <c r="C31" s="12">
        <v>0.2581</v>
      </c>
      <c r="D31" s="12">
        <v>2.1173999999999999</v>
      </c>
      <c r="E31" s="12">
        <v>0.67179999999999995</v>
      </c>
      <c r="F31" s="13">
        <f t="shared" si="0"/>
        <v>25.81</v>
      </c>
      <c r="G31" s="13">
        <f t="shared" si="1"/>
        <v>211.74</v>
      </c>
      <c r="H31" s="13">
        <f t="shared" si="2"/>
        <v>67.179999999999993</v>
      </c>
      <c r="I31" s="18" t="e">
        <f>B31*([16]!USDJPY-[17]!USDJPY)</f>
        <v>#REF!</v>
      </c>
      <c r="J31" s="11">
        <v>20</v>
      </c>
      <c r="K31" s="14" t="e">
        <f t="shared" si="3"/>
        <v>#REF!</v>
      </c>
      <c r="L31" s="12">
        <v>76</v>
      </c>
      <c r="M31" s="12">
        <v>110</v>
      </c>
      <c r="N31" s="11">
        <f t="shared" si="4"/>
        <v>3400</v>
      </c>
      <c r="O31" s="15" t="e">
        <f>2*MIN(([16]!USDJPY-L31)/(M31-L31),1-([16]!USDJPY-L31)/(M31-L31))</f>
        <v>#REF!</v>
      </c>
    </row>
    <row r="32" spans="1:15" s="11" customFormat="1" x14ac:dyDescent="0.25">
      <c r="A32" t="s">
        <v>19</v>
      </c>
      <c r="B32">
        <v>10000</v>
      </c>
      <c r="C32" s="4">
        <v>4.5999999999999999E-3</v>
      </c>
      <c r="D32" s="4">
        <v>1.21E-2</v>
      </c>
      <c r="E32" s="4">
        <v>6.7000000000000002E-3</v>
      </c>
      <c r="F32" s="6">
        <f t="shared" si="0"/>
        <v>46</v>
      </c>
      <c r="G32" s="6">
        <f t="shared" si="1"/>
        <v>121</v>
      </c>
      <c r="H32" s="6">
        <f t="shared" si="2"/>
        <v>67</v>
      </c>
      <c r="I32" s="16" t="e">
        <f>B32*([16]!AUDNZD-[17]!AUDNZD)</f>
        <v>#REF!</v>
      </c>
      <c r="J32">
        <v>20</v>
      </c>
      <c r="K32" s="5" t="e">
        <f t="shared" si="3"/>
        <v>#REF!</v>
      </c>
      <c r="L32" s="4">
        <v>1.05</v>
      </c>
      <c r="M32" s="4">
        <v>1.38</v>
      </c>
      <c r="N32">
        <f t="shared" si="4"/>
        <v>3299.9999999999986</v>
      </c>
      <c r="O32" s="9" t="e">
        <f>2*MIN(([16]!AUDNZD-L32)/(M32-L32),1-([16]!AUDNZD-L32)/(M32-L32))</f>
        <v>#REF!</v>
      </c>
    </row>
    <row r="33" spans="1:15" s="11" customFormat="1" x14ac:dyDescent="0.25">
      <c r="A33" s="10" t="s">
        <v>2</v>
      </c>
      <c r="B33" s="11">
        <v>10000</v>
      </c>
      <c r="C33" s="12">
        <v>4.5999999999999999E-3</v>
      </c>
      <c r="D33" s="12">
        <v>1.5599999999999999E-2</v>
      </c>
      <c r="E33" s="12">
        <v>6.6E-3</v>
      </c>
      <c r="F33" s="13">
        <f t="shared" si="0"/>
        <v>46</v>
      </c>
      <c r="G33" s="13">
        <f t="shared" si="1"/>
        <v>156</v>
      </c>
      <c r="H33" s="13">
        <f t="shared" si="2"/>
        <v>66</v>
      </c>
      <c r="I33" s="18" t="e">
        <f>B33*([16]!NZDUSD-[17]!NZDUSD)</f>
        <v>#REF!</v>
      </c>
      <c r="J33" s="11">
        <v>20</v>
      </c>
      <c r="K33" s="14" t="e">
        <f t="shared" si="3"/>
        <v>#REF!</v>
      </c>
      <c r="L33" s="12">
        <v>0.65</v>
      </c>
      <c r="M33" s="12">
        <v>0.88</v>
      </c>
      <c r="N33" s="11">
        <f t="shared" si="4"/>
        <v>2300</v>
      </c>
      <c r="O33" s="15" t="e">
        <f>2*MIN(([16]!NZDUSD-L33)/(M33-L33),1-([16]!NZDUSD-L33)/(M33-L33))</f>
        <v>#REF!</v>
      </c>
    </row>
    <row r="34" spans="1:15" s="11" customFormat="1" x14ac:dyDescent="0.25">
      <c r="A34" t="s">
        <v>16</v>
      </c>
      <c r="B34">
        <v>2500</v>
      </c>
      <c r="C34" s="4">
        <v>1.04E-2</v>
      </c>
      <c r="D34" s="4">
        <v>5.3199999999999997E-2</v>
      </c>
      <c r="E34" s="4">
        <v>2.3300000000000001E-2</v>
      </c>
      <c r="F34" s="6">
        <f t="shared" si="0"/>
        <v>26</v>
      </c>
      <c r="G34" s="6">
        <f t="shared" si="1"/>
        <v>133</v>
      </c>
      <c r="H34" s="6">
        <f t="shared" si="2"/>
        <v>58.25</v>
      </c>
      <c r="I34" s="16" t="e">
        <f>B34*([16]!EURPLN-[17]!EURPLN)</f>
        <v>#REF!</v>
      </c>
      <c r="J34">
        <v>100</v>
      </c>
      <c r="K34" s="5" t="e">
        <f t="shared" si="3"/>
        <v>#REF!</v>
      </c>
      <c r="L34" s="4">
        <v>3.8</v>
      </c>
      <c r="M34" s="4">
        <v>4.5999999999999996</v>
      </c>
      <c r="N34">
        <f t="shared" si="4"/>
        <v>1999.9999999999995</v>
      </c>
      <c r="O34" s="9" t="e">
        <f>2*MIN(([16]!EURPLN-L34)/(M34-L34),1-([16]!EURPLN-L34)/(M34-L34))</f>
        <v>#REF!</v>
      </c>
    </row>
    <row r="35" spans="1:15" s="11" customFormat="1" x14ac:dyDescent="0.25">
      <c r="A35" s="10" t="s">
        <v>7</v>
      </c>
      <c r="B35" s="11">
        <v>10000</v>
      </c>
      <c r="C35" s="12">
        <v>4.5999999999999999E-3</v>
      </c>
      <c r="D35" s="12">
        <v>1.4200000000000001E-2</v>
      </c>
      <c r="E35" s="12">
        <v>5.5999999999999999E-3</v>
      </c>
      <c r="F35" s="13">
        <f t="shared" si="0"/>
        <v>46</v>
      </c>
      <c r="G35" s="13">
        <f t="shared" si="1"/>
        <v>142</v>
      </c>
      <c r="H35" s="13">
        <f t="shared" si="2"/>
        <v>56</v>
      </c>
      <c r="I35" s="18" t="e">
        <f>B35*([16]!USDCHF-[17]!USDCHF)</f>
        <v>#REF!</v>
      </c>
      <c r="J35" s="11">
        <v>20</v>
      </c>
      <c r="K35" s="14" t="e">
        <f t="shared" si="3"/>
        <v>#REF!</v>
      </c>
      <c r="L35" s="12">
        <v>0.75</v>
      </c>
      <c r="M35" s="12">
        <v>1.0900000000000001</v>
      </c>
      <c r="N35" s="11">
        <f t="shared" si="4"/>
        <v>3400.0000000000009</v>
      </c>
      <c r="O35" s="15" t="e">
        <f>2*MIN(([16]!USDCHF-L35)/(M35-L35),1-([16]!USDCHF-L35)/(M35-L35))</f>
        <v>#REF!</v>
      </c>
    </row>
    <row r="36" spans="1:15" s="11" customFormat="1" x14ac:dyDescent="0.25">
      <c r="A36" t="s">
        <v>32</v>
      </c>
      <c r="B36">
        <v>100</v>
      </c>
      <c r="C36" s="4">
        <v>0.38329999999999997</v>
      </c>
      <c r="D36" s="4">
        <v>1.2576000000000001</v>
      </c>
      <c r="E36" s="4">
        <v>0.53410000000000002</v>
      </c>
      <c r="F36" s="6">
        <f t="shared" si="0"/>
        <v>38.33</v>
      </c>
      <c r="G36" s="6">
        <f t="shared" si="1"/>
        <v>125.76</v>
      </c>
      <c r="H36" s="6">
        <f t="shared" si="2"/>
        <v>53.410000000000004</v>
      </c>
      <c r="I36" s="16" t="e">
        <f>B36*([16]!SILVER-[17]!SILVER)</f>
        <v>#REF!</v>
      </c>
      <c r="J36">
        <v>20</v>
      </c>
      <c r="K36" s="5" t="e">
        <f t="shared" si="3"/>
        <v>#REF!</v>
      </c>
      <c r="L36" s="4">
        <v>11</v>
      </c>
      <c r="M36" s="4">
        <v>45</v>
      </c>
      <c r="N36">
        <f t="shared" si="4"/>
        <v>3400</v>
      </c>
      <c r="O36" s="9" t="e">
        <f>2*MIN(([16]!SILVER-L36)/(M36-L36),1-([16]!SILVER-L36)/(M36-L36))</f>
        <v>#REF!</v>
      </c>
    </row>
    <row r="37" spans="1:15" s="11" customFormat="1" x14ac:dyDescent="0.25">
      <c r="A37" s="10" t="s">
        <v>12</v>
      </c>
      <c r="B37" s="11">
        <v>10000</v>
      </c>
      <c r="C37" s="12">
        <v>3.3E-3</v>
      </c>
      <c r="D37" s="12">
        <v>1.0500000000000001E-2</v>
      </c>
      <c r="E37" s="12">
        <v>5.1999999999999998E-3</v>
      </c>
      <c r="F37" s="13">
        <f t="shared" si="0"/>
        <v>33</v>
      </c>
      <c r="G37" s="13">
        <f t="shared" si="1"/>
        <v>105</v>
      </c>
      <c r="H37" s="13">
        <f t="shared" si="2"/>
        <v>52</v>
      </c>
      <c r="I37" s="18" t="e">
        <f>B37*([16]!EURGBP-[17]!EURGBP)</f>
        <v>#REF!</v>
      </c>
      <c r="J37" s="11">
        <v>20</v>
      </c>
      <c r="K37" s="14" t="e">
        <f t="shared" si="3"/>
        <v>#REF!</v>
      </c>
      <c r="L37" s="12">
        <v>0.77</v>
      </c>
      <c r="M37" s="12">
        <v>0.93</v>
      </c>
      <c r="N37" s="11">
        <f t="shared" si="4"/>
        <v>1600.0000000000002</v>
      </c>
      <c r="O37" s="15" t="e">
        <f>2*MIN(([16]!EURGBP-L37)/(M37-L37),1-([16]!EURGBP-L37)/(M37-L37))</f>
        <v>#REF!</v>
      </c>
    </row>
    <row r="38" spans="1:15" x14ac:dyDescent="0.25">
      <c r="A38" t="s">
        <v>23</v>
      </c>
      <c r="B38">
        <v>1000</v>
      </c>
      <c r="C38" s="4">
        <v>2.1899999999999999E-2</v>
      </c>
      <c r="D38" s="4">
        <v>0.1217</v>
      </c>
      <c r="E38" s="4">
        <v>5.0999999999999997E-2</v>
      </c>
      <c r="F38" s="6">
        <f t="shared" si="0"/>
        <v>21.9</v>
      </c>
      <c r="G38" s="6">
        <f t="shared" si="1"/>
        <v>121.7</v>
      </c>
      <c r="H38" s="6">
        <f t="shared" si="2"/>
        <v>51</v>
      </c>
      <c r="I38" s="16" t="e">
        <f>B38*([16]!EURNOK-[17]!EURNOK)</f>
        <v>#REF!</v>
      </c>
      <c r="J38">
        <v>100</v>
      </c>
      <c r="K38" s="5" t="e">
        <f t="shared" si="3"/>
        <v>#REF!</v>
      </c>
      <c r="L38" s="4">
        <v>7.3</v>
      </c>
      <c r="M38" s="4">
        <v>9.1</v>
      </c>
      <c r="N38">
        <f t="shared" si="4"/>
        <v>1799.9999999999998</v>
      </c>
      <c r="O38" s="9" t="e">
        <f>2*MIN(([16]!EURNOK-L38)/(M38-L38),1-([16]!EURNOK-L38)/(M38-L38))</f>
        <v>#REF!</v>
      </c>
    </row>
    <row r="39" spans="1:15" x14ac:dyDescent="0.25">
      <c r="A39" t="s">
        <v>26</v>
      </c>
      <c r="B39">
        <v>1000</v>
      </c>
      <c r="C39" s="4">
        <v>2.9100000000000001E-2</v>
      </c>
      <c r="D39" s="4">
        <v>0.106</v>
      </c>
      <c r="E39" s="4">
        <v>4.4299999999999999E-2</v>
      </c>
      <c r="F39" s="6">
        <f t="shared" si="0"/>
        <v>29.1</v>
      </c>
      <c r="G39" s="6">
        <f t="shared" si="1"/>
        <v>106</v>
      </c>
      <c r="H39" s="6">
        <f t="shared" si="2"/>
        <v>44.3</v>
      </c>
      <c r="I39" s="16" t="e">
        <f>B39*([16]!USDNOK-[17]!USDNOK)</f>
        <v>#REF!</v>
      </c>
      <c r="J39">
        <v>20</v>
      </c>
      <c r="K39" s="5" t="e">
        <f t="shared" si="3"/>
        <v>#REF!</v>
      </c>
      <c r="L39" s="4">
        <v>5.2</v>
      </c>
      <c r="M39" s="4">
        <v>6.5</v>
      </c>
      <c r="N39">
        <f t="shared" si="4"/>
        <v>1299.9999999999998</v>
      </c>
      <c r="O39" s="9" t="e">
        <f>2*MIN(([16]!USDNOK-L39)/(M39-L39),1-([16]!USDNOK-L39)/(M39-L39))</f>
        <v>#REF!</v>
      </c>
    </row>
    <row r="44" spans="1:15" x14ac:dyDescent="0.25">
      <c r="K44" s="5"/>
    </row>
  </sheetData>
  <sortState ref="A4:O39">
    <sortCondition descending="1" ref="H4:H39"/>
    <sortCondition ref="I4:I39"/>
  </sortState>
  <conditionalFormatting sqref="H4:H3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:I3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:O3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workbookViewId="0">
      <selection activeCell="G8" sqref="G8:G29"/>
    </sheetView>
  </sheetViews>
  <sheetFormatPr defaultRowHeight="15" x14ac:dyDescent="0.25"/>
  <sheetData>
    <row r="1" spans="1:21" x14ac:dyDescent="0.25">
      <c r="A1" t="s">
        <v>98</v>
      </c>
      <c r="B1" t="s">
        <v>93</v>
      </c>
      <c r="C1" t="s">
        <v>92</v>
      </c>
      <c r="D1" t="s">
        <v>91</v>
      </c>
      <c r="E1" t="s">
        <v>99</v>
      </c>
      <c r="F1" t="s">
        <v>89</v>
      </c>
      <c r="G1" t="s">
        <v>88</v>
      </c>
      <c r="H1" t="s">
        <v>87</v>
      </c>
      <c r="I1" t="s">
        <v>86</v>
      </c>
      <c r="J1" t="s">
        <v>85</v>
      </c>
      <c r="K1" t="s">
        <v>84</v>
      </c>
      <c r="L1" t="s">
        <v>83</v>
      </c>
      <c r="M1" t="s">
        <v>82</v>
      </c>
      <c r="N1" t="s">
        <v>81</v>
      </c>
      <c r="O1" t="s">
        <v>80</v>
      </c>
      <c r="P1" t="s">
        <v>79</v>
      </c>
      <c r="Q1" t="s">
        <v>78</v>
      </c>
      <c r="R1" t="s">
        <v>77</v>
      </c>
      <c r="S1" t="s">
        <v>76</v>
      </c>
      <c r="T1" t="s">
        <v>75</v>
      </c>
      <c r="U1" t="s">
        <v>74</v>
      </c>
    </row>
    <row r="2" spans="1:21" x14ac:dyDescent="0.25">
      <c r="A2" t="s">
        <v>97</v>
      </c>
      <c r="B2">
        <v>20</v>
      </c>
      <c r="C2">
        <v>20</v>
      </c>
      <c r="D2">
        <v>20</v>
      </c>
      <c r="E2">
        <v>20</v>
      </c>
      <c r="F2">
        <v>40</v>
      </c>
      <c r="G2">
        <v>20</v>
      </c>
      <c r="H2">
        <v>20</v>
      </c>
      <c r="I2">
        <v>100</v>
      </c>
      <c r="J2">
        <v>30</v>
      </c>
      <c r="K2">
        <v>20</v>
      </c>
      <c r="L2">
        <v>20</v>
      </c>
      <c r="M2">
        <v>20</v>
      </c>
      <c r="N2">
        <v>20</v>
      </c>
      <c r="O2">
        <v>20</v>
      </c>
      <c r="P2">
        <v>100</v>
      </c>
      <c r="Q2">
        <v>20</v>
      </c>
      <c r="R2">
        <v>30</v>
      </c>
      <c r="S2">
        <v>20</v>
      </c>
      <c r="T2">
        <v>50</v>
      </c>
      <c r="U2" t="s">
        <v>73</v>
      </c>
    </row>
    <row r="3" spans="1:21" x14ac:dyDescent="0.25">
      <c r="A3" t="s">
        <v>96</v>
      </c>
      <c r="B3">
        <v>0.66149999999999998</v>
      </c>
      <c r="C3">
        <v>0.94</v>
      </c>
      <c r="D3">
        <v>85</v>
      </c>
      <c r="E3">
        <v>92</v>
      </c>
      <c r="F3">
        <v>1.77</v>
      </c>
      <c r="G3">
        <v>0.63900000000000001</v>
      </c>
      <c r="H3">
        <v>0.77800000000000002</v>
      </c>
      <c r="I3">
        <v>7.25</v>
      </c>
      <c r="J3">
        <v>1.48</v>
      </c>
      <c r="K3">
        <v>0.85499999999999998</v>
      </c>
      <c r="L3">
        <v>74</v>
      </c>
      <c r="M3">
        <v>1.38</v>
      </c>
      <c r="N3">
        <v>87</v>
      </c>
      <c r="O3">
        <v>0.92900000000000005</v>
      </c>
      <c r="P3">
        <v>4.0199999999999996</v>
      </c>
      <c r="Q3">
        <v>0.82350000000000001</v>
      </c>
      <c r="R3">
        <v>6.6</v>
      </c>
      <c r="S3">
        <v>1.1599999999999999</v>
      </c>
      <c r="T3">
        <v>1150</v>
      </c>
      <c r="U3" t="s">
        <v>72</v>
      </c>
    </row>
    <row r="4" spans="1:21" x14ac:dyDescent="0.25">
      <c r="A4" t="s">
        <v>95</v>
      </c>
      <c r="B4">
        <v>0.88</v>
      </c>
      <c r="C4">
        <v>1.07</v>
      </c>
      <c r="D4">
        <v>115</v>
      </c>
      <c r="E4">
        <v>140</v>
      </c>
      <c r="F4">
        <v>2.2200000000000002</v>
      </c>
      <c r="G4">
        <v>0.81499999999999995</v>
      </c>
      <c r="H4">
        <v>0.94</v>
      </c>
      <c r="I4">
        <v>8.25</v>
      </c>
      <c r="J4">
        <v>1.66</v>
      </c>
      <c r="K4">
        <v>1</v>
      </c>
      <c r="L4">
        <v>105</v>
      </c>
      <c r="M4">
        <v>1.55</v>
      </c>
      <c r="N4">
        <v>101</v>
      </c>
      <c r="O4">
        <v>1.07</v>
      </c>
      <c r="P4">
        <v>4.42</v>
      </c>
      <c r="Q4">
        <v>1.0825</v>
      </c>
      <c r="R4">
        <v>11.9</v>
      </c>
      <c r="S4">
        <v>1.6</v>
      </c>
      <c r="T4">
        <v>1950</v>
      </c>
      <c r="U4" t="s">
        <v>71</v>
      </c>
    </row>
    <row r="5" spans="1:21" x14ac:dyDescent="0.25">
      <c r="A5" t="s">
        <v>94</v>
      </c>
      <c r="B5">
        <v>1</v>
      </c>
      <c r="C5">
        <v>1</v>
      </c>
      <c r="D5">
        <v>100</v>
      </c>
      <c r="E5">
        <v>100</v>
      </c>
      <c r="F5">
        <v>1</v>
      </c>
      <c r="G5">
        <v>1</v>
      </c>
      <c r="H5">
        <v>1</v>
      </c>
      <c r="I5">
        <v>10</v>
      </c>
      <c r="J5">
        <v>1</v>
      </c>
      <c r="K5">
        <v>1</v>
      </c>
      <c r="L5">
        <v>100</v>
      </c>
      <c r="M5">
        <v>1</v>
      </c>
      <c r="N5">
        <v>100</v>
      </c>
      <c r="O5">
        <v>1</v>
      </c>
      <c r="P5">
        <v>1</v>
      </c>
      <c r="Q5">
        <v>1</v>
      </c>
      <c r="R5">
        <v>1000</v>
      </c>
      <c r="S5">
        <v>1</v>
      </c>
      <c r="T5">
        <v>1000</v>
      </c>
      <c r="U5" t="s">
        <v>70</v>
      </c>
    </row>
    <row r="8" spans="1:21" x14ac:dyDescent="0.25">
      <c r="A8" t="s">
        <v>98</v>
      </c>
      <c r="B8" t="s">
        <v>97</v>
      </c>
      <c r="C8" t="s">
        <v>96</v>
      </c>
      <c r="D8" t="s">
        <v>95</v>
      </c>
      <c r="E8" t="s">
        <v>94</v>
      </c>
      <c r="G8" t="str">
        <f>"insert into Pairs(Symbol, Step, ChannelMin, ChannelMax, pScale) values("&amp;SUBSTITUTE(A8,CHAR(34),"'")&amp;","&amp;B8&amp;","&amp;C8&amp;","&amp;D8&amp;","&amp;E8&amp;");"</f>
        <v>insert into Pairs(Symbol, Step, ChannelMin, ChannelMax, pScale) values('EURUSD',30,1.1900,1.5000,1);</v>
      </c>
    </row>
    <row r="9" spans="1:21" x14ac:dyDescent="0.25">
      <c r="A9" t="s">
        <v>93</v>
      </c>
      <c r="B9">
        <v>20</v>
      </c>
      <c r="C9">
        <v>0.66149999999999998</v>
      </c>
      <c r="D9">
        <v>0.88</v>
      </c>
      <c r="E9">
        <v>1</v>
      </c>
      <c r="G9" t="str">
        <f>"insert into Pairs(Symbol, Step, ChannelMin, ChannelMax, pScale) values("&amp;SUBSTITUTE(A9,CHAR(34),"'")&amp;","&amp;B9&amp;","&amp;C9&amp;","&amp;D9&amp;","&amp;E9&amp;");"</f>
        <v>insert into Pairs(Symbol, Step, ChannelMin, ChannelMax, pScale) values( 'NZDUSD',20,0.6615,0.88,1);</v>
      </c>
    </row>
    <row r="10" spans="1:21" x14ac:dyDescent="0.25">
      <c r="A10" t="s">
        <v>92</v>
      </c>
      <c r="B10">
        <v>20</v>
      </c>
      <c r="C10">
        <v>0.94</v>
      </c>
      <c r="D10">
        <v>1.07</v>
      </c>
      <c r="E10">
        <v>1</v>
      </c>
      <c r="G10" t="str">
        <f>"insert into Pairs(Symbol, Step, ChannelMin, ChannelMax, pScale) values("&amp;SUBSTITUTE(A10,CHAR(34),"'")&amp;","&amp;B10&amp;","&amp;C10&amp;","&amp;D10&amp;","&amp;E10&amp;");"</f>
        <v>insert into Pairs(Symbol, Step, ChannelMin, ChannelMax, pScale) values( 'USDCAD',20,0.94,1.07,1);</v>
      </c>
    </row>
    <row r="11" spans="1:21" x14ac:dyDescent="0.25">
      <c r="A11" t="s">
        <v>91</v>
      </c>
      <c r="B11">
        <v>20</v>
      </c>
      <c r="C11">
        <v>85</v>
      </c>
      <c r="D11">
        <v>115</v>
      </c>
      <c r="E11">
        <v>100</v>
      </c>
      <c r="G11" t="str">
        <f>"insert into Pairs(Symbol, Step, ChannelMin, ChannelMax, pScale) values("&amp;SUBSTITUTE(A11,CHAR(34),"'")&amp;","&amp;B11&amp;","&amp;C11&amp;","&amp;D11&amp;","&amp;E11&amp;");"</f>
        <v>insert into Pairs(Symbol, Step, ChannelMin, ChannelMax, pScale) values( 'USDJPY',20,85,115,100);</v>
      </c>
    </row>
    <row r="12" spans="1:21" x14ac:dyDescent="0.25">
      <c r="A12" t="s">
        <v>90</v>
      </c>
      <c r="B12">
        <v>20</v>
      </c>
      <c r="C12">
        <v>92</v>
      </c>
      <c r="D12">
        <v>140</v>
      </c>
      <c r="E12">
        <v>100</v>
      </c>
      <c r="G12" t="str">
        <f>"insert into Pairs(Symbol, Step, ChannelMin, ChannelMax, pScale) values("&amp;SUBSTITUTE(A12,CHAR(34),"'")&amp;","&amp;B12&amp;","&amp;C12&amp;","&amp;D12&amp;","&amp;E12&amp;");"</f>
        <v>insert into Pairs(Symbol, Step, ChannelMin, ChannelMax, pScale) values('EURJPY',20,92,140,100);</v>
      </c>
    </row>
    <row r="13" spans="1:21" x14ac:dyDescent="0.25">
      <c r="A13" t="s">
        <v>89</v>
      </c>
      <c r="B13">
        <v>40</v>
      </c>
      <c r="C13">
        <v>1.77</v>
      </c>
      <c r="D13">
        <v>2.2200000000000002</v>
      </c>
      <c r="E13">
        <v>1</v>
      </c>
      <c r="G13" t="str">
        <f>"insert into Pairs(Symbol, Step, ChannelMin, ChannelMax, pScale) values("&amp;SUBSTITUTE(A13,CHAR(34),"'")&amp;","&amp;B13&amp;","&amp;C13&amp;","&amp;D13&amp;","&amp;E13&amp;");"</f>
        <v>insert into Pairs(Symbol, Step, ChannelMin, ChannelMax, pScale) values( 'GBPNZD',40,1.77,2.22,1);</v>
      </c>
    </row>
    <row r="14" spans="1:21" x14ac:dyDescent="0.25">
      <c r="A14" t="s">
        <v>88</v>
      </c>
      <c r="B14">
        <v>20</v>
      </c>
      <c r="C14">
        <v>0.63900000000000001</v>
      </c>
      <c r="D14">
        <v>0.81499999999999995</v>
      </c>
      <c r="E14">
        <v>1</v>
      </c>
      <c r="G14" t="str">
        <f>"insert into Pairs(Symbol, Step, ChannelMin, ChannelMax, pScale) values("&amp;SUBSTITUTE(A14,CHAR(34),"'")&amp;","&amp;B14&amp;","&amp;C14&amp;","&amp;D14&amp;","&amp;E14&amp;");"</f>
        <v>insert into Pairs(Symbol, Step, ChannelMin, ChannelMax, pScale) values( 'NZDCHF',20,0.639,0.815,1);</v>
      </c>
    </row>
    <row r="15" spans="1:21" x14ac:dyDescent="0.25">
      <c r="A15" t="s">
        <v>87</v>
      </c>
      <c r="B15">
        <v>20</v>
      </c>
      <c r="C15">
        <v>0.77800000000000002</v>
      </c>
      <c r="D15">
        <v>0.94</v>
      </c>
      <c r="E15">
        <v>1</v>
      </c>
      <c r="G15" t="str">
        <f>"insert into Pairs(Symbol, Step, ChannelMin, ChannelMax, pScale) values("&amp;SUBSTITUTE(A15,CHAR(34),"'")&amp;","&amp;B15&amp;","&amp;C15&amp;","&amp;D15&amp;","&amp;E15&amp;");"</f>
        <v>insert into Pairs(Symbol, Step, ChannelMin, ChannelMax, pScale) values( 'EURGBP',20,0.778,0.94,1);</v>
      </c>
    </row>
    <row r="16" spans="1:21" x14ac:dyDescent="0.25">
      <c r="A16" t="s">
        <v>86</v>
      </c>
      <c r="B16">
        <v>100</v>
      </c>
      <c r="C16">
        <v>7.25</v>
      </c>
      <c r="D16">
        <v>8.25</v>
      </c>
      <c r="E16">
        <v>10</v>
      </c>
      <c r="G16" t="str">
        <f>"insert into Pairs(Symbol, Step, ChannelMin, ChannelMax, pScale) values("&amp;SUBSTITUTE(A16,CHAR(34),"'")&amp;","&amp;B16&amp;","&amp;C16&amp;","&amp;D16&amp;","&amp;E16&amp;");"</f>
        <v>insert into Pairs(Symbol, Step, ChannelMin, ChannelMax, pScale) values( 'EURNOK',100,7.25,8.25,10);</v>
      </c>
    </row>
    <row r="17" spans="1:7" x14ac:dyDescent="0.25">
      <c r="A17" t="s">
        <v>85</v>
      </c>
      <c r="B17">
        <v>30</v>
      </c>
      <c r="C17">
        <v>1.48</v>
      </c>
      <c r="D17">
        <v>1.66</v>
      </c>
      <c r="E17">
        <v>1</v>
      </c>
      <c r="G17" t="str">
        <f>"insert into Pairs(Symbol, Step, ChannelMin, ChannelMax, pScale) values("&amp;SUBSTITUTE(A17,CHAR(34),"'")&amp;","&amp;B17&amp;","&amp;C17&amp;","&amp;D17&amp;","&amp;E17&amp;");"</f>
        <v>insert into Pairs(Symbol, Step, ChannelMin, ChannelMax, pScale) values( 'GBPUSD',30,1.48,1.66,1);</v>
      </c>
    </row>
    <row r="18" spans="1:7" x14ac:dyDescent="0.25">
      <c r="A18" t="s">
        <v>84</v>
      </c>
      <c r="B18">
        <v>20</v>
      </c>
      <c r="C18">
        <v>0.85499999999999998</v>
      </c>
      <c r="D18">
        <v>1</v>
      </c>
      <c r="E18">
        <v>1</v>
      </c>
      <c r="G18" t="str">
        <f>"insert into Pairs(Symbol, Step, ChannelMin, ChannelMax, pScale) values("&amp;SUBSTITUTE(A18,CHAR(34),"'")&amp;","&amp;B18&amp;","&amp;C18&amp;","&amp;D18&amp;","&amp;E18&amp;");"</f>
        <v>insert into Pairs(Symbol, Step, ChannelMin, ChannelMax, pScale) values( 'USDCHF',20,0.855,1,1);</v>
      </c>
    </row>
    <row r="19" spans="1:7" x14ac:dyDescent="0.25">
      <c r="A19" t="s">
        <v>83</v>
      </c>
      <c r="B19">
        <v>20</v>
      </c>
      <c r="C19">
        <v>74</v>
      </c>
      <c r="D19">
        <v>105</v>
      </c>
      <c r="E19">
        <v>100</v>
      </c>
      <c r="G19" t="str">
        <f>"insert into Pairs(Symbol, Step, ChannelMin, ChannelMax, pScale) values("&amp;SUBSTITUTE(A19,CHAR(34),"'")&amp;","&amp;B19&amp;","&amp;C19&amp;","&amp;D19&amp;","&amp;E19&amp;");"</f>
        <v>insert into Pairs(Symbol, Step, ChannelMin, ChannelMax, pScale) values(   'AUDJPY',20,74,105,100);</v>
      </c>
    </row>
    <row r="20" spans="1:7" x14ac:dyDescent="0.25">
      <c r="A20" t="s">
        <v>82</v>
      </c>
      <c r="B20">
        <v>20</v>
      </c>
      <c r="C20">
        <v>1.38</v>
      </c>
      <c r="D20">
        <v>1.55</v>
      </c>
      <c r="E20">
        <v>1</v>
      </c>
      <c r="G20" t="str">
        <f>"insert into Pairs(Symbol, Step, ChannelMin, ChannelMax, pScale) values("&amp;SUBSTITUTE(A20,CHAR(34),"'")&amp;","&amp;B20&amp;","&amp;C20&amp;","&amp;D20&amp;","&amp;E20&amp;");"</f>
        <v>insert into Pairs(Symbol, Step, ChannelMin, ChannelMax, pScale) values(   'GBPCHF',20,1.38,1.55,1);</v>
      </c>
    </row>
    <row r="21" spans="1:7" x14ac:dyDescent="0.25">
      <c r="A21" t="s">
        <v>81</v>
      </c>
      <c r="B21">
        <v>20</v>
      </c>
      <c r="C21">
        <v>87</v>
      </c>
      <c r="D21">
        <v>101</v>
      </c>
      <c r="E21">
        <v>100</v>
      </c>
      <c r="G21" t="str">
        <f>"insert into Pairs(Symbol, Step, ChannelMin, ChannelMax, pScale) values("&amp;SUBSTITUTE(A21,CHAR(34),"'")&amp;","&amp;B21&amp;","&amp;C21&amp;","&amp;D21&amp;","&amp;E21&amp;");"</f>
        <v>insert into Pairs(Symbol, Step, ChannelMin, ChannelMax, pScale) values(   'CADJPY',20,87,101,100);</v>
      </c>
    </row>
    <row r="22" spans="1:7" x14ac:dyDescent="0.25">
      <c r="A22" t="s">
        <v>80</v>
      </c>
      <c r="B22">
        <v>20</v>
      </c>
      <c r="C22">
        <v>0.92900000000000005</v>
      </c>
      <c r="D22">
        <v>1.07</v>
      </c>
      <c r="E22">
        <v>1</v>
      </c>
      <c r="G22" t="str">
        <f>"insert into Pairs(Symbol, Step, ChannelMin, ChannelMax, pScale) values("&amp;SUBSTITUTE(A22,CHAR(34),"'")&amp;","&amp;B22&amp;","&amp;C22&amp;","&amp;D22&amp;","&amp;E22&amp;");"</f>
        <v>insert into Pairs(Symbol, Step, ChannelMin, ChannelMax, pScale) values(   'NZDSGD',20,0.929,1.07,1);</v>
      </c>
    </row>
    <row r="23" spans="1:7" x14ac:dyDescent="0.25">
      <c r="A23" t="s">
        <v>79</v>
      </c>
      <c r="B23">
        <v>100</v>
      </c>
      <c r="C23">
        <v>4.0199999999999996</v>
      </c>
      <c r="D23">
        <v>4.42</v>
      </c>
      <c r="E23">
        <v>1</v>
      </c>
      <c r="G23" t="str">
        <f>"insert into Pairs(Symbol, Step, ChannelMin, ChannelMax, pScale) values("&amp;SUBSTITUTE(A23,CHAR(34),"'")&amp;","&amp;B23&amp;","&amp;C23&amp;","&amp;D23&amp;","&amp;E23&amp;");"</f>
        <v>insert into Pairs(Symbol, Step, ChannelMin, ChannelMax, pScale) values(   'EURPLN',100,4.02,4.42,1);</v>
      </c>
    </row>
    <row r="24" spans="1:7" x14ac:dyDescent="0.25">
      <c r="A24" t="s">
        <v>78</v>
      </c>
      <c r="B24">
        <v>20</v>
      </c>
      <c r="C24">
        <v>0.82350000000000001</v>
      </c>
      <c r="D24">
        <v>1.0825</v>
      </c>
      <c r="E24">
        <v>1</v>
      </c>
      <c r="G24" t="str">
        <f>"insert into Pairs(Symbol, Step, ChannelMin, ChannelMax, pScale) values("&amp;SUBSTITUTE(A24,CHAR(34),"'")&amp;","&amp;B24&amp;","&amp;C24&amp;","&amp;D24&amp;","&amp;E24&amp;");"</f>
        <v>insert into Pairs(Symbol, Step, ChannelMin, ChannelMax, pScale) values(   'AUDUSD',20,0.8235,1.0825,1);</v>
      </c>
    </row>
    <row r="25" spans="1:7" x14ac:dyDescent="0.25">
      <c r="A25" t="s">
        <v>77</v>
      </c>
      <c r="B25">
        <v>30</v>
      </c>
      <c r="C25">
        <v>6.6</v>
      </c>
      <c r="D25">
        <v>11.9</v>
      </c>
      <c r="E25">
        <v>1000</v>
      </c>
      <c r="G25" t="str">
        <f>"insert into Pairs(Symbol, Step, ChannelMin, ChannelMax, pScale) values("&amp;SUBSTITUTE(A25,CHAR(34),"'")&amp;","&amp;B25&amp;","&amp;C25&amp;","&amp;D25&amp;","&amp;E25&amp;");"</f>
        <v>insert into Pairs(Symbol, Step, ChannelMin, ChannelMax, pScale) values(   'USDZAR',30,6.6,11.9,1000);</v>
      </c>
    </row>
    <row r="26" spans="1:7" x14ac:dyDescent="0.25">
      <c r="A26" t="s">
        <v>76</v>
      </c>
      <c r="B26">
        <v>20</v>
      </c>
      <c r="C26">
        <v>1.1599999999999999</v>
      </c>
      <c r="D26">
        <v>1.6</v>
      </c>
      <c r="E26">
        <v>1</v>
      </c>
      <c r="G26" t="str">
        <f>"insert into Pairs(Symbol, Step, ChannelMin, ChannelMax, pScale) values("&amp;SUBSTITUTE(A26,CHAR(34),"'")&amp;","&amp;B26&amp;","&amp;C26&amp;","&amp;D26&amp;","&amp;E26&amp;");"</f>
        <v>insert into Pairs(Symbol, Step, ChannelMin, ChannelMax, pScale) values(   'EURAUD',20,1.16,1.6,1);</v>
      </c>
    </row>
    <row r="27" spans="1:7" x14ac:dyDescent="0.25">
      <c r="A27" t="s">
        <v>75</v>
      </c>
      <c r="B27">
        <v>50</v>
      </c>
      <c r="C27">
        <v>1150</v>
      </c>
      <c r="D27">
        <v>1950</v>
      </c>
      <c r="E27">
        <v>1000</v>
      </c>
      <c r="G27" t="str">
        <f>"insert into Pairs(Symbol, Step, ChannelMin, ChannelMax, pScale) values("&amp;SUBSTITUTE(A27,CHAR(34),"'")&amp;","&amp;B27&amp;","&amp;C27&amp;","&amp;D27&amp;","&amp;E27&amp;");"</f>
        <v>insert into Pairs(Symbol, Step, ChannelMin, ChannelMax, pScale) values(   'GOLD',50,1150,1950,1000);</v>
      </c>
    </row>
    <row r="28" spans="1:7" x14ac:dyDescent="0.25">
      <c r="A28" t="s">
        <v>74</v>
      </c>
      <c r="B28" t="s">
        <v>73</v>
      </c>
      <c r="C28" t="s">
        <v>72</v>
      </c>
      <c r="D28" t="s">
        <v>71</v>
      </c>
      <c r="E28" t="s">
        <v>70</v>
      </c>
      <c r="G28" t="str">
        <f>"insert into Pairs(Symbol, Step, ChannelMin, ChannelMax, pScale) values("&amp;SUBSTITUTE(A28,CHAR(34),"'")&amp;","&amp;B28&amp;","&amp;C28&amp;","&amp;D28&amp;","&amp;E28&amp;");"</f>
        <v>insert into Pairs(Symbol, Step, ChannelMin, ChannelMax, pScale) values(  'XAUUSD',      50    ,    1150 ,    1950 ,     1000   );</v>
      </c>
    </row>
    <row r="29" spans="1:7" x14ac:dyDescent="0.25">
      <c r="A29" t="s">
        <v>69</v>
      </c>
      <c r="B29">
        <v>40</v>
      </c>
      <c r="C29">
        <v>1.54</v>
      </c>
      <c r="D29">
        <v>1.9</v>
      </c>
      <c r="E29">
        <v>1</v>
      </c>
      <c r="G29" t="str">
        <f>"insert into Pairs(Symbol, Step, ChannelMin, ChannelMax, pScale) values("&amp;SUBSTITUTE(A29,CHAR(34),"'")&amp;","&amp;B29&amp;","&amp;C29&amp;","&amp;D29&amp;","&amp;E29&amp;");"</f>
        <v>insert into Pairs(Symbol, Step, ChannelMin, ChannelMax, pScale) values('GBPAUD',40,1.54,1.9,1);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0"/>
  <sheetViews>
    <sheetView tabSelected="1" topLeftCell="A12" workbookViewId="0">
      <selection activeCell="U17" sqref="U17"/>
    </sheetView>
  </sheetViews>
  <sheetFormatPr defaultRowHeight="15" x14ac:dyDescent="0.25"/>
  <sheetData>
    <row r="1" spans="2:5" x14ac:dyDescent="0.25">
      <c r="B1">
        <v>774022</v>
      </c>
      <c r="C1" t="s">
        <v>186</v>
      </c>
      <c r="D1">
        <v>0.1</v>
      </c>
      <c r="E1" t="str">
        <f>"insert into AccountPairs(AccountNumber, Symbol, TradeSize) values("&amp;B1&amp;",'"&amp;C1&amp;"',"&amp;D1&amp;");"</f>
        <v>insert into AccountPairs(AccountNumber, Symbol, TradeSize) values(774022,'GBPAUD',0.1);</v>
      </c>
    </row>
    <row r="2" spans="2:5" x14ac:dyDescent="0.25">
      <c r="B2">
        <v>774022</v>
      </c>
      <c r="C2" t="s">
        <v>180</v>
      </c>
      <c r="D2">
        <v>0.1</v>
      </c>
      <c r="E2" t="str">
        <f>"insert into AccountPairs(AccountNumber, Symbol, TradeSize) values("&amp;B2&amp;",'"&amp;C2&amp;"',"&amp;D2&amp;");"</f>
        <v>insert into AccountPairs(AccountNumber, Symbol, TradeSize) values(774022,'GBPNZD',0.1);</v>
      </c>
    </row>
    <row r="3" spans="2:5" x14ac:dyDescent="0.25">
      <c r="B3">
        <v>774022</v>
      </c>
      <c r="C3" t="s">
        <v>175</v>
      </c>
      <c r="D3">
        <v>0.1</v>
      </c>
      <c r="E3" t="str">
        <f>"insert into AccountPairs(AccountNumber, Symbol, TradeSize) values("&amp;B3&amp;",'"&amp;C3&amp;"',"&amp;D3&amp;");"</f>
        <v>insert into AccountPairs(AccountNumber, Symbol, TradeSize) values(774022,'NZDUSD',0.1);</v>
      </c>
    </row>
    <row r="4" spans="2:5" x14ac:dyDescent="0.25">
      <c r="B4">
        <v>774022</v>
      </c>
      <c r="C4" t="s">
        <v>174</v>
      </c>
      <c r="D4">
        <v>0.1</v>
      </c>
      <c r="E4" t="str">
        <f>"insert into AccountPairs(AccountNumber, Symbol, TradeSize) values("&amp;B4&amp;",'"&amp;C4&amp;"',"&amp;D4&amp;");"</f>
        <v>insert into AccountPairs(AccountNumber, Symbol, TradeSize) values(774022,'USDCHF',0.1);</v>
      </c>
    </row>
    <row r="5" spans="2:5" x14ac:dyDescent="0.25">
      <c r="B5">
        <v>774678</v>
      </c>
      <c r="C5" t="s">
        <v>177</v>
      </c>
      <c r="D5">
        <v>0.2</v>
      </c>
      <c r="E5" t="str">
        <f>"insert into AccountPairs(AccountNumber, Symbol, TradeSize) values("&amp;B5&amp;",'"&amp;C5&amp;"',"&amp;D5&amp;");"</f>
        <v>insert into AccountPairs(AccountNumber, Symbol, TradeSize) values(774678,'AUDJPY',0.2);</v>
      </c>
    </row>
    <row r="6" spans="2:5" x14ac:dyDescent="0.25">
      <c r="B6">
        <v>774678</v>
      </c>
      <c r="C6" t="s">
        <v>187</v>
      </c>
      <c r="D6">
        <v>0.2</v>
      </c>
      <c r="E6" t="str">
        <f>"insert into AccountPairs(AccountNumber, Symbol, TradeSize) values("&amp;B6&amp;",'"&amp;C6&amp;"',"&amp;D6&amp;");"</f>
        <v>insert into AccountPairs(AccountNumber, Symbol, TradeSize) values(774678,'EURUSD',0.2);</v>
      </c>
    </row>
    <row r="7" spans="2:5" x14ac:dyDescent="0.25">
      <c r="B7">
        <v>774678</v>
      </c>
      <c r="C7" t="s">
        <v>175</v>
      </c>
      <c r="D7">
        <v>0.2</v>
      </c>
      <c r="E7" t="str">
        <f>"insert into AccountPairs(AccountNumber, Symbol, TradeSize) values("&amp;B7&amp;",'"&amp;C7&amp;"',"&amp;D7&amp;");"</f>
        <v>insert into AccountPairs(AccountNumber, Symbol, TradeSize) values(774678,'NZDUSD',0.2);</v>
      </c>
    </row>
    <row r="8" spans="2:5" x14ac:dyDescent="0.25">
      <c r="B8">
        <v>775191</v>
      </c>
      <c r="C8" t="s">
        <v>193</v>
      </c>
      <c r="D8">
        <v>0.1</v>
      </c>
      <c r="E8" t="str">
        <f>"insert into AccountPairs(AccountNumber, Symbol, TradeSize) values("&amp;B8&amp;",'"&amp;C8&amp;"',"&amp;D8&amp;");"</f>
        <v>insert into AccountPairs(AccountNumber, Symbol, TradeSize) values(775191,'CADJPY',0.1);</v>
      </c>
    </row>
    <row r="9" spans="2:5" x14ac:dyDescent="0.25">
      <c r="B9">
        <v>775191</v>
      </c>
      <c r="C9" t="s">
        <v>187</v>
      </c>
      <c r="D9">
        <v>0.1</v>
      </c>
      <c r="E9" t="str">
        <f>"insert into AccountPairs(AccountNumber, Symbol, TradeSize) values("&amp;B9&amp;",'"&amp;C9&amp;"',"&amp;D9&amp;");"</f>
        <v>insert into AccountPairs(AccountNumber, Symbol, TradeSize) values(775191,'EURUSD',0.1);</v>
      </c>
    </row>
    <row r="10" spans="2:5" x14ac:dyDescent="0.25">
      <c r="B10">
        <v>775191</v>
      </c>
      <c r="C10" t="s">
        <v>180</v>
      </c>
      <c r="D10">
        <v>0.1</v>
      </c>
      <c r="E10" t="str">
        <f>"insert into AccountPairs(AccountNumber, Symbol, TradeSize) values("&amp;B10&amp;",'"&amp;C10&amp;"',"&amp;D10&amp;");"</f>
        <v>insert into AccountPairs(AccountNumber, Symbol, TradeSize) values(775191,'GBPNZD',0.1);</v>
      </c>
    </row>
    <row r="11" spans="2:5" x14ac:dyDescent="0.25">
      <c r="B11">
        <v>776849</v>
      </c>
      <c r="C11" t="s">
        <v>190</v>
      </c>
      <c r="D11">
        <v>0.1</v>
      </c>
      <c r="E11" t="str">
        <f>"insert into AccountPairs(AccountNumber, Symbol, TradeSize) values("&amp;B11&amp;",'"&amp;C11&amp;"',"&amp;D11&amp;");"</f>
        <v>insert into AccountPairs(AccountNumber, Symbol, TradeSize) values(776849,'AUDUSD',0.1);</v>
      </c>
    </row>
    <row r="12" spans="2:5" x14ac:dyDescent="0.25">
      <c r="B12">
        <v>776849</v>
      </c>
      <c r="C12" t="s">
        <v>176</v>
      </c>
      <c r="D12">
        <v>0.2</v>
      </c>
      <c r="E12" t="str">
        <f>"insert into AccountPairs(AccountNumber, Symbol, TradeSize) values("&amp;B12&amp;",'"&amp;C12&amp;"',"&amp;D12&amp;");"</f>
        <v>insert into AccountPairs(AccountNumber, Symbol, TradeSize) values(776849,'EURGBP',0.2);</v>
      </c>
    </row>
    <row r="13" spans="2:5" x14ac:dyDescent="0.25">
      <c r="B13">
        <v>776849</v>
      </c>
      <c r="C13" t="s">
        <v>180</v>
      </c>
      <c r="D13">
        <v>0.2</v>
      </c>
      <c r="E13" t="str">
        <f>"insert into AccountPairs(AccountNumber, Symbol, TradeSize) values("&amp;B13&amp;",'"&amp;C13&amp;"',"&amp;D13&amp;");"</f>
        <v>insert into AccountPairs(AccountNumber, Symbol, TradeSize) values(776849,'GBPNZD',0.2);</v>
      </c>
    </row>
    <row r="14" spans="2:5" x14ac:dyDescent="0.25">
      <c r="B14">
        <v>776849</v>
      </c>
      <c r="C14" t="s">
        <v>178</v>
      </c>
      <c r="D14">
        <v>0.2</v>
      </c>
      <c r="E14" t="str">
        <f>"insert into AccountPairs(AccountNumber, Symbol, TradeSize) values("&amp;B14&amp;",'"&amp;C14&amp;"',"&amp;D14&amp;");"</f>
        <v>insert into AccountPairs(AccountNumber, Symbol, TradeSize) values(776849,'USDJPY',0.2);</v>
      </c>
    </row>
    <row r="15" spans="2:5" x14ac:dyDescent="0.25">
      <c r="B15">
        <v>776980</v>
      </c>
      <c r="C15" t="s">
        <v>190</v>
      </c>
      <c r="D15">
        <v>0.1</v>
      </c>
      <c r="E15" t="str">
        <f>"insert into AccountPairs(AccountNumber, Symbol, TradeSize) values("&amp;B15&amp;",'"&amp;C15&amp;"',"&amp;D15&amp;");"</f>
        <v>insert into AccountPairs(AccountNumber, Symbol, TradeSize) values(776980,'AUDUSD',0.1);</v>
      </c>
    </row>
    <row r="16" spans="2:5" x14ac:dyDescent="0.25">
      <c r="B16">
        <v>776980</v>
      </c>
      <c r="C16" t="s">
        <v>193</v>
      </c>
      <c r="D16">
        <v>0.1</v>
      </c>
      <c r="E16" t="str">
        <f>"insert into AccountPairs(AccountNumber, Symbol, TradeSize) values("&amp;B16&amp;",'"&amp;C16&amp;"',"&amp;D16&amp;");"</f>
        <v>insert into AccountPairs(AccountNumber, Symbol, TradeSize) values(776980,'CADJPY',0.1);</v>
      </c>
    </row>
    <row r="17" spans="2:5" x14ac:dyDescent="0.25">
      <c r="B17">
        <v>776980</v>
      </c>
      <c r="C17" t="s">
        <v>176</v>
      </c>
      <c r="D17">
        <v>0.1</v>
      </c>
      <c r="E17" t="str">
        <f>"insert into AccountPairs(AccountNumber, Symbol, TradeSize) values("&amp;B17&amp;",'"&amp;C17&amp;"',"&amp;D17&amp;");"</f>
        <v>insert into AccountPairs(AccountNumber, Symbol, TradeSize) values(776980,'EURGBP',0.1);</v>
      </c>
    </row>
    <row r="18" spans="2:5" x14ac:dyDescent="0.25">
      <c r="B18">
        <v>776982</v>
      </c>
      <c r="C18" t="s">
        <v>193</v>
      </c>
      <c r="D18">
        <v>0.2</v>
      </c>
      <c r="E18" t="str">
        <f>"insert into AccountPairs(AccountNumber, Symbol, TradeSize) values("&amp;B18&amp;",'"&amp;C18&amp;"',"&amp;D18&amp;");"</f>
        <v>insert into AccountPairs(AccountNumber, Symbol, TradeSize) values(776982,'CADJPY',0.2);</v>
      </c>
    </row>
    <row r="19" spans="2:5" x14ac:dyDescent="0.25">
      <c r="B19">
        <v>776982</v>
      </c>
      <c r="C19" t="s">
        <v>187</v>
      </c>
      <c r="D19">
        <v>0.2</v>
      </c>
      <c r="E19" t="str">
        <f>"insert into AccountPairs(AccountNumber, Symbol, TradeSize) values("&amp;B19&amp;",'"&amp;C19&amp;"',"&amp;D19&amp;");"</f>
        <v>insert into AccountPairs(AccountNumber, Symbol, TradeSize) values(776982,'EURUSD',0.2);</v>
      </c>
    </row>
    <row r="20" spans="2:5" x14ac:dyDescent="0.25">
      <c r="B20">
        <v>776982</v>
      </c>
      <c r="C20" t="s">
        <v>180</v>
      </c>
      <c r="D20">
        <v>0.2</v>
      </c>
      <c r="E20" t="str">
        <f>"insert into AccountPairs(AccountNumber, Symbol, TradeSize) values("&amp;B20&amp;",'"&amp;C20&amp;"',"&amp;D20&amp;");"</f>
        <v>insert into AccountPairs(AccountNumber, Symbol, TradeSize) values(776982,'GBPNZD',0.2);</v>
      </c>
    </row>
    <row r="21" spans="2:5" x14ac:dyDescent="0.25">
      <c r="B21">
        <v>776982</v>
      </c>
      <c r="C21" t="s">
        <v>174</v>
      </c>
      <c r="D21">
        <v>0.2</v>
      </c>
      <c r="E21" t="str">
        <f>"insert into AccountPairs(AccountNumber, Symbol, TradeSize) values("&amp;B21&amp;",'"&amp;C21&amp;"',"&amp;D21&amp;");"</f>
        <v>insert into AccountPairs(AccountNumber, Symbol, TradeSize) values(776982,'USDCHF',0.2);</v>
      </c>
    </row>
    <row r="22" spans="2:5" x14ac:dyDescent="0.25">
      <c r="B22">
        <v>777094</v>
      </c>
      <c r="C22" t="s">
        <v>190</v>
      </c>
      <c r="D22">
        <v>0.3</v>
      </c>
      <c r="E22" t="str">
        <f>"insert into AccountPairs(AccountNumber, Symbol, TradeSize) values("&amp;B22&amp;",'"&amp;C22&amp;"',"&amp;D22&amp;");"</f>
        <v>insert into AccountPairs(AccountNumber, Symbol, TradeSize) values(777094,'AUDUSD',0.3);</v>
      </c>
    </row>
    <row r="23" spans="2:5" x14ac:dyDescent="0.25">
      <c r="B23">
        <v>777094</v>
      </c>
      <c r="C23" t="s">
        <v>181</v>
      </c>
      <c r="D23">
        <v>0.2</v>
      </c>
      <c r="E23" t="str">
        <f>"insert into AccountPairs(AccountNumber, Symbol, TradeSize) values("&amp;B23&amp;",'"&amp;C23&amp;"',"&amp;D23&amp;");"</f>
        <v>insert into AccountPairs(AccountNumber, Symbol, TradeSize) values(777094,'EURAUD',0.2);</v>
      </c>
    </row>
    <row r="24" spans="2:5" x14ac:dyDescent="0.25">
      <c r="B24">
        <v>777094</v>
      </c>
      <c r="C24" t="s">
        <v>180</v>
      </c>
      <c r="D24">
        <v>0.2</v>
      </c>
      <c r="E24" t="str">
        <f>"insert into AccountPairs(AccountNumber, Symbol, TradeSize) values("&amp;B24&amp;",'"&amp;C24&amp;"',"&amp;D24&amp;");"</f>
        <v>insert into AccountPairs(AccountNumber, Symbol, TradeSize) values(777094,'GBPNZD',0.2);</v>
      </c>
    </row>
    <row r="25" spans="2:5" x14ac:dyDescent="0.25">
      <c r="B25">
        <v>777094</v>
      </c>
      <c r="C25" t="s">
        <v>178</v>
      </c>
      <c r="D25">
        <v>0.2</v>
      </c>
      <c r="E25" t="str">
        <f>"insert into AccountPairs(AccountNumber, Symbol, TradeSize) values("&amp;B25&amp;",'"&amp;C25&amp;"',"&amp;D25&amp;");"</f>
        <v>insert into AccountPairs(AccountNumber, Symbol, TradeSize) values(777094,'USDJPY',0.2);</v>
      </c>
    </row>
    <row r="26" spans="2:5" x14ac:dyDescent="0.25">
      <c r="B26">
        <v>777094</v>
      </c>
      <c r="C26" t="s">
        <v>192</v>
      </c>
      <c r="D26">
        <v>0.2</v>
      </c>
      <c r="E26" t="str">
        <f>"insert into AccountPairs(AccountNumber, Symbol, TradeSize) values("&amp;B26&amp;",'"&amp;C26&amp;"',"&amp;D26&amp;");"</f>
        <v>insert into AccountPairs(AccountNumber, Symbol, TradeSize) values(777094,'XAUUSD',0.2);</v>
      </c>
    </row>
    <row r="27" spans="2:5" x14ac:dyDescent="0.25">
      <c r="B27">
        <v>917261</v>
      </c>
      <c r="C27" t="s">
        <v>177</v>
      </c>
      <c r="D27">
        <v>0.02</v>
      </c>
      <c r="E27" t="str">
        <f>"insert into AccountPairs(AccountNumber, Symbol, TradeSize) values("&amp;B27&amp;",'"&amp;C27&amp;"',"&amp;D27&amp;");"</f>
        <v>insert into AccountPairs(AccountNumber, Symbol, TradeSize) values(917261,'AUDJPY',0.02);</v>
      </c>
    </row>
    <row r="28" spans="2:5" x14ac:dyDescent="0.25">
      <c r="B28">
        <v>917261</v>
      </c>
      <c r="C28" t="s">
        <v>180</v>
      </c>
      <c r="D28">
        <v>0.02</v>
      </c>
      <c r="E28" t="str">
        <f>"insert into AccountPairs(AccountNumber, Symbol, TradeSize) values("&amp;B28&amp;",'"&amp;C28&amp;"',"&amp;D28&amp;");"</f>
        <v>insert into AccountPairs(AccountNumber, Symbol, TradeSize) values(917261,'GBPNZD',0.02);</v>
      </c>
    </row>
    <row r="29" spans="2:5" x14ac:dyDescent="0.25">
      <c r="B29">
        <v>917261</v>
      </c>
      <c r="C29" t="s">
        <v>174</v>
      </c>
      <c r="D29">
        <v>0.02</v>
      </c>
      <c r="E29" t="str">
        <f>"insert into AccountPairs(AccountNumber, Symbol, TradeSize) values("&amp;B29&amp;",'"&amp;C29&amp;"',"&amp;D29&amp;");"</f>
        <v>insert into AccountPairs(AccountNumber, Symbol, TradeSize) values(917261,'USDCHF',0.02);</v>
      </c>
    </row>
    <row r="30" spans="2:5" x14ac:dyDescent="0.25">
      <c r="B30">
        <v>918062</v>
      </c>
      <c r="C30" t="s">
        <v>177</v>
      </c>
      <c r="D30">
        <v>0.06</v>
      </c>
      <c r="E30" t="str">
        <f>"insert into AccountPairs(AccountNumber, Symbol, TradeSize) values("&amp;B30&amp;",'"&amp;C30&amp;"',"&amp;D30&amp;");"</f>
        <v>insert into AccountPairs(AccountNumber, Symbol, TradeSize) values(918062,'AUDJPY',0.06);</v>
      </c>
    </row>
    <row r="31" spans="2:5" x14ac:dyDescent="0.25">
      <c r="B31">
        <v>918062</v>
      </c>
      <c r="C31" t="s">
        <v>187</v>
      </c>
      <c r="D31">
        <v>0.06</v>
      </c>
      <c r="E31" t="str">
        <f>"insert into AccountPairs(AccountNumber, Symbol, TradeSize) values("&amp;B31&amp;",'"&amp;C31&amp;"',"&amp;D31&amp;");"</f>
        <v>insert into AccountPairs(AccountNumber, Symbol, TradeSize) values(918062,'EURUSD',0.06);</v>
      </c>
    </row>
    <row r="32" spans="2:5" x14ac:dyDescent="0.25">
      <c r="B32">
        <v>918062</v>
      </c>
      <c r="C32" t="s">
        <v>180</v>
      </c>
      <c r="D32">
        <v>0.06</v>
      </c>
      <c r="E32" t="str">
        <f>"insert into AccountPairs(AccountNumber, Symbol, TradeSize) values("&amp;B32&amp;",'"&amp;C32&amp;"',"&amp;D32&amp;");"</f>
        <v>insert into AccountPairs(AccountNumber, Symbol, TradeSize) values(918062,'GBPNZD',0.06);</v>
      </c>
    </row>
    <row r="33" spans="2:5" x14ac:dyDescent="0.25">
      <c r="B33">
        <v>918062</v>
      </c>
      <c r="C33" t="s">
        <v>178</v>
      </c>
      <c r="D33">
        <v>0.06</v>
      </c>
      <c r="E33" t="str">
        <f>"insert into AccountPairs(AccountNumber, Symbol, TradeSize) values("&amp;B33&amp;",'"&amp;C33&amp;"',"&amp;D33&amp;");"</f>
        <v>insert into AccountPairs(AccountNumber, Symbol, TradeSize) values(918062,'USDJPY',0.06);</v>
      </c>
    </row>
    <row r="34" spans="2:5" x14ac:dyDescent="0.25">
      <c r="B34">
        <v>918583</v>
      </c>
      <c r="C34" t="s">
        <v>180</v>
      </c>
      <c r="D34">
        <v>0.04</v>
      </c>
      <c r="E34" t="str">
        <f>"insert into AccountPairs(AccountNumber, Symbol, TradeSize) values("&amp;B34&amp;",'"&amp;C34&amp;"',"&amp;D34&amp;");"</f>
        <v>insert into AccountPairs(AccountNumber, Symbol, TradeSize) values(918583,'GBPNZD',0.04);</v>
      </c>
    </row>
    <row r="35" spans="2:5" x14ac:dyDescent="0.25">
      <c r="B35">
        <v>918583</v>
      </c>
      <c r="C35" t="s">
        <v>174</v>
      </c>
      <c r="D35">
        <v>0.04</v>
      </c>
      <c r="E35" t="str">
        <f>"insert into AccountPairs(AccountNumber, Symbol, TradeSize) values("&amp;B35&amp;",'"&amp;C35&amp;"',"&amp;D35&amp;");"</f>
        <v>insert into AccountPairs(AccountNumber, Symbol, TradeSize) values(918583,'USDCHF',0.04);</v>
      </c>
    </row>
    <row r="36" spans="2:5" x14ac:dyDescent="0.25">
      <c r="B36">
        <v>2131916</v>
      </c>
      <c r="C36" t="s">
        <v>191</v>
      </c>
      <c r="D36">
        <v>0.5</v>
      </c>
      <c r="E36" t="str">
        <f>"insert into AccountPairs(AccountNumber, Symbol, TradeSize) values("&amp;B36&amp;",'"&amp;C36&amp;"',"&amp;D36&amp;");"</f>
        <v>insert into AccountPairs(AccountNumber, Symbol, TradeSize) values(2131916,'AUDNZD',0.5);</v>
      </c>
    </row>
    <row r="37" spans="2:5" x14ac:dyDescent="0.25">
      <c r="B37">
        <v>2131916</v>
      </c>
      <c r="C37" t="s">
        <v>190</v>
      </c>
      <c r="D37">
        <v>0.5</v>
      </c>
      <c r="E37" t="str">
        <f>"insert into AccountPairs(AccountNumber, Symbol, TradeSize) values("&amp;B37&amp;",'"&amp;C37&amp;"',"&amp;D37&amp;");"</f>
        <v>insert into AccountPairs(AccountNumber, Symbol, TradeSize) values(2131916,'AUDUSD',0.5);</v>
      </c>
    </row>
    <row r="38" spans="2:5" x14ac:dyDescent="0.25">
      <c r="B38">
        <v>2131916</v>
      </c>
      <c r="C38" t="s">
        <v>189</v>
      </c>
      <c r="D38">
        <v>1</v>
      </c>
      <c r="E38" t="str">
        <f>"insert into AccountPairs(AccountNumber, Symbol, TradeSize) values("&amp;B38&amp;",'"&amp;C38&amp;"',"&amp;D38&amp;");"</f>
        <v>insert into AccountPairs(AccountNumber, Symbol, TradeSize) values(2131916,'EURCAD',1);</v>
      </c>
    </row>
    <row r="39" spans="2:5" x14ac:dyDescent="0.25">
      <c r="B39">
        <v>2131916</v>
      </c>
      <c r="C39" t="s">
        <v>188</v>
      </c>
      <c r="D39">
        <v>0.5</v>
      </c>
      <c r="E39" t="str">
        <f>"insert into AccountPairs(AccountNumber, Symbol, TradeSize) values("&amp;B39&amp;",'"&amp;C39&amp;"',"&amp;D39&amp;");"</f>
        <v>insert into AccountPairs(AccountNumber, Symbol, TradeSize) values(2131916,'EURCHF',0.5);</v>
      </c>
    </row>
    <row r="40" spans="2:5" x14ac:dyDescent="0.25">
      <c r="B40">
        <v>2131916</v>
      </c>
      <c r="C40" t="s">
        <v>99</v>
      </c>
      <c r="D40">
        <v>1</v>
      </c>
      <c r="E40" t="str">
        <f>"insert into AccountPairs(AccountNumber, Symbol, TradeSize) values("&amp;B40&amp;",'"&amp;C40&amp;"',"&amp;D40&amp;");"</f>
        <v>insert into AccountPairs(AccountNumber, Symbol, TradeSize) values(2131916,'EURJPY',1);</v>
      </c>
    </row>
    <row r="41" spans="2:5" x14ac:dyDescent="0.25">
      <c r="B41">
        <v>2131916</v>
      </c>
      <c r="C41" t="s">
        <v>187</v>
      </c>
      <c r="D41">
        <v>0.06</v>
      </c>
      <c r="E41" t="str">
        <f>"insert into AccountPairs(AccountNumber, Symbol, TradeSize) values("&amp;B41&amp;",'"&amp;C41&amp;"',"&amp;D41&amp;");"</f>
        <v>insert into AccountPairs(AccountNumber, Symbol, TradeSize) values(2131916,'EURUSD',0.06);</v>
      </c>
    </row>
    <row r="42" spans="2:5" x14ac:dyDescent="0.25">
      <c r="B42">
        <v>2131916</v>
      </c>
      <c r="C42" t="s">
        <v>186</v>
      </c>
      <c r="D42">
        <v>0.5</v>
      </c>
      <c r="E42" t="str">
        <f>"insert into AccountPairs(AccountNumber, Symbol, TradeSize) values("&amp;B42&amp;",'"&amp;C42&amp;"',"&amp;D42&amp;");"</f>
        <v>insert into AccountPairs(AccountNumber, Symbol, TradeSize) values(2131916,'GBPAUD',0.5);</v>
      </c>
    </row>
    <row r="43" spans="2:5" x14ac:dyDescent="0.25">
      <c r="B43">
        <v>2131916</v>
      </c>
      <c r="C43" t="s">
        <v>185</v>
      </c>
      <c r="D43">
        <v>1</v>
      </c>
      <c r="E43" t="str">
        <f>"insert into AccountPairs(AccountNumber, Symbol, TradeSize) values("&amp;B43&amp;",'"&amp;C43&amp;"',"&amp;D43&amp;");"</f>
        <v>insert into AccountPairs(AccountNumber, Symbol, TradeSize) values(2131916,'GBPCHF',1);</v>
      </c>
    </row>
    <row r="44" spans="2:5" x14ac:dyDescent="0.25">
      <c r="B44">
        <v>2131916</v>
      </c>
      <c r="C44" t="s">
        <v>184</v>
      </c>
      <c r="D44">
        <v>0.8</v>
      </c>
      <c r="E44" t="str">
        <f>"insert into AccountPairs(AccountNumber, Symbol, TradeSize) values("&amp;B44&amp;",'"&amp;C44&amp;"',"&amp;D44&amp;");"</f>
        <v>insert into AccountPairs(AccountNumber, Symbol, TradeSize) values(2131916,'GBPUSD',0.8);</v>
      </c>
    </row>
    <row r="45" spans="2:5" x14ac:dyDescent="0.25">
      <c r="B45">
        <v>2131916</v>
      </c>
      <c r="C45" t="s">
        <v>175</v>
      </c>
      <c r="D45">
        <v>0.06</v>
      </c>
      <c r="E45" t="str">
        <f>"insert into AccountPairs(AccountNumber, Symbol, TradeSize) values("&amp;B45&amp;",'"&amp;C45&amp;"',"&amp;D45&amp;");"</f>
        <v>insert into AccountPairs(AccountNumber, Symbol, TradeSize) values(2131916,'NZDUSD',0.06);</v>
      </c>
    </row>
    <row r="46" spans="2:5" x14ac:dyDescent="0.25">
      <c r="B46">
        <v>2131916</v>
      </c>
      <c r="C46" t="s">
        <v>183</v>
      </c>
      <c r="D46">
        <v>0.06</v>
      </c>
      <c r="E46" t="str">
        <f>"insert into AccountPairs(AccountNumber, Symbol, TradeSize) values("&amp;B46&amp;",'"&amp;C46&amp;"',"&amp;D46&amp;");"</f>
        <v>insert into AccountPairs(AccountNumber, Symbol, TradeSize) values(2131916,'USDCAD',0.06);</v>
      </c>
    </row>
    <row r="47" spans="2:5" x14ac:dyDescent="0.25">
      <c r="B47">
        <v>2131916</v>
      </c>
      <c r="C47" t="s">
        <v>174</v>
      </c>
      <c r="D47">
        <v>1</v>
      </c>
      <c r="E47" t="str">
        <f>"insert into AccountPairs(AccountNumber, Symbol, TradeSize) values("&amp;B47&amp;",'"&amp;C47&amp;"',"&amp;D47&amp;");"</f>
        <v>insert into AccountPairs(AccountNumber, Symbol, TradeSize) values(2131916,'USDCHF',1);</v>
      </c>
    </row>
    <row r="48" spans="2:5" x14ac:dyDescent="0.25">
      <c r="B48">
        <v>2131916</v>
      </c>
      <c r="C48" t="s">
        <v>178</v>
      </c>
      <c r="D48">
        <v>0.06</v>
      </c>
      <c r="E48" t="str">
        <f>"insert into AccountPairs(AccountNumber, Symbol, TradeSize) values("&amp;B48&amp;",'"&amp;C48&amp;"',"&amp;D48&amp;");"</f>
        <v>insert into AccountPairs(AccountNumber, Symbol, TradeSize) values(2131916,'USDJPY',0.06);</v>
      </c>
    </row>
    <row r="49" spans="2:5" x14ac:dyDescent="0.25">
      <c r="B49">
        <v>2148515</v>
      </c>
      <c r="C49" t="s">
        <v>176</v>
      </c>
      <c r="D49">
        <v>0.06</v>
      </c>
      <c r="E49" t="str">
        <f>"insert into AccountPairs(AccountNumber, Symbol, TradeSize) values("&amp;B49&amp;",'"&amp;C49&amp;"',"&amp;D49&amp;");"</f>
        <v>insert into AccountPairs(AccountNumber, Symbol, TradeSize) values(2148515,'EURGBP',0.06);</v>
      </c>
    </row>
    <row r="50" spans="2:5" x14ac:dyDescent="0.25">
      <c r="B50">
        <v>2148515</v>
      </c>
      <c r="C50" t="s">
        <v>180</v>
      </c>
      <c r="D50">
        <v>0.06</v>
      </c>
      <c r="E50" t="str">
        <f>"insert into AccountPairs(AccountNumber, Symbol, TradeSize) values("&amp;B50&amp;",'"&amp;C50&amp;"',"&amp;D50&amp;");"</f>
        <v>insert into AccountPairs(AccountNumber, Symbol, TradeSize) values(2148515,'GBPNZD',0.06);</v>
      </c>
    </row>
    <row r="51" spans="2:5" x14ac:dyDescent="0.25">
      <c r="B51">
        <v>2148515</v>
      </c>
      <c r="C51" t="s">
        <v>182</v>
      </c>
      <c r="D51">
        <v>0.06</v>
      </c>
      <c r="E51" t="str">
        <f>"insert into AccountPairs(AccountNumber, Symbol, TradeSize) values("&amp;B51&amp;",'"&amp;C51&amp;"',"&amp;D51&amp;");"</f>
        <v>insert into AccountPairs(AccountNumber, Symbol, TradeSize) values(2148515,'NZDCHF',0.06);</v>
      </c>
    </row>
    <row r="52" spans="2:5" x14ac:dyDescent="0.25">
      <c r="B52">
        <v>2148515</v>
      </c>
      <c r="C52" t="s">
        <v>178</v>
      </c>
      <c r="D52">
        <v>0.06</v>
      </c>
      <c r="E52" t="str">
        <f>"insert into AccountPairs(AccountNumber, Symbol, TradeSize) values("&amp;B52&amp;",'"&amp;C52&amp;"',"&amp;D52&amp;");"</f>
        <v>insert into AccountPairs(AccountNumber, Symbol, TradeSize) values(2148515,'USDJPY',0.06);</v>
      </c>
    </row>
    <row r="53" spans="2:5" x14ac:dyDescent="0.25">
      <c r="B53">
        <v>2171896</v>
      </c>
      <c r="C53" t="s">
        <v>181</v>
      </c>
      <c r="D53">
        <v>0.1</v>
      </c>
      <c r="E53" t="str">
        <f>"insert into AccountPairs(AccountNumber, Symbol, TradeSize) values("&amp;B53&amp;",'"&amp;C53&amp;"',"&amp;D53&amp;");"</f>
        <v>insert into AccountPairs(AccountNumber, Symbol, TradeSize) values(2171896,'EURAUD',0.1);</v>
      </c>
    </row>
    <row r="54" spans="2:5" x14ac:dyDescent="0.25">
      <c r="B54">
        <v>2171896</v>
      </c>
      <c r="C54" t="s">
        <v>180</v>
      </c>
      <c r="D54">
        <v>0.1</v>
      </c>
      <c r="E54" t="str">
        <f>"insert into AccountPairs(AccountNumber, Symbol, TradeSize) values("&amp;B54&amp;",'"&amp;C54&amp;"',"&amp;D54&amp;");"</f>
        <v>insert into AccountPairs(AccountNumber, Symbol, TradeSize) values(2171896,'GBPNZD',0.1);</v>
      </c>
    </row>
    <row r="55" spans="2:5" x14ac:dyDescent="0.25">
      <c r="B55">
        <v>2171896</v>
      </c>
      <c r="C55" t="s">
        <v>179</v>
      </c>
      <c r="D55">
        <v>0.1</v>
      </c>
      <c r="E55" t="str">
        <f>"insert into AccountPairs(AccountNumber, Symbol, TradeSize) values("&amp;B55&amp;",'"&amp;C55&amp;"',"&amp;D55&amp;");"</f>
        <v>insert into AccountPairs(AccountNumber, Symbol, TradeSize) values(2171896,'GOLD',0.1);</v>
      </c>
    </row>
    <row r="56" spans="2:5" x14ac:dyDescent="0.25">
      <c r="B56">
        <v>2171896</v>
      </c>
      <c r="C56" t="s">
        <v>178</v>
      </c>
      <c r="D56">
        <v>0.1</v>
      </c>
      <c r="E56" t="str">
        <f>"insert into AccountPairs(AccountNumber, Symbol, TradeSize) values("&amp;B56&amp;",'"&amp;C56&amp;"',"&amp;D56&amp;");"</f>
        <v>insert into AccountPairs(AccountNumber, Symbol, TradeSize) values(2171896,'USDJPY',0.1);</v>
      </c>
    </row>
    <row r="57" spans="2:5" x14ac:dyDescent="0.25">
      <c r="B57">
        <v>87012568</v>
      </c>
      <c r="C57" t="s">
        <v>177</v>
      </c>
      <c r="D57">
        <v>0.04</v>
      </c>
      <c r="E57" t="str">
        <f>"insert into AccountPairs(AccountNumber, Symbol, TradeSize) values("&amp;B57&amp;",'"&amp;C57&amp;"',"&amp;D57&amp;");"</f>
        <v>insert into AccountPairs(AccountNumber, Symbol, TradeSize) values(87012568,'AUDJPY',0.04);</v>
      </c>
    </row>
    <row r="58" spans="2:5" x14ac:dyDescent="0.25">
      <c r="B58">
        <v>87012568</v>
      </c>
      <c r="C58" t="s">
        <v>176</v>
      </c>
      <c r="D58">
        <v>0.04</v>
      </c>
      <c r="E58" t="str">
        <f>"insert into AccountPairs(AccountNumber, Symbol, TradeSize) values("&amp;B58&amp;",'"&amp;C58&amp;"',"&amp;D58&amp;");"</f>
        <v>insert into AccountPairs(AccountNumber, Symbol, TradeSize) values(87012568,'EURGBP',0.04);</v>
      </c>
    </row>
    <row r="59" spans="2:5" x14ac:dyDescent="0.25">
      <c r="B59">
        <v>87012568</v>
      </c>
      <c r="C59" t="s">
        <v>175</v>
      </c>
      <c r="D59">
        <v>0.04</v>
      </c>
      <c r="E59" t="str">
        <f>"insert into AccountPairs(AccountNumber, Symbol, TradeSize) values("&amp;B59&amp;",'"&amp;C59&amp;"',"&amp;D59&amp;");"</f>
        <v>insert into AccountPairs(AccountNumber, Symbol, TradeSize) values(87012568,'NZDUSD',0.04);</v>
      </c>
    </row>
    <row r="60" spans="2:5" x14ac:dyDescent="0.25">
      <c r="B60">
        <v>87012568</v>
      </c>
      <c r="C60" t="s">
        <v>174</v>
      </c>
      <c r="D60">
        <v>0.04</v>
      </c>
      <c r="E60" t="str">
        <f>"insert into AccountPairs(AccountNumber, Symbol, TradeSize) values("&amp;B60&amp;",'"&amp;C60&amp;"',"&amp;D60&amp;");"</f>
        <v>insert into AccountPairs(AccountNumber, Symbol, TradeSize) values(87012568,'USDCHF',0.04);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workbookViewId="0">
      <selection activeCell="F1" sqref="F1"/>
    </sheetView>
  </sheetViews>
  <sheetFormatPr defaultRowHeight="15" x14ac:dyDescent="0.25"/>
  <sheetData>
    <row r="1" spans="1:1" x14ac:dyDescent="0.25">
      <c r="A1" t="s">
        <v>100</v>
      </c>
    </row>
    <row r="2" spans="1:1" x14ac:dyDescent="0.25">
      <c r="A2" t="s">
        <v>101</v>
      </c>
    </row>
    <row r="3" spans="1:1" x14ac:dyDescent="0.25">
      <c r="A3" t="s">
        <v>102</v>
      </c>
    </row>
    <row r="4" spans="1:1" x14ac:dyDescent="0.25">
      <c r="A4" t="s">
        <v>103</v>
      </c>
    </row>
    <row r="5" spans="1:1" x14ac:dyDescent="0.25">
      <c r="A5" t="s">
        <v>104</v>
      </c>
    </row>
    <row r="6" spans="1:1" x14ac:dyDescent="0.25">
      <c r="A6" t="s">
        <v>105</v>
      </c>
    </row>
    <row r="7" spans="1:1" x14ac:dyDescent="0.25">
      <c r="A7" t="s">
        <v>106</v>
      </c>
    </row>
    <row r="8" spans="1:1" x14ac:dyDescent="0.25">
      <c r="A8" t="s">
        <v>107</v>
      </c>
    </row>
    <row r="9" spans="1:1" x14ac:dyDescent="0.25">
      <c r="A9" t="s">
        <v>108</v>
      </c>
    </row>
    <row r="10" spans="1:1" x14ac:dyDescent="0.25">
      <c r="A10" t="s">
        <v>109</v>
      </c>
    </row>
    <row r="11" spans="1:1" x14ac:dyDescent="0.25">
      <c r="A11" t="s">
        <v>110</v>
      </c>
    </row>
    <row r="12" spans="1:1" x14ac:dyDescent="0.25">
      <c r="A12" t="s">
        <v>111</v>
      </c>
    </row>
    <row r="13" spans="1:1" x14ac:dyDescent="0.25">
      <c r="A13" t="s">
        <v>112</v>
      </c>
    </row>
    <row r="14" spans="1:1" x14ac:dyDescent="0.25">
      <c r="A14" t="s">
        <v>113</v>
      </c>
    </row>
    <row r="15" spans="1:1" x14ac:dyDescent="0.25">
      <c r="A15" t="s">
        <v>114</v>
      </c>
    </row>
    <row r="16" spans="1:1" x14ac:dyDescent="0.25">
      <c r="A16" t="s">
        <v>115</v>
      </c>
    </row>
    <row r="17" spans="1:1" x14ac:dyDescent="0.25">
      <c r="A17" t="s">
        <v>116</v>
      </c>
    </row>
    <row r="18" spans="1:1" x14ac:dyDescent="0.25">
      <c r="A18" t="s">
        <v>117</v>
      </c>
    </row>
    <row r="19" spans="1:1" x14ac:dyDescent="0.25">
      <c r="A19" t="s">
        <v>118</v>
      </c>
    </row>
    <row r="20" spans="1:1" x14ac:dyDescent="0.25">
      <c r="A20" t="s">
        <v>119</v>
      </c>
    </row>
    <row r="21" spans="1:1" x14ac:dyDescent="0.25">
      <c r="A21" t="s">
        <v>120</v>
      </c>
    </row>
    <row r="22" spans="1:1" x14ac:dyDescent="0.25">
      <c r="A22" t="s">
        <v>121</v>
      </c>
    </row>
    <row r="23" spans="1:1" x14ac:dyDescent="0.25">
      <c r="A23" t="s">
        <v>122</v>
      </c>
    </row>
    <row r="24" spans="1:1" x14ac:dyDescent="0.25">
      <c r="A24" t="s">
        <v>123</v>
      </c>
    </row>
    <row r="25" spans="1:1" x14ac:dyDescent="0.25">
      <c r="A25" t="s">
        <v>124</v>
      </c>
    </row>
    <row r="26" spans="1:1" x14ac:dyDescent="0.25">
      <c r="A26" t="s">
        <v>125</v>
      </c>
    </row>
    <row r="27" spans="1:1" x14ac:dyDescent="0.25">
      <c r="A27" t="s">
        <v>126</v>
      </c>
    </row>
    <row r="28" spans="1:1" x14ac:dyDescent="0.25">
      <c r="A28" t="s">
        <v>127</v>
      </c>
    </row>
    <row r="29" spans="1:1" x14ac:dyDescent="0.25">
      <c r="A29" t="s">
        <v>128</v>
      </c>
    </row>
    <row r="30" spans="1:1" x14ac:dyDescent="0.25">
      <c r="A30" t="s">
        <v>129</v>
      </c>
    </row>
    <row r="31" spans="1:1" x14ac:dyDescent="0.25">
      <c r="A31" t="s">
        <v>130</v>
      </c>
    </row>
    <row r="32" spans="1:1" x14ac:dyDescent="0.25">
      <c r="A32" t="s">
        <v>131</v>
      </c>
    </row>
    <row r="33" spans="1:1" x14ac:dyDescent="0.25">
      <c r="A33" t="s">
        <v>132</v>
      </c>
    </row>
    <row r="34" spans="1:1" x14ac:dyDescent="0.25">
      <c r="A34" t="s">
        <v>133</v>
      </c>
    </row>
    <row r="35" spans="1:1" x14ac:dyDescent="0.25">
      <c r="A35" t="s">
        <v>134</v>
      </c>
    </row>
    <row r="36" spans="1:1" x14ac:dyDescent="0.25">
      <c r="A36" t="s">
        <v>135</v>
      </c>
    </row>
    <row r="37" spans="1:1" x14ac:dyDescent="0.25">
      <c r="A37" t="s">
        <v>136</v>
      </c>
    </row>
    <row r="38" spans="1:1" x14ac:dyDescent="0.25">
      <c r="A38" t="s">
        <v>137</v>
      </c>
    </row>
    <row r="39" spans="1:1" x14ac:dyDescent="0.25">
      <c r="A39" t="s">
        <v>138</v>
      </c>
    </row>
    <row r="40" spans="1:1" x14ac:dyDescent="0.25">
      <c r="A40" t="s">
        <v>139</v>
      </c>
    </row>
    <row r="41" spans="1:1" x14ac:dyDescent="0.25">
      <c r="A41" t="s">
        <v>140</v>
      </c>
    </row>
    <row r="42" spans="1:1" x14ac:dyDescent="0.25">
      <c r="A42" t="s">
        <v>141</v>
      </c>
    </row>
    <row r="43" spans="1:1" x14ac:dyDescent="0.25">
      <c r="A43" t="s">
        <v>142</v>
      </c>
    </row>
    <row r="44" spans="1:1" x14ac:dyDescent="0.25">
      <c r="A44" t="s">
        <v>143</v>
      </c>
    </row>
    <row r="45" spans="1:1" x14ac:dyDescent="0.25">
      <c r="A45" t="s">
        <v>144</v>
      </c>
    </row>
    <row r="46" spans="1:1" x14ac:dyDescent="0.25">
      <c r="A46" t="s">
        <v>145</v>
      </c>
    </row>
    <row r="47" spans="1:1" x14ac:dyDescent="0.25">
      <c r="A47" t="s">
        <v>146</v>
      </c>
    </row>
    <row r="48" spans="1:1" x14ac:dyDescent="0.25">
      <c r="A48" t="s">
        <v>147</v>
      </c>
    </row>
    <row r="49" spans="1:1" x14ac:dyDescent="0.25">
      <c r="A49" t="s">
        <v>148</v>
      </c>
    </row>
    <row r="50" spans="1:1" x14ac:dyDescent="0.25">
      <c r="A50" t="s">
        <v>149</v>
      </c>
    </row>
    <row r="51" spans="1:1" x14ac:dyDescent="0.25">
      <c r="A51" t="s">
        <v>150</v>
      </c>
    </row>
    <row r="52" spans="1:1" x14ac:dyDescent="0.25">
      <c r="A52" t="s">
        <v>151</v>
      </c>
    </row>
    <row r="53" spans="1:1" x14ac:dyDescent="0.25">
      <c r="A53" t="s">
        <v>152</v>
      </c>
    </row>
    <row r="54" spans="1:1" x14ac:dyDescent="0.25">
      <c r="A54" t="s">
        <v>153</v>
      </c>
    </row>
    <row r="55" spans="1:1" x14ac:dyDescent="0.25">
      <c r="A55" t="s">
        <v>154</v>
      </c>
    </row>
    <row r="56" spans="1:1" x14ac:dyDescent="0.25">
      <c r="A56" t="s">
        <v>155</v>
      </c>
    </row>
    <row r="57" spans="1:1" x14ac:dyDescent="0.25">
      <c r="A57" t="s">
        <v>156</v>
      </c>
    </row>
    <row r="58" spans="1:1" x14ac:dyDescent="0.25">
      <c r="A58" t="s">
        <v>157</v>
      </c>
    </row>
    <row r="59" spans="1:1" x14ac:dyDescent="0.25">
      <c r="A59" t="s">
        <v>158</v>
      </c>
    </row>
    <row r="60" spans="1:1" x14ac:dyDescent="0.25">
      <c r="A60" t="s">
        <v>159</v>
      </c>
    </row>
    <row r="61" spans="1:1" x14ac:dyDescent="0.25">
      <c r="A61" t="s">
        <v>160</v>
      </c>
    </row>
    <row r="62" spans="1:1" x14ac:dyDescent="0.25">
      <c r="A62" t="s">
        <v>161</v>
      </c>
    </row>
    <row r="63" spans="1:1" x14ac:dyDescent="0.25">
      <c r="A63" t="s">
        <v>162</v>
      </c>
    </row>
    <row r="64" spans="1:1" x14ac:dyDescent="0.25">
      <c r="A64" t="s">
        <v>163</v>
      </c>
    </row>
    <row r="65" spans="1:1" x14ac:dyDescent="0.25">
      <c r="A65" t="s">
        <v>164</v>
      </c>
    </row>
    <row r="66" spans="1:1" x14ac:dyDescent="0.25">
      <c r="A66" t="s">
        <v>165</v>
      </c>
    </row>
    <row r="67" spans="1:1" x14ac:dyDescent="0.25">
      <c r="A67" t="s">
        <v>166</v>
      </c>
    </row>
    <row r="68" spans="1:1" x14ac:dyDescent="0.25">
      <c r="A68" t="s">
        <v>167</v>
      </c>
    </row>
    <row r="69" spans="1:1" x14ac:dyDescent="0.25">
      <c r="A69" t="s">
        <v>168</v>
      </c>
    </row>
    <row r="70" spans="1:1" x14ac:dyDescent="0.25">
      <c r="A70" t="s">
        <v>169</v>
      </c>
    </row>
    <row r="71" spans="1:1" x14ac:dyDescent="0.25">
      <c r="A71" t="s">
        <v>170</v>
      </c>
    </row>
    <row r="72" spans="1:1" x14ac:dyDescent="0.25">
      <c r="A72" t="s">
        <v>171</v>
      </c>
    </row>
    <row r="73" spans="1:1" x14ac:dyDescent="0.25">
      <c r="A73" t="s">
        <v>172</v>
      </c>
    </row>
    <row r="74" spans="1:1" x14ac:dyDescent="0.25">
      <c r="A7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Profits</vt:lpstr>
      <vt:lpstr>Volatility</vt:lpstr>
      <vt:lpstr>pairs</vt:lpstr>
      <vt:lpstr>pairs (2)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felicini</dc:creator>
  <cp:lastModifiedBy>gcaglion</cp:lastModifiedBy>
  <dcterms:created xsi:type="dcterms:W3CDTF">2014-02-26T17:23:47Z</dcterms:created>
  <dcterms:modified xsi:type="dcterms:W3CDTF">2014-06-16T08:10:15Z</dcterms:modified>
</cp:coreProperties>
</file>