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nchoEDUCIAA_WIFI_BLT" sheetId="1" r:id="rId1"/>
  </sheets>
  <definedNames>
    <definedName name="BoardQty">'PonchoEDUCIAA_WIFI_BLT'!$I$1</definedName>
    <definedName name="digikey_part_data">'PonchoEDUCIAA_WIFI_BLT'!$J$5:$O$24</definedName>
    <definedName name="farnell_part_data">'PonchoEDUCIAA_WIFI_BLT'!$P$5:$U$24</definedName>
    <definedName name="global_part_data">'PonchoEDUCIAA_WIFI_BLT'!$A$5:$I$24</definedName>
    <definedName name="mouser_part_data">'PonchoEDUCIAA_WIFI_BLT'!$V$5:$AA$24</definedName>
    <definedName name="newark_part_data">'PonchoEDUCIAA_WIFI_BLT'!$AB$5:$AG$24</definedName>
    <definedName name="rs_part_data">'PonchoEDUCIAA_WIFI_BLT'!$AH$5:$AM$24</definedName>
    <definedName name="TotalCost">'PonchoEDUCIAA_WIFI_BLT'!$I$2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<sst xmlns="http://schemas.openxmlformats.org/spreadsheetml/2006/main" count="299" uniqueCount="184">
  <si>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</si>
  <si>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</si>
  <si>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</si>
  <si>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</si>
  <si>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</si>
  <si>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</si>
  <si>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</si>
  <si>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</si>
  <si>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</si>
  <si>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</si>
  <si>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U1</t>
  </si>
  <si>
    <t>ESP32-WROOM</t>
  </si>
  <si>
    <t>TXRX MOD BLE WIFI ESP-WROOM-32</t>
  </si>
  <si>
    <t>PonchoEDUCIAA_WIFI_BLTH:ESP32-WROOM</t>
  </si>
  <si>
    <t>Adafruit Industries LLC</t>
  </si>
  <si>
    <t>3320</t>
  </si>
  <si>
    <t>XA1</t>
  </si>
  <si>
    <t>Conn_Poncho2P_2x_20x2</t>
  </si>
  <si>
    <t>CONN HDR 1.27MM VERT AU 20POS</t>
  </si>
  <si>
    <t>PonchoEDUCIAA_WIFI_BLTH:Conn_Poncho_Derecha</t>
  </si>
  <si>
    <t>Harwin Inc.</t>
  </si>
  <si>
    <t>M50-3501042</t>
  </si>
  <si>
    <t>R1,R4,R5</t>
  </si>
  <si>
    <t>402</t>
  </si>
  <si>
    <t>RES SMD 402 OHM 1% 1/8W 0805</t>
  </si>
  <si>
    <t>Resistors_SMD:R_0805_HandSoldering</t>
  </si>
  <si>
    <t>Yageo</t>
  </si>
  <si>
    <t>RC0805FR-07402RL</t>
  </si>
  <si>
    <t>D2</t>
  </si>
  <si>
    <t>LED_Verde</t>
  </si>
  <si>
    <t>LED 5MM VERT HE DIFF GRN PC MNT</t>
  </si>
  <si>
    <t>LEDs:LED_0402</t>
  </si>
  <si>
    <t>Dialight</t>
  </si>
  <si>
    <t>5612201050F</t>
  </si>
  <si>
    <t>D3</t>
  </si>
  <si>
    <t>LED_Amarillo</t>
  </si>
  <si>
    <t>LED 5MM 5V VERTICAL YELLOW PCMNT</t>
  </si>
  <si>
    <t>5500804F</t>
  </si>
  <si>
    <t>D1</t>
  </si>
  <si>
    <t>LED_Rojo</t>
  </si>
  <si>
    <t>LED 5MM 5V VERTICAL RED PC MNT</t>
  </si>
  <si>
    <t>5500504F</t>
  </si>
  <si>
    <t>J1</t>
  </si>
  <si>
    <t>UART</t>
  </si>
  <si>
    <t>CONN HEADER 3POS .100 VERT TIN</t>
  </si>
  <si>
    <t>PonchoEDUCIAA_WIFI_BLTH:CON_PALETA_3</t>
  </si>
  <si>
    <t>Molex, LLC</t>
  </si>
  <si>
    <t>0022272031</t>
  </si>
  <si>
    <t>C3</t>
  </si>
  <si>
    <t>1nF</t>
  </si>
  <si>
    <t>100pF Â±5% 50V Ceramic Capacitor C0G, NP0 0402 (1005 Metric)</t>
  </si>
  <si>
    <t>Capacitors_SMD:C_0603_HandSoldering</t>
  </si>
  <si>
    <t>Murata Electronics North America</t>
  </si>
  <si>
    <t>GRM1555C1H101JA01D</t>
  </si>
  <si>
    <t>C2</t>
  </si>
  <si>
    <t>10uF</t>
  </si>
  <si>
    <t>10ÂµF Â±10% 6.3V Ceramic Capacitor X5R 0805 (2012 Metric)</t>
  </si>
  <si>
    <t>GRM219R60J106KE19D</t>
  </si>
  <si>
    <t>C1</t>
  </si>
  <si>
    <t>0,1uF</t>
  </si>
  <si>
    <t>0.1ÂµF Â±10% 6.3V Ceramic Capacitor X5R 0201 (0603 Metric)</t>
  </si>
  <si>
    <t>AVX Corporation</t>
  </si>
  <si>
    <t>02016D104KAT2A</t>
  </si>
  <si>
    <t>R3,R6</t>
  </si>
  <si>
    <t>470</t>
  </si>
  <si>
    <t>RES SMD 470 OHM 1% 1/8W 0805</t>
  </si>
  <si>
    <t>RC0805FR-07470RL</t>
  </si>
  <si>
    <t>R2</t>
  </si>
  <si>
    <t>10k</t>
  </si>
  <si>
    <t>RES SMD 10K OHM 0.1% 1/8W 0805</t>
  </si>
  <si>
    <t>Panasonic Electronic Components</t>
  </si>
  <si>
    <t>ERA-6AEB103V</t>
  </si>
  <si>
    <t>C4</t>
  </si>
  <si>
    <t>0,1nF</t>
  </si>
  <si>
    <t>10pF Â±5% 50V Ceramic Capacitor C0G, NP0 0402 (1005 Metric)</t>
  </si>
  <si>
    <t>GRM1555C1H100JA01D</t>
  </si>
  <si>
    <t>C5</t>
  </si>
  <si>
    <t>100pF Â±5% 10V Ceramic Capacitor C0G, NP0 0201 (0603 Metric)</t>
  </si>
  <si>
    <t>0201ZA101JAT2A</t>
  </si>
  <si>
    <t>R7,R8</t>
  </si>
  <si>
    <t>5k</t>
  </si>
  <si>
    <t>RES SMD 5K OHM 1% 1/8W 0805</t>
  </si>
  <si>
    <t>Vishay Dale</t>
  </si>
  <si>
    <t>CRCW08055K00FKTA</t>
  </si>
  <si>
    <t>SW1</t>
  </si>
  <si>
    <t>Reset</t>
  </si>
  <si>
    <t>SWITCH PUSH SPST-NO 0.1A 32V</t>
  </si>
  <si>
    <t>Buttons_Switches_THT:SW_PUSH_6mm</t>
  </si>
  <si>
    <t>C&amp;K</t>
  </si>
  <si>
    <t>D6C90 F1 LFS</t>
  </si>
  <si>
    <t>SW2</t>
  </si>
  <si>
    <t>Boot</t>
  </si>
  <si>
    <t>SWITCH SLIDE DPDT 300MA 6V</t>
  </si>
  <si>
    <t>Buttons_Switches_THT:SW_Micro_SPST</t>
  </si>
  <si>
    <t>JS202011CQN</t>
  </si>
  <si>
    <t>F1-F3</t>
  </si>
  <si>
    <t>FIDUCIAL</t>
  </si>
  <si>
    <t>PonchoEDUCIAA_WIFI_BLTH:Fiducial_1mm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</si>
  <si>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</si>
  <si>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</si>
  <si>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</si>
  <si>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</si>
  <si>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</si>
  <si>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</si>
  <si>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</si>
  <si>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</si>
  <si>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</si>
  <si>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1528-1801-ND</t>
  </si>
  <si>
    <t>952-1386-ND</t>
  </si>
  <si>
    <t>311-402CRCT-ND</t>
  </si>
  <si>
    <t>350-2814-ND</t>
  </si>
  <si>
    <t>350-1615-ND</t>
  </si>
  <si>
    <t>350-1608-ND</t>
  </si>
  <si>
    <t>WM4112-ND</t>
  </si>
  <si>
    <t>490-5922-1-ND</t>
  </si>
  <si>
    <t>490-3340-1-ND</t>
  </si>
  <si>
    <t>478-5266-1-ND</t>
  </si>
  <si>
    <t>311-470CRCT-ND</t>
  </si>
  <si>
    <t>P10KDACT-ND</t>
  </si>
  <si>
    <t>490-5921-1-ND</t>
  </si>
  <si>
    <t>478-1026-1-ND</t>
  </si>
  <si>
    <t>CRCW08055K00FKTA-ND</t>
  </si>
  <si>
    <t>401-1969-ND</t>
  </si>
  <si>
    <t>401-2001-ND</t>
  </si>
  <si>
    <t>Farnell</t>
  </si>
  <si>
    <t>1654365</t>
  </si>
  <si>
    <t>1022306</t>
  </si>
  <si>
    <t>9731156</t>
  </si>
  <si>
    <t>2218836</t>
  </si>
  <si>
    <t>1845738</t>
  </si>
  <si>
    <t>1657913</t>
  </si>
  <si>
    <t>9237445</t>
  </si>
  <si>
    <t>1577673</t>
  </si>
  <si>
    <t>2218834</t>
  </si>
  <si>
    <t>2616759</t>
  </si>
  <si>
    <t>1201381</t>
  </si>
  <si>
    <t>2320018</t>
  </si>
  <si>
    <t>Mouser</t>
  </si>
  <si>
    <t>485-3320</t>
  </si>
  <si>
    <t>855-M50-3501042</t>
  </si>
  <si>
    <t>603-RC0805FR-07402RL</t>
  </si>
  <si>
    <t>645-561-2201-050F</t>
  </si>
  <si>
    <t>645-550-0804F</t>
  </si>
  <si>
    <t>645-550-0504F</t>
  </si>
  <si>
    <t>538-22-27-2031</t>
  </si>
  <si>
    <t>81-GRM1555C1H101JA1D</t>
  </si>
  <si>
    <t>81-GRM219R60J106KE9D</t>
  </si>
  <si>
    <t>581-02016D104KAT2A</t>
  </si>
  <si>
    <t>603-RC0805FR-07470RL</t>
  </si>
  <si>
    <t>667-ERA-6AEB103V</t>
  </si>
  <si>
    <t>81-GRM1555C1H100JA1D</t>
  </si>
  <si>
    <t>581-0201ZA101JAT2A</t>
  </si>
  <si>
    <t>71-CRCW08055K60JNEB</t>
  </si>
  <si>
    <t>611-D6C90F1LFS</t>
  </si>
  <si>
    <t>611-JS202011CQN</t>
  </si>
  <si>
    <t>Newark</t>
  </si>
  <si>
    <t>92N3664</t>
  </si>
  <si>
    <t>74K2300</t>
  </si>
  <si>
    <t>66R3296</t>
  </si>
  <si>
    <t>30K3275</t>
  </si>
  <si>
    <t>87M2237</t>
  </si>
  <si>
    <t>13T6895</t>
  </si>
  <si>
    <t>03AC2607</t>
  </si>
  <si>
    <t>03AC2742</t>
  </si>
  <si>
    <t>85K9474</t>
  </si>
  <si>
    <t>89K7298</t>
  </si>
  <si>
    <t>08N2142</t>
  </si>
  <si>
    <t>48W5737</t>
  </si>
  <si>
    <t>55J0850</t>
  </si>
  <si>
    <t>49H8224</t>
  </si>
  <si>
    <t>99R3435</t>
  </si>
  <si>
    <t>95W3255</t>
  </si>
  <si>
    <t>Rs Components</t>
  </si>
  <si>
    <t>463-151</t>
  </si>
  <si>
    <t>681-1193</t>
  </si>
  <si>
    <t>546-0700</t>
  </si>
  <si>
    <t>546-0687</t>
  </si>
  <si>
    <t>723-5363</t>
  </si>
  <si>
    <t>723-6363</t>
  </si>
  <si>
    <t>698-2995</t>
  </si>
  <si>
    <t>618-2546</t>
  </si>
  <si>
    <t>565-948</t>
  </si>
  <si>
    <t>776-9194</t>
  </si>
  <si>
    <t>102-327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</si>
</sst>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1528-1801-ND%20" TargetMode="External"/><Relationship Id="rId2" Type="http://schemas.openxmlformats.org/officeDocument/2006/relationships/hyperlink" Target="http://it.farnell.com/capital-advanced/33206/connettore-adattatore-smd-ic/dp/1654365" TargetMode="External"/><Relationship Id="rId3" Type="http://schemas.openxmlformats.org/officeDocument/2006/relationships/hyperlink" Target="http://www.mouser.com/Search/Refine.aspx?Keyword=485-3320%20" TargetMode="External"/><Relationship Id="rId4" Type="http://schemas.openxmlformats.org/officeDocument/2006/relationships/hyperlink" Target="http://www.newark.com/aven/3320/scissor-kevlar-5in/dp/92N3664" TargetMode="External"/><Relationship Id="rId5" Type="http://schemas.openxmlformats.org/officeDocument/2006/relationships/hyperlink" Target="http://it.rs-online.com/web/p/amplificatori-operazionali/0463151/" TargetMode="External"/><Relationship Id="rId6" Type="http://schemas.openxmlformats.org/officeDocument/2006/relationships/hyperlink" Target="http://www.digikey.com/scripts/DkSearch/dksus.dll?WT.z_header=search_go&amp;lang=en&amp;keywords=952-1386-ND%20" TargetMode="External"/><Relationship Id="rId7" Type="http://schemas.openxmlformats.org/officeDocument/2006/relationships/hyperlink" Target="http://it.farnell.com/webapp/wcs/stores/servlet/Search?catalogId=15001&amp;langId=-4&amp;storeId=10165&amp;gs=true&amp;st=M50-3501042%20" TargetMode="External"/><Relationship Id="rId8" Type="http://schemas.openxmlformats.org/officeDocument/2006/relationships/hyperlink" Target="http://www.mouser.com/Search/Refine.aspx?Keyword=855-M50-3501042%20" TargetMode="External"/><Relationship Id="rId9" Type="http://schemas.openxmlformats.org/officeDocument/2006/relationships/hyperlink" Target="http://www.newark.com/webapp/wcs/stores/servlet/Search?catalogId=15003&amp;langId=-1&amp;storeId=10194&amp;gs=true&amp;st=M50-3501042%20" TargetMode="External"/><Relationship Id="rId10" Type="http://schemas.openxmlformats.org/officeDocument/2006/relationships/hyperlink" Target="http://it.rs-online.com/web/p/file-di-contatti-da-pcb/6811193/" TargetMode="External"/><Relationship Id="rId11" Type="http://schemas.openxmlformats.org/officeDocument/2006/relationships/hyperlink" Target="http://www.digikey.com/scripts/DkSearch/dksus.dll?WT.z_header=search_go&amp;lang=en&amp;keywords=311-402CRCT-ND%20" TargetMode="External"/><Relationship Id="rId12" Type="http://schemas.openxmlformats.org/officeDocument/2006/relationships/hyperlink" Target="http://www.mouser.com/Search/Refine.aspx?Keyword=603-RC0805FR-07402RL%20" TargetMode="External"/><Relationship Id="rId13" Type="http://schemas.openxmlformats.org/officeDocument/2006/relationships/hyperlink" Target="http://www.newark.com/webapp/wcs/stores/servlet/Search?catalogId=15003&amp;langId=-1&amp;storeId=10194&amp;gs=true&amp;st=RC0805FR-07402RL%20" TargetMode="External"/><Relationship Id="rId14" Type="http://schemas.openxmlformats.org/officeDocument/2006/relationships/hyperlink" Target="http://www.digikey.com/scripts/DkSearch/dksus.dll?WT.z_header=search_go&amp;lang=en&amp;keywords=350-2814-ND%20" TargetMode="External"/><Relationship Id="rId15" Type="http://schemas.openxmlformats.org/officeDocument/2006/relationships/hyperlink" Target="http://www.mouser.com/Search/Refine.aspx?Keyword=645-561-2201-050F%20" TargetMode="External"/><Relationship Id="rId16" Type="http://schemas.openxmlformats.org/officeDocument/2006/relationships/hyperlink" Target="http://www.newark.com/webapp/wcs/stores/servlet/Search?catalogId=15003&amp;langId=-1&amp;storeId=10194&amp;gs=true&amp;st=5612201050F%20" TargetMode="External"/><Relationship Id="rId17" Type="http://schemas.openxmlformats.org/officeDocument/2006/relationships/hyperlink" Target="http://www.digikey.com/scripts/DkSearch/dksus.dll?WT.z_header=search_go&amp;lang=en&amp;keywords=350-1615-ND%20" TargetMode="External"/><Relationship Id="rId18" Type="http://schemas.openxmlformats.org/officeDocument/2006/relationships/hyperlink" Target="http://www.mouser.com/Search/Refine.aspx?Keyword=645-550-0804F%20" TargetMode="External"/><Relationship Id="rId19" Type="http://schemas.openxmlformats.org/officeDocument/2006/relationships/hyperlink" Target="http://www.newark.com/webapp/wcs/stores/servlet/Search?catalogId=15003&amp;langId=-1&amp;storeId=10194&amp;gs=true&amp;st=5500804F%20" TargetMode="External"/><Relationship Id="rId20" Type="http://schemas.openxmlformats.org/officeDocument/2006/relationships/hyperlink" Target="http://it.rs-online.com/web/c/?searchTerm=5500804F%20Dialight" TargetMode="External"/><Relationship Id="rId21" Type="http://schemas.openxmlformats.org/officeDocument/2006/relationships/hyperlink" Target="http://www.digikey.com/scripts/DkSearch/dksus.dll?WT.z_header=search_go&amp;lang=en&amp;keywords=350-1608-ND%20" TargetMode="External"/><Relationship Id="rId22" Type="http://schemas.openxmlformats.org/officeDocument/2006/relationships/hyperlink" Target="http://www.mouser.com/Search/Refine.aspx?Keyword=645-550-0504F%20" TargetMode="External"/><Relationship Id="rId23" Type="http://schemas.openxmlformats.org/officeDocument/2006/relationships/hyperlink" Target="http://it.rs-online.com/web/c/?searchTerm=5500504F%20Dialight" TargetMode="External"/><Relationship Id="rId24" Type="http://schemas.openxmlformats.org/officeDocument/2006/relationships/hyperlink" Target="http://www.digikey.com/scripts/DkSearch/dksus.dll?WT.z_header=search_go&amp;lang=en&amp;keywords=WM4112-ND%20" TargetMode="External"/><Relationship Id="rId25" Type="http://schemas.openxmlformats.org/officeDocument/2006/relationships/hyperlink" Target="http://it.farnell.com/webapp/wcs/stores/servlet/Search?catalogId=15001&amp;langId=-4&amp;storeId=10165&amp;gs=true&amp;st=0022272031%20" TargetMode="External"/><Relationship Id="rId26" Type="http://schemas.openxmlformats.org/officeDocument/2006/relationships/hyperlink" Target="http://www.mouser.com/Search/Refine.aspx?Keyword=538-22-27-2031%20" TargetMode="External"/><Relationship Id="rId27" Type="http://schemas.openxmlformats.org/officeDocument/2006/relationships/hyperlink" Target="http://www.newark.com/webapp/wcs/stores/servlet/Search?catalogId=15003&amp;langId=-1&amp;storeId=10194&amp;gs=true&amp;st=0022272031%20" TargetMode="External"/><Relationship Id="rId28" Type="http://schemas.openxmlformats.org/officeDocument/2006/relationships/hyperlink" Target="http://www.digikey.com/scripts/DkSearch/dksus.dll?WT.z_header=search_go&amp;lang=en&amp;keywords=490-5922-1-ND%20" TargetMode="External"/><Relationship Id="rId29" Type="http://schemas.openxmlformats.org/officeDocument/2006/relationships/hyperlink" Target="http://it.farnell.com/murata/grm1555c1h101ja01d/conden-mlcc-c0g-np0-100pf-50v/dp/2218836" TargetMode="External"/><Relationship Id="rId30" Type="http://schemas.openxmlformats.org/officeDocument/2006/relationships/hyperlink" Target="http://www.mouser.com/Search/../ProductDetail/Murata-Electronics/GRM1555C1H101JA01D/?qs=sGAEpiMZZMs0AnBnWHyRQJFx1SN4r7R8Xw62l%2fYXpfk%3d" TargetMode="External"/><Relationship Id="rId31" Type="http://schemas.openxmlformats.org/officeDocument/2006/relationships/hyperlink" Target="http://www.newark.com/murata/grm1555c1h101ja01d/cap-mlcc-c0g-np0-100pf-50v-0402/dp/03AC2607" TargetMode="External"/><Relationship Id="rId32" Type="http://schemas.openxmlformats.org/officeDocument/2006/relationships/hyperlink" Target="http://it.rs-online.com/web/c/?searchTerm=GRM1555C1H101JA01D%20" TargetMode="External"/><Relationship Id="rId33" Type="http://schemas.openxmlformats.org/officeDocument/2006/relationships/hyperlink" Target="http://www.digikey.com/scripts/DkSearch/dksus.dll?WT.z_header=search_go&amp;lang=en&amp;keywords=490-3340-1-ND%20" TargetMode="External"/><Relationship Id="rId34" Type="http://schemas.openxmlformats.org/officeDocument/2006/relationships/hyperlink" Target="http://it.farnell.com/murata/grm219r60j106ke19d/condensatore-mlcc-x5r-10uf-6-3v/dp/1845738" TargetMode="External"/><Relationship Id="rId35" Type="http://schemas.openxmlformats.org/officeDocument/2006/relationships/hyperlink" Target="http://www.mouser.com/Search/Refine.aspx?Keyword=81-GRM219R60J106KE9D%20" TargetMode="External"/><Relationship Id="rId36" Type="http://schemas.openxmlformats.org/officeDocument/2006/relationships/hyperlink" Target="http://www.newark.com/murata/grm219r60j106ke19d/cap-mlcc-x5r-10uf-6-3v-0805-reel/dp/03AC2742" TargetMode="External"/><Relationship Id="rId37" Type="http://schemas.openxmlformats.org/officeDocument/2006/relationships/hyperlink" Target="http://it.rs-online.com/web/c/?searchTerm=GRM219R60J106KE19D%20" TargetMode="External"/><Relationship Id="rId38" Type="http://schemas.openxmlformats.org/officeDocument/2006/relationships/hyperlink" Target="http://www.digikey.com/scripts/DkSearch/dksus.dll?WT.z_header=search_go&amp;lang=en&amp;keywords=478-5266-1-ND%20" TargetMode="External"/><Relationship Id="rId39" Type="http://schemas.openxmlformats.org/officeDocument/2006/relationships/hyperlink" Target="http://it.farnell.com/avx/02016d104kat2a/condens-mlcc-x5r-100nf-6-3v-0201/dp/1657913" TargetMode="External"/><Relationship Id="rId40" Type="http://schemas.openxmlformats.org/officeDocument/2006/relationships/hyperlink" Target="http://www.mouser.com/Search/../ProductDetail/AVX/02016D104KAT2A/?qs=sGAEpiMZZMs0AnBnWHyRQIJdIfr9DlvBDpxtWhDftNQ%3d" TargetMode="External"/><Relationship Id="rId41" Type="http://schemas.openxmlformats.org/officeDocument/2006/relationships/hyperlink" Target="http://www.newark.com/avx/02016d104kat2a/ceramic-capacitor-0-1uf-6-3v-x5r/dp/85K9474" TargetMode="External"/><Relationship Id="rId42" Type="http://schemas.openxmlformats.org/officeDocument/2006/relationships/hyperlink" Target="http://it.rs-online.com/web/p/condensatori-ceramici-multistrato/6982995/" TargetMode="External"/><Relationship Id="rId43" Type="http://schemas.openxmlformats.org/officeDocument/2006/relationships/hyperlink" Target="http://www.digikey.com/scripts/DkSearch/dksus.dll?WT.z_header=search_go&amp;lang=en&amp;keywords=311-470CRCT-ND%20" TargetMode="External"/><Relationship Id="rId44" Type="http://schemas.openxmlformats.org/officeDocument/2006/relationships/hyperlink" Target="http://it.farnell.com/yageo-phycomp/rc0805fr-07470rl/res-film-spesso-470r-1-0-125w/dp/9237445" TargetMode="External"/><Relationship Id="rId45" Type="http://schemas.openxmlformats.org/officeDocument/2006/relationships/hyperlink" Target="http://www.mouser.com/Search/Refine.aspx?Keyword=603-RC0805FR-07470RL%20" TargetMode="External"/><Relationship Id="rId46" Type="http://schemas.openxmlformats.org/officeDocument/2006/relationships/hyperlink" Target="http://www.newark.com/yageo-phycomp/rc0805fr-07470rl/res-thick-film-470r-1-0-125w-0805/dp/89K7298" TargetMode="External"/><Relationship Id="rId47" Type="http://schemas.openxmlformats.org/officeDocument/2006/relationships/hyperlink" Target="http://it.rs-online.com/web/c/?searchTerm=RC0805FR-07470RL%20" TargetMode="External"/><Relationship Id="rId48" Type="http://schemas.openxmlformats.org/officeDocument/2006/relationships/hyperlink" Target="http://www.digikey.com/scripts/DkSearch/dksus.dll?WT.z_header=search_go&amp;lang=en&amp;keywords=P10KDACT-ND%20" TargetMode="External"/><Relationship Id="rId49" Type="http://schemas.openxmlformats.org/officeDocument/2006/relationships/hyperlink" Target="http://it.farnell.com/panasonic-electronic-components/era6aeb103v/res-film-sott-10k-0-1-0-125w-0805/dp/1577673" TargetMode="External"/><Relationship Id="rId50" Type="http://schemas.openxmlformats.org/officeDocument/2006/relationships/hyperlink" Target="http://www.mouser.com/Search/Refine.aspx?Keyword=667-ERA-6AEB103V%20" TargetMode="External"/><Relationship Id="rId51" Type="http://schemas.openxmlformats.org/officeDocument/2006/relationships/hyperlink" Target="http://www.newark.com/panasonic-electronic-components/era-6aeb103v/res-thin-film-10k-0-1-0-125w-0805/dp/08N2142" TargetMode="External"/><Relationship Id="rId52" Type="http://schemas.openxmlformats.org/officeDocument/2006/relationships/hyperlink" Target="http://it.rs-online.com/web/p/resistori-smd/0565948/" TargetMode="External"/><Relationship Id="rId53" Type="http://schemas.openxmlformats.org/officeDocument/2006/relationships/hyperlink" Target="http://www.digikey.com/scripts/DkSearch/dksus.dll?WT.z_header=search_go&amp;lang=en&amp;keywords=490-5921-1-ND%20" TargetMode="External"/><Relationship Id="rId54" Type="http://schemas.openxmlformats.org/officeDocument/2006/relationships/hyperlink" Target="http://it.farnell.com/murata/grm1555c1h100ja01d/condens-mlcc-c0g-np0-10pf-50v/dp/2218834" TargetMode="External"/><Relationship Id="rId55" Type="http://schemas.openxmlformats.org/officeDocument/2006/relationships/hyperlink" Target="http://www.mouser.com/Search/../ProductDetail/Murata-Electronics/GRM1555C1H100JA01D/?qs=sGAEpiMZZMs0AnBnWHyRQJFx1SN4r7R8HJwuX8Z4D6k%3d" TargetMode="External"/><Relationship Id="rId56" Type="http://schemas.openxmlformats.org/officeDocument/2006/relationships/hyperlink" Target="http://www.newark.com/murata/grm1555c1h100ja01d/cap-mlcc-c0g-np0-10pf-50v-0402/dp/48W5737" TargetMode="External"/><Relationship Id="rId57" Type="http://schemas.openxmlformats.org/officeDocument/2006/relationships/hyperlink" Target="http://it.rs-online.com/web/c/?searchTerm=GRM1555C1H100JA01D%20" TargetMode="External"/><Relationship Id="rId58" Type="http://schemas.openxmlformats.org/officeDocument/2006/relationships/hyperlink" Target="http://www.digikey.com/scripts/DkSearch/dksus.dll?WT.z_header=search_go&amp;lang=en&amp;keywords=478-1026-1-ND%20" TargetMode="External"/><Relationship Id="rId59" Type="http://schemas.openxmlformats.org/officeDocument/2006/relationships/hyperlink" Target="http://www.mouser.com/Search/Refine.aspx?Keyword=581-0201ZA101JAT2A%20" TargetMode="External"/><Relationship Id="rId60" Type="http://schemas.openxmlformats.org/officeDocument/2006/relationships/hyperlink" Target="http://www.newark.com/avx/0201za101jat2a/ceramic-capacitor-100pf-10v-c0g/dp/55J0850" TargetMode="External"/><Relationship Id="rId61" Type="http://schemas.openxmlformats.org/officeDocument/2006/relationships/hyperlink" Target="http://www.digikey.com/scripts/DkSearch/dksus.dll?WT.z_header=search_go&amp;lang=en&amp;keywords=CRCW08055K00FKTA-ND%20" TargetMode="External"/><Relationship Id="rId62" Type="http://schemas.openxmlformats.org/officeDocument/2006/relationships/hyperlink" Target="http://it.farnell.com/vishay/crcw08055k00fkta/res-aec-q200-pell-spessa-5k-0805/dp/2616759" TargetMode="External"/><Relationship Id="rId63" Type="http://schemas.openxmlformats.org/officeDocument/2006/relationships/hyperlink" Target="http://www.mouser.com/Search/../ProductDetail/Vishay/CRCW08055K60JNEB/?qs=sGAEpiMZZMu61qfTUdNhG2DpbjADlD3GKSW6fDLbWDY%3d" TargetMode="External"/><Relationship Id="rId64" Type="http://schemas.openxmlformats.org/officeDocument/2006/relationships/hyperlink" Target="http://www.newark.com/vishay/crcw08055k00fkta/res-thick-film-5k-1-0-125w-0805/dp/49H8224" TargetMode="External"/><Relationship Id="rId65" Type="http://schemas.openxmlformats.org/officeDocument/2006/relationships/hyperlink" Target="http://www.digikey.com/scripts/DkSearch/dksus.dll?WT.z_header=search_go&amp;lang=en&amp;keywords=401-1969-ND%20" TargetMode="External"/><Relationship Id="rId66" Type="http://schemas.openxmlformats.org/officeDocument/2006/relationships/hyperlink" Target="http://it.farnell.com/webapp/wcs/stores/servlet/Search?catalogId=15001&amp;langId=-4&amp;storeId=10165&amp;gs=true&amp;st=D6C90%20F1%20LFS%20" TargetMode="External"/><Relationship Id="rId67" Type="http://schemas.openxmlformats.org/officeDocument/2006/relationships/hyperlink" Target="http://www.mouser.com/Search/Refine.aspx?Keyword=611-D6C90F1LFS%20" TargetMode="External"/><Relationship Id="rId68" Type="http://schemas.openxmlformats.org/officeDocument/2006/relationships/hyperlink" Target="http://www.newark.com/webapp/wcs/stores/servlet/Search?catalogId=15003&amp;langId=-1&amp;storeId=10194&amp;gs=true&amp;st=D6C90%20F1%20LFS%20" TargetMode="External"/><Relationship Id="rId69" Type="http://schemas.openxmlformats.org/officeDocument/2006/relationships/hyperlink" Target="http://it.rs-online.com/web/c/?searchTerm=D6C90%20F1%20LFS%20" TargetMode="External"/><Relationship Id="rId70" Type="http://schemas.openxmlformats.org/officeDocument/2006/relationships/hyperlink" Target="http://www.digikey.com/scripts/DkSearch/dksus.dll?WT.z_header=search_go&amp;lang=en&amp;keywords=401-2001-ND%20C%26K" TargetMode="External"/><Relationship Id="rId71" Type="http://schemas.openxmlformats.org/officeDocument/2006/relationships/hyperlink" Target="http://it.farnell.com/webapp/wcs/stores/servlet/Search?catalogId=15001&amp;langId=-4&amp;storeId=10165&amp;gs=true&amp;st=JS202011CQN%20C%26K" TargetMode="External"/><Relationship Id="rId72" Type="http://schemas.openxmlformats.org/officeDocument/2006/relationships/hyperlink" Target="http://www.mouser.com/Search/Refine.aspx?Keyword=611-JS202011CQN%20C%26K" TargetMode="External"/><Relationship Id="rId73" Type="http://schemas.openxmlformats.org/officeDocument/2006/relationships/hyperlink" Target="http://www.newark.com/webapp/wcs/stores/servlet/Search?catalogId=15003&amp;langId=-1&amp;storeId=10194&amp;gs=true&amp;st=JS202011CQN%20C%26K" TargetMode="External"/><Relationship Id="rId74" Type="http://schemas.openxmlformats.org/officeDocument/2006/relationships/vmlDrawing" Target="../drawings/vmlDrawing1.vml"/><Relationship Id="rId7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98</v>
      </c>
      <c r="I1" s="2">
        <v>100</v>
      </c>
    </row>
    <row r="2" spans="1:39">
      <c r="H2" s="3" t="s">
        <v>99</v>
      </c>
      <c r="I2" s="4">
        <f>sum(I7:I24)</f>
        <v>0</v>
      </c>
      <c r="M2" s="4">
        <f>sum(M7:M24)</f>
        <v>0</v>
      </c>
      <c r="S2" s="4">
        <f>sum(S7:S24)</f>
        <v>0</v>
      </c>
      <c r="Y2" s="4">
        <f>sum(Y7:Y24)</f>
        <v>0</v>
      </c>
      <c r="AE2" s="4">
        <f>sum(AE7:AE24)</f>
        <v>0</v>
      </c>
      <c r="AK2" s="4">
        <f>sum(AK7:AK24)</f>
        <v>0</v>
      </c>
    </row>
    <row r="3" spans="1:39">
      <c r="H3" s="3" t="s">
        <v>100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101</v>
      </c>
      <c r="K5" s="7"/>
      <c r="L5" s="7"/>
      <c r="M5" s="7"/>
      <c r="N5" s="7"/>
      <c r="O5" s="7"/>
      <c r="P5" s="8" t="s">
        <v>124</v>
      </c>
      <c r="Q5" s="8"/>
      <c r="R5" s="8"/>
      <c r="S5" s="8"/>
      <c r="T5" s="8"/>
      <c r="U5" s="8"/>
      <c r="V5" s="9" t="s">
        <v>137</v>
      </c>
      <c r="W5" s="9"/>
      <c r="X5" s="9"/>
      <c r="Y5" s="9"/>
      <c r="Z5" s="9"/>
      <c r="AA5" s="9"/>
      <c r="AB5" s="10" t="s">
        <v>155</v>
      </c>
      <c r="AC5" s="10"/>
      <c r="AD5" s="10"/>
      <c r="AE5" s="10"/>
      <c r="AF5" s="10"/>
      <c r="AG5" s="10"/>
      <c r="AH5" s="11" t="s">
        <v>172</v>
      </c>
      <c r="AI5" s="11"/>
      <c r="AJ5" s="11"/>
      <c r="AK5" s="11"/>
      <c r="AL5" s="11"/>
      <c r="AM5" s="11"/>
    </row>
    <row r="6" spans="1:39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102</v>
      </c>
      <c r="K6" s="12" t="s">
        <v>103</v>
      </c>
      <c r="L6" s="12" t="s">
        <v>8</v>
      </c>
      <c r="M6" s="12" t="s">
        <v>9</v>
      </c>
      <c r="N6" s="12" t="s">
        <v>104</v>
      </c>
      <c r="O6" s="12" t="s">
        <v>105</v>
      </c>
      <c r="P6" s="12" t="s">
        <v>102</v>
      </c>
      <c r="Q6" s="12" t="s">
        <v>103</v>
      </c>
      <c r="R6" s="12" t="s">
        <v>8</v>
      </c>
      <c r="S6" s="12" t="s">
        <v>9</v>
      </c>
      <c r="T6" s="12" t="s">
        <v>104</v>
      </c>
      <c r="U6" s="12" t="s">
        <v>105</v>
      </c>
      <c r="V6" s="12" t="s">
        <v>102</v>
      </c>
      <c r="W6" s="12" t="s">
        <v>103</v>
      </c>
      <c r="X6" s="12" t="s">
        <v>8</v>
      </c>
      <c r="Y6" s="12" t="s">
        <v>9</v>
      </c>
      <c r="Z6" s="12" t="s">
        <v>104</v>
      </c>
      <c r="AA6" s="12" t="s">
        <v>105</v>
      </c>
      <c r="AB6" s="12" t="s">
        <v>102</v>
      </c>
      <c r="AC6" s="12" t="s">
        <v>103</v>
      </c>
      <c r="AD6" s="12" t="s">
        <v>8</v>
      </c>
      <c r="AE6" s="12" t="s">
        <v>9</v>
      </c>
      <c r="AF6" s="12" t="s">
        <v>104</v>
      </c>
      <c r="AG6" s="12" t="s">
        <v>105</v>
      </c>
      <c r="AH6" s="12" t="s">
        <v>102</v>
      </c>
      <c r="AI6" s="12" t="s">
        <v>103</v>
      </c>
      <c r="AJ6" s="12" t="s">
        <v>8</v>
      </c>
      <c r="AK6" s="12" t="s">
        <v>9</v>
      </c>
      <c r="AL6" s="12" t="s">
        <v>104</v>
      </c>
      <c r="AM6" s="12" t="s">
        <v>105</v>
      </c>
    </row>
    <row r="7" spans="1:3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f>BoardQty*1</f>
        <v>0</v>
      </c>
      <c r="H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7" s="13">
        <f>iferror(G7*H7,"")</f>
        <v>0</v>
      </c>
      <c r="J7">
        <v>5</v>
      </c>
      <c r="L7" s="13">
        <f>iferror(lookup(if(K7="",G7,K7),{0,1},{0.0,8.95}),"")</f>
        <v>0</v>
      </c>
      <c r="M7" s="13">
        <f>iferror(if(K7="",G7,K7)*L7,"")</f>
        <v>0</v>
      </c>
      <c r="N7" t="s">
        <v>107</v>
      </c>
      <c r="O7" s="14" t="s">
        <v>106</v>
      </c>
      <c r="R7" s="13">
        <f>iferror(lookup(if(Q7="",G7,Q7),{0,1,5,15,25,75,150,250,500},{0.0,1.7752099999999997,1.62639,1.4775699999999998,1.43505,1.39253,1.35001,1.33938,1.31812}),"")</f>
        <v>0</v>
      </c>
      <c r="S7" s="13">
        <f>iferror(if(Q7="",G7,Q7)*R7,"")</f>
        <v>0</v>
      </c>
      <c r="T7" t="s">
        <v>125</v>
      </c>
      <c r="U7" s="14" t="s">
        <v>106</v>
      </c>
      <c r="V7">
        <v>7</v>
      </c>
      <c r="X7" s="13">
        <f>iferror(lookup(if(W7="",G7,W7),{0,1,10},{0.0,8.97,8.08}),"")</f>
        <v>0</v>
      </c>
      <c r="Y7" s="13">
        <f>iferror(if(W7="",G7,W7)*X7,"")</f>
        <v>0</v>
      </c>
      <c r="Z7" t="s">
        <v>138</v>
      </c>
      <c r="AA7" s="14" t="s">
        <v>106</v>
      </c>
      <c r="AF7" t="s">
        <v>156</v>
      </c>
      <c r="AG7" s="14" t="s">
        <v>106</v>
      </c>
      <c r="AH7">
        <v>60</v>
      </c>
      <c r="AL7" t="s">
        <v>173</v>
      </c>
      <c r="AM7" s="14" t="s">
        <v>106</v>
      </c>
    </row>
    <row r="8" spans="1:39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>
        <f>BoardQty*1</f>
        <v>0</v>
      </c>
      <c r="H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8" s="13">
        <f>iferror(G8*H8,"")</f>
        <v>0</v>
      </c>
      <c r="J8">
        <v>2552</v>
      </c>
      <c r="L8" s="13">
        <f>iferror(lookup(if(K8="",G8,K8),{0,1,10,100,500,1000,5000,10000},{0.0,2.0,1.815,1.5561,1.29676,1.1115,0.98553,0.9633}),"")</f>
        <v>0</v>
      </c>
      <c r="M8" s="13">
        <f>iferror(if(K8="",G8,K8)*L8,"")</f>
        <v>0</v>
      </c>
      <c r="N8" t="s">
        <v>108</v>
      </c>
      <c r="O8" s="14" t="s">
        <v>106</v>
      </c>
      <c r="R8" s="13">
        <f>iferror(lookup(if(Q8="",G8,Q8),{0,1,5,50,100,250,500,1000,2500},{0.0,1.63702,1.63702,1.5945,1.55198,1.40316,1.29686,1.11615,0.98859}),"")</f>
        <v>0</v>
      </c>
      <c r="S8" s="13">
        <f>iferror(if(Q8="",G8,Q8)*R8,"")</f>
        <v>0</v>
      </c>
      <c r="T8" t="s">
        <v>126</v>
      </c>
      <c r="U8" s="14" t="s">
        <v>106</v>
      </c>
      <c r="V8">
        <v>3558</v>
      </c>
      <c r="X8" s="13">
        <f>iferror(lookup(if(W8="",G8,W8),{0,1,10,100,250,500,1000},{0.0,2.0,1.64,1.56,1.4,1.29,1.21}),"")</f>
        <v>0</v>
      </c>
      <c r="Y8" s="13">
        <f>iferror(if(W8="",G8,W8)*X8,"")</f>
        <v>0</v>
      </c>
      <c r="Z8" t="s">
        <v>139</v>
      </c>
      <c r="AA8" s="14" t="s">
        <v>106</v>
      </c>
      <c r="AD8" s="13">
        <f>iferror(lookup(if(AC8="",G8,AC8),{0,1,10,50,100,250,500,1000,2500},{0.0,2.0,1.82,1.67,1.56,1.49,1.34,1.23,1.12}),"")</f>
        <v>0</v>
      </c>
      <c r="AE8" s="13">
        <f>iferror(if(AC8="",G8,AC8)*AD8,"")</f>
        <v>0</v>
      </c>
      <c r="AF8" t="s">
        <v>157</v>
      </c>
      <c r="AG8" s="14" t="s">
        <v>106</v>
      </c>
      <c r="AH8">
        <v>57</v>
      </c>
      <c r="AJ8" s="13">
        <f>iferror(lookup(if(AI8="",G8,AI8),{0,1,10},{0.0,1.71143,1.67954}),"")</f>
        <v>0</v>
      </c>
      <c r="AK8" s="13">
        <f>iferror(if(AI8="",G8,AI8)*AJ8,"")</f>
        <v>0</v>
      </c>
      <c r="AL8" t="s">
        <v>174</v>
      </c>
      <c r="AM8" s="14" t="s">
        <v>106</v>
      </c>
    </row>
    <row r="9" spans="1:3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>
        <f>BoardQty*3</f>
        <v>0</v>
      </c>
      <c r="H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9" s="13">
        <f>iferror(G9*H9,"")</f>
        <v>0</v>
      </c>
      <c r="J9">
        <v>101602</v>
      </c>
      <c r="L9" s="13">
        <f>iferror(lookup(if(K9="",G9,K9),{0,1,10,100,1000,2500,5000,10000,25000,50000,125000},{0.0,0.1,0.022,0.0088,0.00396,0.00344,0.00284,0.00247,0.00217,0.00199,0.00195}),"")</f>
        <v>0</v>
      </c>
      <c r="M9" s="13">
        <f>iferror(if(K9="",G9,K9)*L9,"")</f>
        <v>0</v>
      </c>
      <c r="N9" t="s">
        <v>109</v>
      </c>
      <c r="O9" s="14" t="s">
        <v>106</v>
      </c>
      <c r="V9">
        <v>47564</v>
      </c>
      <c r="X9" s="13">
        <f>iferror(lookup(if(W9="",G9,W9),{0,1,10,100,1000,5000,25000},{0.0,0.101,0.016,0.006,0.004,0.003,0.002}),"")</f>
        <v>0</v>
      </c>
      <c r="Y9" s="13">
        <f>iferror(if(W9="",G9,W9)*X9,"")</f>
        <v>0</v>
      </c>
      <c r="Z9" t="s">
        <v>140</v>
      </c>
      <c r="AA9" s="14" t="s">
        <v>106</v>
      </c>
      <c r="AD9" s="13">
        <f>iferror(lookup(if(AC9="",G9,AC9),{0,1,5000,10000,15000},{0.0,0.005,0.005,0.004,0.003}),"")</f>
        <v>0</v>
      </c>
      <c r="AE9" s="13">
        <f>iferror(if(AC9="",G9,AC9)*AD9,"")</f>
        <v>0</v>
      </c>
      <c r="AF9" t="s">
        <v>158</v>
      </c>
      <c r="AG9" s="14" t="s">
        <v>106</v>
      </c>
    </row>
    <row r="10" spans="1:39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>
        <f>BoardQty*1</f>
        <v>0</v>
      </c>
      <c r="H1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0" s="13">
        <f>iferror(G10*H10,"")</f>
        <v>0</v>
      </c>
      <c r="J10">
        <v>10</v>
      </c>
      <c r="L10" s="13">
        <f>iferror(lookup(if(K10="",G10,K10),{0,1,10,25,100,250,500,1000,2500,5000},{0.0,1.24,1.004,0.7724,0.6953,0.618,0.5253,0.4326,0.41097,0.4017}),"")</f>
        <v>0</v>
      </c>
      <c r="M10" s="13">
        <f>iferror(if(K10="",G10,K10)*L10,"")</f>
        <v>0</v>
      </c>
      <c r="N10" t="s">
        <v>110</v>
      </c>
      <c r="O10" s="14" t="s">
        <v>106</v>
      </c>
      <c r="V10">
        <v>1010</v>
      </c>
      <c r="X10" s="13">
        <f>iferror(lookup(if(W10="",G10,W10),{0,1,10,100,500,1000,2500,5000},{0.0,1.23,0.775,0.619,0.526,0.435,0.412,0.403}),"")</f>
        <v>0</v>
      </c>
      <c r="Y10" s="13">
        <f>iferror(if(W10="",G10,W10)*X10,"")</f>
        <v>0</v>
      </c>
      <c r="Z10" t="s">
        <v>141</v>
      </c>
      <c r="AA10" s="14" t="s">
        <v>106</v>
      </c>
      <c r="AD10" s="13">
        <f>iferror(lookup(if(AC10="",G10,AC10),{0,1,1625},{0.0,0.433,0.433}),"")</f>
        <v>0</v>
      </c>
      <c r="AE10" s="13">
        <f>iferror(if(AC10="",G10,AC10)*AD10,"")</f>
        <v>0</v>
      </c>
      <c r="AF10" t="s">
        <v>159</v>
      </c>
      <c r="AG10" s="14" t="s">
        <v>106</v>
      </c>
    </row>
    <row r="11" spans="1:39">
      <c r="A11" t="s">
        <v>34</v>
      </c>
      <c r="B11" t="s">
        <v>35</v>
      </c>
      <c r="C11" t="s">
        <v>36</v>
      </c>
      <c r="D11" t="s">
        <v>31</v>
      </c>
      <c r="E11" t="s">
        <v>32</v>
      </c>
      <c r="F11" t="s">
        <v>37</v>
      </c>
      <c r="G11">
        <f>BoardQty*1</f>
        <v>0</v>
      </c>
      <c r="H1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3">
        <f>iferror(G11*H11,"")</f>
        <v>0</v>
      </c>
      <c r="J11">
        <v>1173</v>
      </c>
      <c r="L11" s="13">
        <f>iferror(lookup(if(K11="",G11,K11),{0,1,10,25,100,250,500,1000,2500,5000},{0.0,1.75,1.42,1.0924,0.9833,0.874,0.7429,0.6118,0.58121,0.5681}),"")</f>
        <v>0</v>
      </c>
      <c r="M11" s="13">
        <f>iferror(if(K11="",G11,K11)*L11,"")</f>
        <v>0</v>
      </c>
      <c r="N11" t="s">
        <v>111</v>
      </c>
      <c r="O11" s="14" t="s">
        <v>106</v>
      </c>
      <c r="V11">
        <v>340</v>
      </c>
      <c r="X11" s="13">
        <f>iferror(lookup(if(W11="",G11,W11),{0,1,10,100,500,1000,2500,5000},{0.0,1.76,1.09,0.876,0.745,0.614,0.582,0.569}),"")</f>
        <v>0</v>
      </c>
      <c r="Y11" s="13">
        <f>iferror(if(W11="",G11,W11)*X11,"")</f>
        <v>0</v>
      </c>
      <c r="Z11" t="s">
        <v>142</v>
      </c>
      <c r="AA11" s="14" t="s">
        <v>106</v>
      </c>
      <c r="AD11" s="13">
        <f>iferror(lookup(if(AC11="",G11,AC11),{0,1,10,25,50,100,250,500,1000},{0.0,1.75,1.09,1.02,0.946,0.874,0.809,0.743,0.612}),"")</f>
        <v>0</v>
      </c>
      <c r="AE11" s="13">
        <f>iferror(if(AC11="",G11,AC11)*AD11,"")</f>
        <v>0</v>
      </c>
      <c r="AF11" t="s">
        <v>160</v>
      </c>
      <c r="AG11" s="14" t="s">
        <v>106</v>
      </c>
      <c r="AH11">
        <v>57</v>
      </c>
      <c r="AJ11" s="13">
        <f>iferror(lookup(if(AI11="",G11,AI11),{0,1,25,100,250,500},{0.0,1.3606399999999998,0.8504,0.69095,0.6271699999999999,0.57402}),"")</f>
        <v>0</v>
      </c>
      <c r="AK11" s="13">
        <f>iferror(if(AI11="",G11,AI11)*AJ11,"")</f>
        <v>0</v>
      </c>
      <c r="AL11" t="s">
        <v>175</v>
      </c>
      <c r="AM11" s="14" t="s">
        <v>106</v>
      </c>
    </row>
    <row r="12" spans="1:39">
      <c r="A12" t="s">
        <v>38</v>
      </c>
      <c r="B12" t="s">
        <v>39</v>
      </c>
      <c r="C12" t="s">
        <v>40</v>
      </c>
      <c r="D12" t="s">
        <v>31</v>
      </c>
      <c r="E12" t="s">
        <v>32</v>
      </c>
      <c r="F12" t="s">
        <v>41</v>
      </c>
      <c r="G12">
        <f>BoardQty*1</f>
        <v>0</v>
      </c>
      <c r="H1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2" s="13">
        <f>iferror(G12*H12,"")</f>
        <v>0</v>
      </c>
      <c r="J12">
        <v>992</v>
      </c>
      <c r="L12" s="13">
        <f>iferror(lookup(if(K12="",G12,K12),{0,1,10,25,100,250,500},{0.0,1.75,1.42,1.0924,0.9833,0.874,0.7429}),"")</f>
        <v>0</v>
      </c>
      <c r="M12" s="13">
        <f>iferror(if(K12="",G12,K12)*L12,"")</f>
        <v>0</v>
      </c>
      <c r="N12" t="s">
        <v>112</v>
      </c>
      <c r="O12" s="14" t="s">
        <v>106</v>
      </c>
      <c r="V12">
        <v>79</v>
      </c>
      <c r="X12" s="13">
        <f>iferror(lookup(if(W12="",G12,W12),{0,1,10,100,500,1000,2500,5000},{0.0,1.76,1.09,0.876,0.745,0.614,0.582,0.569}),"")</f>
        <v>0</v>
      </c>
      <c r="Y12" s="13">
        <f>iferror(if(W12="",G12,W12)*X12,"")</f>
        <v>0</v>
      </c>
      <c r="Z12" t="s">
        <v>143</v>
      </c>
      <c r="AA12" s="14" t="s">
        <v>106</v>
      </c>
      <c r="AH12">
        <v>22</v>
      </c>
      <c r="AJ12" s="13">
        <f>iferror(lookup(if(AI12="",G12,AI12),{0,1,25,100,250,500},{0.0,1.2437099999999999,0.77599,0.6271699999999999,0.58465,0.5315}),"")</f>
        <v>0</v>
      </c>
      <c r="AK12" s="13">
        <f>iferror(if(AI12="",G12,AI12)*AJ12,"")</f>
        <v>0</v>
      </c>
      <c r="AL12" t="s">
        <v>176</v>
      </c>
      <c r="AM12" s="14" t="s">
        <v>106</v>
      </c>
    </row>
    <row r="13" spans="1:39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>
        <f>BoardQty*1</f>
        <v>0</v>
      </c>
      <c r="H1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3" s="13">
        <f>iferror(G13*H13,"")</f>
        <v>0</v>
      </c>
      <c r="J13">
        <v>48007</v>
      </c>
      <c r="L13" s="13">
        <f>iferror(lookup(if(K13="",G13,K13),{0,1,10,25,50,100,250,500,1000,2500},{0.0,0.35,0.334,0.2864,0.2436,0.234,0.21012,0.20056,0.16713,0.1528}),"")</f>
        <v>0</v>
      </c>
      <c r="M13" s="13">
        <f>iferror(if(K13="",G13,K13)*L13,"")</f>
        <v>0</v>
      </c>
      <c r="N13" t="s">
        <v>113</v>
      </c>
      <c r="O13" s="14" t="s">
        <v>106</v>
      </c>
      <c r="R13" s="13">
        <f>iferror(lookup(if(Q13="",G13,Q13),{0,1,10,100,500,1000,2500,5000,10000},{0.0,0.243427,0.243427,0.210474,0.167954,0.15307199999999999,0.143505,0.13819,0.133938}),"")</f>
        <v>0</v>
      </c>
      <c r="S13" s="13">
        <f>iferror(if(Q13="",G13,Q13)*R13,"")</f>
        <v>0</v>
      </c>
      <c r="T13" t="s">
        <v>127</v>
      </c>
      <c r="U13" s="14" t="s">
        <v>106</v>
      </c>
      <c r="V13">
        <v>25266</v>
      </c>
      <c r="X13" s="13">
        <f>iferror(lookup(if(W13="",G13,W13),{0,1,10,100,500,1000,2500,10000,25000,50000},{0.0,0.361,0.269,0.233,0.202,0.168,0.153,0.134,0.129,0.125}),"")</f>
        <v>0</v>
      </c>
      <c r="Y13" s="13">
        <f>iferror(if(W13="",G13,W13)*X13,"")</f>
        <v>0</v>
      </c>
      <c r="Z13" t="s">
        <v>144</v>
      </c>
      <c r="AA13" s="14" t="s">
        <v>106</v>
      </c>
      <c r="AD13" s="13">
        <f>iferror(lookup(if(AC13="",G13,AC13),{0,1,10,100,500,1000,5000,10000},{0.0,0.33,0.243,0.21,0.167,0.153,0.138,0.134}),"")</f>
        <v>0</v>
      </c>
      <c r="AE13" s="13">
        <f>iferror(if(AC13="",G13,AC13)*AD13,"")</f>
        <v>0</v>
      </c>
      <c r="AF13" t="s">
        <v>161</v>
      </c>
      <c r="AG13" s="14" t="s">
        <v>106</v>
      </c>
    </row>
    <row r="14" spans="1:39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>
        <f>BoardQty*1</f>
        <v>0</v>
      </c>
      <c r="H1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4" s="13">
        <f>iferror(G14*H14,"")</f>
        <v>0</v>
      </c>
      <c r="J14">
        <v>1848285</v>
      </c>
      <c r="L14" s="13">
        <f>iferror(lookup(if(K14="",G14,K14),{0,1,10,100,500,1000,2500,5000,10000,20000,30000},{0.0,0.1,0.014,0.0062,0.00442,0.00348,0.00316,0.00291,0.00231,0.0022,0.00209}),"")</f>
        <v>0</v>
      </c>
      <c r="M14" s="13">
        <f>iferror(if(K14="",G14,K14)*L14,"")</f>
        <v>0</v>
      </c>
      <c r="N14" t="s">
        <v>114</v>
      </c>
      <c r="O14" s="14" t="s">
        <v>106</v>
      </c>
      <c r="R14" s="13">
        <f>iferror(lookup(if(Q14="",G14,Q14),{0,1,100,500,2500,5000},{0.0,0.006909499999999999,0.006909499999999999,0.0054213,0.0041456999999999996,0.0038267999999999996}),"")</f>
        <v>0</v>
      </c>
      <c r="S14" s="13">
        <f>iferror(if(Q14="",G14,Q14)*R14,"")</f>
        <v>0</v>
      </c>
      <c r="T14" t="s">
        <v>128</v>
      </c>
      <c r="U14" s="14" t="s">
        <v>106</v>
      </c>
      <c r="V14">
        <v>689964</v>
      </c>
      <c r="X14" s="13">
        <f>iferror(lookup(if(W14="",G14,W14),{0,1,10,100,500,2500,10000},{0.0,0.101,0.006,0.004,0.003,0.002,0.002}),"")</f>
        <v>0</v>
      </c>
      <c r="Y14" s="13">
        <f>iferror(if(W14="",G14,W14)*X14,"")</f>
        <v>0</v>
      </c>
      <c r="Z14" t="s">
        <v>145</v>
      </c>
      <c r="AA14" s="14" t="s">
        <v>106</v>
      </c>
      <c r="AD14" s="13">
        <f>iferror(lookup(if(AC14="",G14,AC14),{0,1,10000,20000},{0.0,0.003,0.003,0.003}),"")</f>
        <v>0</v>
      </c>
      <c r="AE14" s="13">
        <f>iferror(if(AC14="",G14,AC14)*AD14,"")</f>
        <v>0</v>
      </c>
      <c r="AF14" t="s">
        <v>162</v>
      </c>
      <c r="AG14" s="14" t="s">
        <v>106</v>
      </c>
      <c r="AH14">
        <v>1600</v>
      </c>
      <c r="AJ14" s="13">
        <f>iferror(lookup(if(AI14="",G14,AI14),{0,1,200,1000},{0.0,0.006378,0.006378,0.004252}),"")</f>
        <v>0</v>
      </c>
      <c r="AK14" s="13">
        <f>iferror(if(AI14="",G14,AI14)*AJ14,"")</f>
        <v>0</v>
      </c>
      <c r="AL14" t="s">
        <v>177</v>
      </c>
      <c r="AM14" s="14" t="s">
        <v>106</v>
      </c>
    </row>
    <row r="15" spans="1:39">
      <c r="A15" t="s">
        <v>54</v>
      </c>
      <c r="B15" t="s">
        <v>55</v>
      </c>
      <c r="C15" t="s">
        <v>56</v>
      </c>
      <c r="D15" t="s">
        <v>51</v>
      </c>
      <c r="E15" t="s">
        <v>52</v>
      </c>
      <c r="F15" t="s">
        <v>57</v>
      </c>
      <c r="G15">
        <f>BoardQty*1</f>
        <v>0</v>
      </c>
      <c r="H15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3">
        <f>iferror(G15*H15,"")</f>
        <v>0</v>
      </c>
      <c r="J15">
        <v>616770</v>
      </c>
      <c r="L15" s="13">
        <f>iferror(lookup(if(K15="",G15,K15),{0,1,10,100,500,1000,4000,8000,12000},{0.0,0.15,0.105,0.0495,0.03472,0.02875,0.02129,0.0198,0.01881}),"")</f>
        <v>0</v>
      </c>
      <c r="M15" s="13">
        <f>iferror(if(K15="",G15,K15)*L15,"")</f>
        <v>0</v>
      </c>
      <c r="N15" t="s">
        <v>115</v>
      </c>
      <c r="O15" s="14" t="s">
        <v>106</v>
      </c>
      <c r="R15" s="13">
        <f>iferror(lookup(if(Q15="",G15,Q15),{0,1,100,500,1000,2000},{0.0,0.081851,0.081851,0.066969,0.06144139999999999,0.0566579}),"")</f>
        <v>0</v>
      </c>
      <c r="S15" s="13">
        <f>iferror(if(Q15="",G15,Q15)*R15,"")</f>
        <v>0</v>
      </c>
      <c r="T15" t="s">
        <v>129</v>
      </c>
      <c r="U15" s="14" t="s">
        <v>106</v>
      </c>
      <c r="V15">
        <v>52280</v>
      </c>
      <c r="X15" s="13">
        <f>iferror(lookup(if(W15="",G15,W15),{0,1,10,100,500,1000,4000},{0.0,0.241,0.113,0.064,0.057,0.048,0.036}),"")</f>
        <v>0</v>
      </c>
      <c r="Y15" s="13">
        <f>iferror(if(W15="",G15,W15)*X15,"")</f>
        <v>0</v>
      </c>
      <c r="Z15" t="s">
        <v>146</v>
      </c>
      <c r="AA15" s="14" t="s">
        <v>106</v>
      </c>
      <c r="AD15" s="13">
        <f>iferror(lookup(if(AC15="",G15,AC15),{0,1,4000,8000,16000,24000,40000},{0.0,0.051,0.051,0.047,0.044,0.042,0.042}),"")</f>
        <v>0</v>
      </c>
      <c r="AE15" s="13">
        <f>iferror(if(AC15="",G15,AC15)*AD15,"")</f>
        <v>0</v>
      </c>
      <c r="AF15" t="s">
        <v>163</v>
      </c>
      <c r="AG15" s="14" t="s">
        <v>106</v>
      </c>
      <c r="AH15">
        <v>275</v>
      </c>
      <c r="AJ15" s="13">
        <f>iferror(lookup(if(AI15="",G15,AI15),{0,1,25,125},{0.0,0.133938,0.133938,0.090355}),"")</f>
        <v>0</v>
      </c>
      <c r="AK15" s="13">
        <f>iferror(if(AI15="",G15,AI15)*AJ15,"")</f>
        <v>0</v>
      </c>
      <c r="AL15" t="s">
        <v>178</v>
      </c>
      <c r="AM15" s="14" t="s">
        <v>106</v>
      </c>
    </row>
    <row r="16" spans="1:39">
      <c r="A16" t="s">
        <v>58</v>
      </c>
      <c r="B16" t="s">
        <v>59</v>
      </c>
      <c r="C16" t="s">
        <v>60</v>
      </c>
      <c r="D16" t="s">
        <v>51</v>
      </c>
      <c r="E16" t="s">
        <v>61</v>
      </c>
      <c r="F16" t="s">
        <v>62</v>
      </c>
      <c r="G16">
        <f>BoardQty*1</f>
        <v>0</v>
      </c>
      <c r="H16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6" s="13">
        <f>iferror(G16*H16,"")</f>
        <v>0</v>
      </c>
      <c r="J16">
        <v>117</v>
      </c>
      <c r="L16" s="13">
        <f>iferror(lookup(if(K16="",G16,K16),{0,1,10,100,500,1000,2500,5000,15000,30000},{0.0,0.1,0.011,0.005,0.00354,0.00278,0.00253,0.00233,0.00176,0.00167}),"")</f>
        <v>0</v>
      </c>
      <c r="M16" s="13">
        <f>iferror(if(K16="",G16,K16)*L16,"")</f>
        <v>0</v>
      </c>
      <c r="N16" t="s">
        <v>116</v>
      </c>
      <c r="O16" s="14" t="s">
        <v>106</v>
      </c>
      <c r="R16" s="13">
        <f>iferror(lookup(if(Q16="",G16,Q16),{0,1,100,500,2500,7500},{0.0,0.023704899999999998,0.023704899999999998,0.014775699999999998,0.009885899999999998,0.008504}),"")</f>
        <v>0</v>
      </c>
      <c r="S16" s="13">
        <f>iferror(if(Q16="",G16,Q16)*R16,"")</f>
        <v>0</v>
      </c>
      <c r="T16" t="s">
        <v>130</v>
      </c>
      <c r="U16" s="14" t="s">
        <v>106</v>
      </c>
      <c r="V16">
        <v>6348</v>
      </c>
      <c r="X16" s="13">
        <f>iferror(lookup(if(W16="",G16,W16),{0,1,100,1000,15000},{0.0,0.101,0.039,0.024,0.002}),"")</f>
        <v>0</v>
      </c>
      <c r="Y16" s="13">
        <f>iferror(if(W16="",G16,W16)*X16,"")</f>
        <v>0</v>
      </c>
      <c r="Z16" t="s">
        <v>147</v>
      </c>
      <c r="AA16" s="14" t="s">
        <v>106</v>
      </c>
      <c r="AD16" s="13">
        <f>iferror(lookup(if(AC16="",G16,AC16),{0,1,25,100,250,500,1000},{0.0,0.1,0.07,0.039,0.034,0.028,0.023}),"")</f>
        <v>0</v>
      </c>
      <c r="AE16" s="13">
        <f>iferror(if(AC16="",G16,AC16)*AD16,"")</f>
        <v>0</v>
      </c>
      <c r="AF16" t="s">
        <v>164</v>
      </c>
      <c r="AG16" s="14" t="s">
        <v>106</v>
      </c>
      <c r="AH16">
        <v>13100</v>
      </c>
      <c r="AJ16" s="13">
        <f>iferror(lookup(if(AI16="",G16,AI16),{0,1,100,1000},{0.0,0.052087,0.052087,0.030827}),"")</f>
        <v>0</v>
      </c>
      <c r="AK16" s="13">
        <f>iferror(if(AI16="",G16,AI16)*AJ16,"")</f>
        <v>0</v>
      </c>
      <c r="AL16" t="s">
        <v>179</v>
      </c>
      <c r="AM16" s="14" t="s">
        <v>106</v>
      </c>
    </row>
    <row r="17" spans="1:39">
      <c r="A17" t="s">
        <v>63</v>
      </c>
      <c r="B17" t="s">
        <v>64</v>
      </c>
      <c r="C17" t="s">
        <v>65</v>
      </c>
      <c r="D17" t="s">
        <v>25</v>
      </c>
      <c r="E17" t="s">
        <v>26</v>
      </c>
      <c r="F17" t="s">
        <v>66</v>
      </c>
      <c r="G17">
        <f>BoardQty*2</f>
        <v>0</v>
      </c>
      <c r="H1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7" s="13">
        <f>iferror(G17*H17,"")</f>
        <v>0</v>
      </c>
      <c r="J17">
        <v>1202983</v>
      </c>
      <c r="L17" s="13">
        <f>iferror(lookup(if(K17="",G17,K17),{0,1,10,100,1000,2500,5000,10000,25000,50000,125000},{0.0,0.1,0.022,0.0088,0.00396,0.00344,0.00284,0.00247,0.00217,0.00199,0.00195}),"")</f>
        <v>0</v>
      </c>
      <c r="M17" s="13">
        <f>iferror(if(K17="",G17,K17)*L17,"")</f>
        <v>0</v>
      </c>
      <c r="N17" t="s">
        <v>117</v>
      </c>
      <c r="O17" s="14" t="s">
        <v>106</v>
      </c>
      <c r="R17" s="13">
        <f>iferror(lookup(if(Q17="",G17,Q17),{0,1,100,500,1000,2500},{0.0,0.0126497,0.0126497,0.009460699999999999,0.0075473,0.0062717}),"")</f>
        <v>0</v>
      </c>
      <c r="S17" s="13">
        <f>iferror(if(Q17="",G17,Q17)*R17,"")</f>
        <v>0</v>
      </c>
      <c r="T17" t="s">
        <v>131</v>
      </c>
      <c r="U17" s="14" t="s">
        <v>106</v>
      </c>
      <c r="V17">
        <v>66451</v>
      </c>
      <c r="X17" s="13">
        <f>iferror(lookup(if(W17="",G17,W17),{0,1,10,100,1000,5000,25000},{0.0,0.101,0.016,0.006,0.004,0.003,0.002}),"")</f>
        <v>0</v>
      </c>
      <c r="Y17" s="13">
        <f>iferror(if(W17="",G17,W17)*X17,"")</f>
        <v>0</v>
      </c>
      <c r="Z17" t="s">
        <v>148</v>
      </c>
      <c r="AA17" s="14" t="s">
        <v>106</v>
      </c>
      <c r="AD17" s="13">
        <f>iferror(lookup(if(AC17="",G17,AC17),{0,1,10,25,100,250,1000},{0.0,0.026,0.026,0.018,0.011,0.008,0.006}),"")</f>
        <v>0</v>
      </c>
      <c r="AE17" s="13">
        <f>iferror(if(AC17="",G17,AC17)*AD17,"")</f>
        <v>0</v>
      </c>
      <c r="AF17" t="s">
        <v>165</v>
      </c>
      <c r="AG17" s="14" t="s">
        <v>106</v>
      </c>
      <c r="AH17">
        <v>4</v>
      </c>
      <c r="AJ17" s="13">
        <f>iferror(lookup(if(AI17="",G17,AI17),{0,1,5},{0.0,23.364739999999998,19.293449999999996}),"")</f>
        <v>0</v>
      </c>
      <c r="AK17" s="13">
        <f>iferror(if(AI17="",G17,AI17)*AJ17,"")</f>
        <v>0</v>
      </c>
      <c r="AL17" t="s">
        <v>180</v>
      </c>
      <c r="AM17" s="14" t="s">
        <v>106</v>
      </c>
    </row>
    <row r="18" spans="1:39">
      <c r="A18" t="s">
        <v>67</v>
      </c>
      <c r="B18" t="s">
        <v>68</v>
      </c>
      <c r="C18" t="s">
        <v>69</v>
      </c>
      <c r="D18" t="s">
        <v>25</v>
      </c>
      <c r="E18" t="s">
        <v>70</v>
      </c>
      <c r="F18" t="s">
        <v>71</v>
      </c>
      <c r="G18">
        <f>BoardQty*1</f>
        <v>0</v>
      </c>
      <c r="H1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8" s="13">
        <f>iferror(G18*H18,"")</f>
        <v>0</v>
      </c>
      <c r="J18">
        <v>540440</v>
      </c>
      <c r="L18" s="13">
        <f>iferror(lookup(if(K18="",G18,K18),{0,1,10,100,1000,2500,5000,10000,25000},{0.0,0.36,0.302,0.1182,0.04948,0.04536,0.03749,0.03499,0.03451}),"")</f>
        <v>0</v>
      </c>
      <c r="M18" s="13">
        <f>iferror(if(K18="",G18,K18)*L18,"")</f>
        <v>0</v>
      </c>
      <c r="N18" t="s">
        <v>118</v>
      </c>
      <c r="O18" s="14" t="s">
        <v>106</v>
      </c>
      <c r="R18" s="13">
        <f>iferror(lookup(if(Q18="",G18,Q18),{0,1,100,500,1000,2500},{0.0,0.126497,0.126497,0.107363,0.0656934,0.0575083}),"")</f>
        <v>0</v>
      </c>
      <c r="S18" s="13">
        <f>iferror(if(Q18="",G18,Q18)*R18,"")</f>
        <v>0</v>
      </c>
      <c r="T18" t="s">
        <v>132</v>
      </c>
      <c r="U18" s="14" t="s">
        <v>106</v>
      </c>
      <c r="V18">
        <v>67154</v>
      </c>
      <c r="X18" s="13">
        <f>iferror(lookup(if(W18="",G18,W18),{0,1,10,100,500,1000,5000,10000,25000},{0.0,0.632,0.25,0.149,0.105,0.076,0.043,0.039,0.038}),"")</f>
        <v>0</v>
      </c>
      <c r="Y18" s="13">
        <f>iferror(if(W18="",G18,W18)*X18,"")</f>
        <v>0</v>
      </c>
      <c r="Z18" t="s">
        <v>149</v>
      </c>
      <c r="AA18" s="14" t="s">
        <v>106</v>
      </c>
      <c r="AD18" s="13">
        <f>iferror(lookup(if(AC18="",G18,AC18),{0,1,25,50,100,250,500,1000},{0.0,0.63,0.249,0.199,0.149,0.127,0.105,0.076}),"")</f>
        <v>0</v>
      </c>
      <c r="AE18" s="13">
        <f>iferror(if(AC18="",G18,AC18)*AD18,"")</f>
        <v>0</v>
      </c>
      <c r="AF18" t="s">
        <v>166</v>
      </c>
      <c r="AG18" s="14" t="s">
        <v>106</v>
      </c>
      <c r="AH18">
        <v>20</v>
      </c>
      <c r="AJ18" s="13">
        <f>iferror(lookup(if(AI18="",G18,AI18),{0,1,5,50},{0.0,0.238112,0.238112,0.136064}),"")</f>
        <v>0</v>
      </c>
      <c r="AK18" s="13">
        <f>iferror(if(AI18="",G18,AI18)*AJ18,"")</f>
        <v>0</v>
      </c>
      <c r="AL18" t="s">
        <v>181</v>
      </c>
      <c r="AM18" s="14" t="s">
        <v>106</v>
      </c>
    </row>
    <row r="19" spans="1:39">
      <c r="A19" t="s">
        <v>72</v>
      </c>
      <c r="B19" t="s">
        <v>73</v>
      </c>
      <c r="C19" t="s">
        <v>74</v>
      </c>
      <c r="D19" t="s">
        <v>51</v>
      </c>
      <c r="E19" t="s">
        <v>52</v>
      </c>
      <c r="F19" t="s">
        <v>75</v>
      </c>
      <c r="G19">
        <f>BoardQty*1</f>
        <v>0</v>
      </c>
      <c r="H1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9" s="13">
        <f>iferror(G19*H19,"")</f>
        <v>0</v>
      </c>
      <c r="J19">
        <v>1076391</v>
      </c>
      <c r="L19" s="13">
        <f>iferror(lookup(if(K19="",G19,K19),{0,1,10,100,500,1000,2500,5000,10000,20000,30000},{0.0,0.1,0.014,0.0062,0.00442,0.00348,0.00316,0.00291,0.00231,0.0022,0.00209}),"")</f>
        <v>0</v>
      </c>
      <c r="M19" s="13">
        <f>iferror(if(K19="",G19,K19)*L19,"")</f>
        <v>0</v>
      </c>
      <c r="N19" t="s">
        <v>119</v>
      </c>
      <c r="O19" s="14" t="s">
        <v>106</v>
      </c>
      <c r="R19" s="13">
        <f>iferror(lookup(if(Q19="",G19,Q19),{0,1,100,500,2500,5000},{0.0,0.0070158,0.0070158,0.0055276,0.004252,0.0038267999999999996}),"")</f>
        <v>0</v>
      </c>
      <c r="S19" s="13">
        <f>iferror(if(Q19="",G19,Q19)*R19,"")</f>
        <v>0</v>
      </c>
      <c r="T19" t="s">
        <v>133</v>
      </c>
      <c r="U19" s="14" t="s">
        <v>106</v>
      </c>
      <c r="V19">
        <v>270939</v>
      </c>
      <c r="X19" s="13">
        <f>iferror(lookup(if(W19="",G19,W19),{0,1,10,100,500,2500,10000},{0.0,0.101,0.006,0.004,0.003,0.002,0.002}),"")</f>
        <v>0</v>
      </c>
      <c r="Y19" s="13">
        <f>iferror(if(W19="",G19,W19)*X19,"")</f>
        <v>0</v>
      </c>
      <c r="Z19" t="s">
        <v>150</v>
      </c>
      <c r="AA19" s="14" t="s">
        <v>106</v>
      </c>
      <c r="AD19" s="13">
        <f>iferror(lookup(if(AC19="",G19,AC19),{0,1,10,25,50,100,250,500},{0.0,0.006,0.006,0.005,0.005,0.004,0.004,0.003}),"")</f>
        <v>0</v>
      </c>
      <c r="AE19" s="13">
        <f>iferror(if(AC19="",G19,AC19)*AD19,"")</f>
        <v>0</v>
      </c>
      <c r="AF19" t="s">
        <v>167</v>
      </c>
      <c r="AG19" s="14" t="s">
        <v>106</v>
      </c>
      <c r="AJ19" s="13">
        <f>iferror(lookup(if(AI19="",G19,AI19),{0,1,2,5},{0.0,44.66726,36.79043,32.580949999999994}),"")</f>
        <v>0</v>
      </c>
      <c r="AK19" s="13">
        <f>iferror(if(AI19="",G19,AI19)*AJ19,"")</f>
        <v>0</v>
      </c>
      <c r="AL19" t="s">
        <v>182</v>
      </c>
      <c r="AM19" s="14" t="s">
        <v>106</v>
      </c>
    </row>
    <row r="20" spans="1:39">
      <c r="A20" t="s">
        <v>76</v>
      </c>
      <c r="B20" t="s">
        <v>49</v>
      </c>
      <c r="C20" t="s">
        <v>77</v>
      </c>
      <c r="D20" t="s">
        <v>51</v>
      </c>
      <c r="E20" t="s">
        <v>61</v>
      </c>
      <c r="F20" t="s">
        <v>78</v>
      </c>
      <c r="G20">
        <f>BoardQty*1</f>
        <v>0</v>
      </c>
      <c r="H2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0" s="13">
        <f>iferror(G20*H20,"")</f>
        <v>0</v>
      </c>
      <c r="J20">
        <v>30580</v>
      </c>
      <c r="L20" s="13">
        <f>iferror(lookup(if(K20="",G20,K20),{0,1,10,100,500,1000,2500,5000,15000,30000},{0.0,0.46,0.316,0.1898,0.14232,0.12018,0.11385,0.10753,0.08525,0.0825}),"")</f>
        <v>0</v>
      </c>
      <c r="M20" s="13">
        <f>iferror(if(K20="",G20,K20)*L20,"")</f>
        <v>0</v>
      </c>
      <c r="N20" t="s">
        <v>120</v>
      </c>
      <c r="O20" s="14" t="s">
        <v>106</v>
      </c>
      <c r="V20">
        <v>26463</v>
      </c>
      <c r="X20" s="13">
        <f>iferror(lookup(if(W20="",G20,W20),{0,1,10,100,500,1000,2500,10000,15000,45000},{0.0,0.401,0.23,0.14,0.127,0.106,0.095,0.086,0.077,0.075}),"")</f>
        <v>0</v>
      </c>
      <c r="Y20" s="13">
        <f>iferror(if(W20="",G20,W20)*X20,"")</f>
        <v>0</v>
      </c>
      <c r="Z20" t="s">
        <v>151</v>
      </c>
      <c r="AA20" s="14" t="s">
        <v>106</v>
      </c>
      <c r="AD20" s="13">
        <f>iferror(lookup(if(AC20="",G20,AC20),{0,1,15000,30000,60000},{0.0,0.076,0.076,0.076,0.075}),"")</f>
        <v>0</v>
      </c>
      <c r="AE20" s="13">
        <f>iferror(if(AC20="",G20,AC20)*AD20,"")</f>
        <v>0</v>
      </c>
      <c r="AF20" t="s">
        <v>168</v>
      </c>
      <c r="AG20" s="14" t="s">
        <v>106</v>
      </c>
    </row>
    <row r="21" spans="1:39">
      <c r="A21" t="s">
        <v>79</v>
      </c>
      <c r="B21" t="s">
        <v>80</v>
      </c>
      <c r="C21" t="s">
        <v>81</v>
      </c>
      <c r="D21" t="s">
        <v>25</v>
      </c>
      <c r="E21" t="s">
        <v>82</v>
      </c>
      <c r="F21" t="s">
        <v>83</v>
      </c>
      <c r="G21">
        <f>BoardQty*2</f>
        <v>0</v>
      </c>
      <c r="H2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1" s="13">
        <f>iferror(G21*H21,"")</f>
        <v>0</v>
      </c>
      <c r="L21" s="13">
        <f>iferror(lookup(if(K21="",G21,K21),{0,1,50000,125000},{0.0,0.0124,0.0124,0.01212}),"")</f>
        <v>0</v>
      </c>
      <c r="M21" s="13">
        <f>iferror(if(K21="",G21,K21)*L21,"")</f>
        <v>0</v>
      </c>
      <c r="N21" t="s">
        <v>121</v>
      </c>
      <c r="O21" s="14" t="s">
        <v>106</v>
      </c>
      <c r="R21" s="13">
        <f>iferror(lookup(if(Q21="",G21,Q21),{0,1,10,100,500,1000,2500,5000,25000,50000},{0.0,0.12224499999999999,0.12224499999999999,0.048898,0.041882199999999994,0.024449,0.016263899999999998,0.0122245,0.008185099999999999,0.0070158}),"")</f>
        <v>0</v>
      </c>
      <c r="S21" s="13">
        <f>iferror(if(Q21="",G21,Q21)*R21,"")</f>
        <v>0</v>
      </c>
      <c r="T21" t="s">
        <v>134</v>
      </c>
      <c r="U21" s="14" t="s">
        <v>106</v>
      </c>
      <c r="V21">
        <v>48671</v>
      </c>
      <c r="X21" s="13">
        <f>iferror(lookup(if(W21="",G21,W21),{0,1,10,100,10000,30000},{0.0,0.101,0.047,0.026,0.004,0.003}),"")</f>
        <v>0</v>
      </c>
      <c r="Y21" s="13">
        <f>iferror(if(W21="",G21,W21)*X21,"")</f>
        <v>0</v>
      </c>
      <c r="Z21" t="s">
        <v>152</v>
      </c>
      <c r="AA21" s="14" t="s">
        <v>106</v>
      </c>
      <c r="AD21" s="13">
        <f>iferror(lookup(if(AC21="",G21,AC21),{0,1,25,50,100,250,500,1000},{0.0,0.17,0.097,0.076,0.055,0.052,0.048,0.045}),"")</f>
        <v>0</v>
      </c>
      <c r="AE21" s="13">
        <f>iferror(if(AC21="",G21,AC21)*AD21,"")</f>
        <v>0</v>
      </c>
      <c r="AF21" t="s">
        <v>169</v>
      </c>
      <c r="AG21" s="14" t="s">
        <v>106</v>
      </c>
    </row>
    <row r="22" spans="1:39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>
        <f>BoardQty*1</f>
        <v>0</v>
      </c>
      <c r="H2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2" s="13">
        <f>iferror(G22*H22,"")</f>
        <v>0</v>
      </c>
      <c r="J22">
        <v>6616</v>
      </c>
      <c r="L22" s="13">
        <f>iferror(lookup(if(K22="",G22,K22),{0,1,10,25,50,100,250,500,1000,5000},{0.0,1.15,1.071,1.02,0.969,0.9435,0.918,0.867,0.816,0.6885}),"")</f>
        <v>0</v>
      </c>
      <c r="M22" s="13">
        <f>iferror(if(K22="",G22,K22)*L22,"")</f>
        <v>0</v>
      </c>
      <c r="N22" t="s">
        <v>122</v>
      </c>
      <c r="O22" s="14" t="s">
        <v>106</v>
      </c>
      <c r="R22" s="13">
        <f>iferror(lookup(if(Q22="",G22,Q22),{0,1,20,50,150,400,1250,4000,10000},{0.0,1.09489,1.042803,0.964141,0.930125,0.717525,0.6675639999999999,0.6346109999999999,0.6218549999999999}),"")</f>
        <v>0</v>
      </c>
      <c r="S22" s="13">
        <f>iferror(if(Q22="",G22,Q22)*R22,"")</f>
        <v>0</v>
      </c>
      <c r="T22" t="s">
        <v>135</v>
      </c>
      <c r="U22" s="14" t="s">
        <v>106</v>
      </c>
      <c r="V22">
        <v>2191</v>
      </c>
      <c r="X22" s="13">
        <f>iferror(lookup(if(W22="",G22,W22),{0,1,25,50,100,250,500,1000,2000,5000},{0.0,1.08,1.02,0.969,0.944,0.918,0.867,0.816,0.777,0.689}),"")</f>
        <v>0</v>
      </c>
      <c r="Y22" s="13">
        <f>iferror(if(W22="",G22,W22)*X22,"")</f>
        <v>0</v>
      </c>
      <c r="Z22" t="s">
        <v>153</v>
      </c>
      <c r="AA22" s="14" t="s">
        <v>106</v>
      </c>
      <c r="AD22" s="13">
        <f>iferror(lookup(if(AC22="",G22,AC22),{0,1,10,100,500,1000,5000,10000},{0.0,1.03,0.99,0.951,0.939,0.928,0.917,0.906}),"")</f>
        <v>0</v>
      </c>
      <c r="AE22" s="13">
        <f>iferror(if(AC22="",G22,AC22)*AD22,"")</f>
        <v>0</v>
      </c>
      <c r="AF22" t="s">
        <v>170</v>
      </c>
      <c r="AG22" s="14" t="s">
        <v>106</v>
      </c>
      <c r="AH22">
        <v>10</v>
      </c>
      <c r="AJ22" s="13">
        <f>iferror(lookup(if(AI22="",G22,AI22),{0,1,25,100,250,500},{0.0,1.5307199999999999,1.35001,1.2224499999999998,1.14804,1.09489}),"")</f>
        <v>0</v>
      </c>
      <c r="AK22" s="13">
        <f>iferror(if(AI22="",G22,AI22)*AJ22,"")</f>
        <v>0</v>
      </c>
      <c r="AL22" t="s">
        <v>183</v>
      </c>
      <c r="AM22" s="14" t="s">
        <v>106</v>
      </c>
    </row>
    <row r="23" spans="1:39">
      <c r="A23" t="s">
        <v>90</v>
      </c>
      <c r="B23" t="s">
        <v>91</v>
      </c>
      <c r="C23" t="s">
        <v>92</v>
      </c>
      <c r="D23" t="s">
        <v>93</v>
      </c>
      <c r="E23" t="s">
        <v>88</v>
      </c>
      <c r="F23" t="s">
        <v>94</v>
      </c>
      <c r="G23">
        <f>BoardQty*1</f>
        <v>0</v>
      </c>
      <c r="H2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3" s="13">
        <f>iferror(G23*H23,"")</f>
        <v>0</v>
      </c>
      <c r="J23">
        <v>5914</v>
      </c>
      <c r="L23" s="13">
        <f>iferror(lookup(if(K23="",G23,K23),{0,1,10,25,50,100,250,500,1000,5000},{0.0,0.41,0.396,0.3876,0.3466,0.33,0.32176,0.27226,0.264,0.231}),"")</f>
        <v>0</v>
      </c>
      <c r="M23" s="13">
        <f>iferror(if(K23="",G23,K23)*L23,"")</f>
        <v>0</v>
      </c>
      <c r="N23" t="s">
        <v>123</v>
      </c>
      <c r="O23" s="14" t="s">
        <v>106</v>
      </c>
      <c r="R23" s="13">
        <f>iferror(lookup(if(Q23="",G23,Q23),{0,1,10,40,100,300,900,3000,9000},{0.0,0.41882199999999997,0.396499,0.353979,0.32846699999999995,0.278506,0.27000199999999996,0.264687,0.259372}),"")</f>
        <v>0</v>
      </c>
      <c r="S23" s="13">
        <f>iferror(if(Q23="",G23,Q23)*R23,"")</f>
        <v>0</v>
      </c>
      <c r="T23" t="s">
        <v>136</v>
      </c>
      <c r="U23" s="14" t="s">
        <v>106</v>
      </c>
      <c r="V23">
        <v>11403</v>
      </c>
      <c r="X23" s="13">
        <f>iferror(lookup(if(W23="",G23,W23),{0,1,10,50,100,200,500,1000,2000},{0.0,0.401,0.393,0.343,0.328,0.319,0.27,0.262,0.23}),"")</f>
        <v>0</v>
      </c>
      <c r="Y23" s="13">
        <f>iferror(if(W23="",G23,W23)*X23,"")</f>
        <v>0</v>
      </c>
      <c r="Z23" t="s">
        <v>154</v>
      </c>
      <c r="AA23" s="14" t="s">
        <v>106</v>
      </c>
      <c r="AD23" s="13">
        <f>iferror(lookup(if(AC23="",G23,AC23),{0,1,250,500,1000,5000},{0.0,0.513,0.387,0.345,0.311,0.282}),"")</f>
        <v>0</v>
      </c>
      <c r="AE23" s="13">
        <f>iferror(if(AC23="",G23,AC23)*AD23,"")</f>
        <v>0</v>
      </c>
      <c r="AF23" t="s">
        <v>171</v>
      </c>
      <c r="AG23" s="14" t="s">
        <v>106</v>
      </c>
    </row>
    <row r="24" spans="1:39">
      <c r="A24" t="s">
        <v>95</v>
      </c>
      <c r="B24" t="s">
        <v>96</v>
      </c>
      <c r="D24" t="s">
        <v>97</v>
      </c>
      <c r="G24">
        <f>BoardQty*3</f>
        <v>0</v>
      </c>
      <c r="H2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4" s="13">
        <f>iferror(G24*H24,"")</f>
        <v>0</v>
      </c>
    </row>
    <row r="26" spans="1:39">
      <c r="K26">
        <f t="array" ref="K26">IFERROR(CONCATENATE(TEXT(INDEX($K$7:$K$24,SMALL(IF($N$7:$N$24&lt;&gt;"",IF($K$7:$K$24&lt;&gt;"",ROW($K$7:$K$24)-MIN(ROW($K$7:$K$24))+1,""),""),ROW()-ROW(A$26)+1)),"##0"),","),"")</f>
        <v>0</v>
      </c>
      <c r="L26">
        <f t="array" ref="L26">IFERROR(CONCATENATE((INDEX($N$7:$N$24,SMALL(IF($N$7:$N$24&lt;&gt;"",IF($K$7:$K$24&lt;&gt;"",ROW($K$7:$K$24)-MIN(ROW($K$7:$K$24))+1,""),""),ROW()-ROW(A$26)+1))),","),"")</f>
        <v>0</v>
      </c>
      <c r="M26">
        <f t="array" ref="M26">IFERROR(CONCATENATE((INDEX($A$7:$A$24,SMALL(IF($N$7:$N$24&lt;&gt;"",IF($K$7:$K$24&lt;&gt;"",ROW($K$7:$K$24)-MIN(ROW($K$7:$K$24))+1,""),""),ROW()-ROW(A$26)+1))),),"")</f>
        <v>0</v>
      </c>
      <c r="Q26">
        <f t="array" ref="Q26">IFERROR(CONCATENATE((INDEX($T$7:$T$24,SMALL(IF($T$7:$T$24&lt;&gt;"",IF($Q$7:$Q$24&lt;&gt;"",ROW($Q$7:$Q$24)-MIN(ROW($Q$7:$Q$24))+1,""),""),ROW()-ROW(A$26)+1)))," "),"")</f>
        <v>0</v>
      </c>
      <c r="R26">
        <f t="array" ref="R26">IFERROR(CONCATENATE(TEXT(INDEX($Q$7:$Q$24,SMALL(IF($T$7:$T$24&lt;&gt;"",IF($Q$7:$Q$24&lt;&gt;"",ROW($Q$7:$Q$24)-MIN(ROW($Q$7:$Q$24))+1,""),""),ROW()-ROW(A$26)+1)),"##0")," "),"")</f>
        <v>0</v>
      </c>
      <c r="S26">
        <f t="array" ref="S26">IFERROR(CONCATENATE((INDEX($A$7:$A$24,SMALL(IF($T$7:$T$24&lt;&gt;"",IF($Q$7:$Q$24&lt;&gt;"",ROW($Q$7:$Q$24)-MIN(ROW($Q$7:$Q$24))+1,""),""),ROW()-ROW(A$26)+1))),),"")</f>
        <v>0</v>
      </c>
      <c r="W26">
        <f t="array" ref="W26">IFERROR(CONCATENATE((INDEX($Z$7:$Z$24,SMALL(IF($Z$7:$Z$24&lt;&gt;"",IF($W$7:$W$24&lt;&gt;"",ROW($W$7:$W$24)-MIN(ROW($W$7:$W$24))+1,""),""),ROW()-ROW(A$26)+1)))," "),"")</f>
        <v>0</v>
      </c>
      <c r="X26">
        <f t="array" ref="X26">IFERROR(CONCATENATE(TEXT(INDEX($W$7:$W$24,SMALL(IF($Z$7:$Z$24&lt;&gt;"",IF($W$7:$W$24&lt;&gt;"",ROW($W$7:$W$24)-MIN(ROW($W$7:$W$24))+1,""),""),ROW()-ROW(A$26)+1)),"##0")," "),"")</f>
        <v>0</v>
      </c>
      <c r="Y26">
        <f t="array" ref="Y26">IFERROR(CONCATENATE((INDEX($A$7:$A$24,SMALL(IF($Z$7:$Z$24&lt;&gt;"",IF($W$7:$W$24&lt;&gt;"",ROW($W$7:$W$24)-MIN(ROW($W$7:$W$24))+1,""),""),ROW()-ROW(A$26)+1))),),"")</f>
        <v>0</v>
      </c>
      <c r="AC26">
        <f t="array" ref="AC26">IFERROR(CONCATENATE((INDEX($AF$7:$AF$24,SMALL(IF($AF$7:$AF$24&lt;&gt;"",IF($AC$7:$AC$24&lt;&gt;"",ROW($AC$7:$AC$24)-MIN(ROW($AC$7:$AC$24))+1,""),""),ROW()-ROW(A$26)+1))),","),"")</f>
        <v>0</v>
      </c>
      <c r="AD26">
        <f t="array" ref="AD26">IFERROR(CONCATENATE(TEXT(INDEX($AC$7:$AC$24,SMALL(IF($AF$7:$AF$24&lt;&gt;"",IF($AC$7:$AC$24&lt;&gt;"",ROW($AC$7:$AC$24)-MIN(ROW($AC$7:$AC$24))+1,""),""),ROW()-ROW(A$26)+1)),"##0"),","),"")</f>
        <v>0</v>
      </c>
      <c r="AE26">
        <f t="array" ref="AE26">IFERROR(CONCATENATE((INDEX($A$7:$A$24,SMALL(IF($AF$7:$AF$24&lt;&gt;"",IF($AC$7:$AC$24&lt;&gt;"",ROW($AC$7:$AC$24)-MIN(ROW($AC$7:$AC$24))+1,""),""),ROW()-ROW(A$26)+1))),),"")</f>
        <v>0</v>
      </c>
      <c r="AI26">
        <f t="array" ref="AI26">IFERROR(CONCATENATE((INDEX($AL$7:$AL$24,SMALL(IF($AL$7:$AL$24&lt;&gt;"",IF($AI$7:$AI$24&lt;&gt;"",ROW($AI$7:$AI$24)-MIN(ROW($AI$7:$AI$24))+1,""),""),ROW()-ROW(A$26)+1)))," "),"")</f>
        <v>0</v>
      </c>
      <c r="AJ26">
        <f t="array" ref="AJ26">IFERROR(CONCATENATE(TEXT(INDEX($AI$7:$AI$24,SMALL(IF($AL$7:$AL$24&lt;&gt;"",IF($AI$7:$AI$24&lt;&gt;"",ROW($AI$7:$AI$24)-MIN(ROW($AI$7:$AI$24))+1,""),""),ROW()-ROW(A$26)+1)),"##0")," "),"")</f>
        <v>0</v>
      </c>
      <c r="AK26">
        <f t="array" ref="AK26">IFERROR(CONCATENATE((INDEX($A$7:$A$24,SMALL(IF($AL$7:$AL$24&lt;&gt;"",IF($AI$7:$AI$24&lt;&gt;"",ROW($AI$7:$AI$24)-MIN(ROW($AI$7:$AI$24))+1,""),""),ROW()-ROW(A$26)+1))),),"")</f>
        <v>0</v>
      </c>
    </row>
    <row r="27" spans="1:39">
      <c r="K27">
        <f t="array" ref="K27">IFERROR(CONCATENATE(TEXT(INDEX($K$7:$K$24,SMALL(IF($N$7:$N$24&lt;&gt;"",IF($K$7:$K$24&lt;&gt;"",ROW($K$7:$K$24)-MIN(ROW($K$7:$K$24))+1,""),""),ROW()-ROW(A$26)+1)),"##0"),","),"")</f>
        <v>0</v>
      </c>
      <c r="L27">
        <f t="array" ref="L27">IFERROR(CONCATENATE((INDEX($N$7:$N$24,SMALL(IF($N$7:$N$24&lt;&gt;"",IF($K$7:$K$24&lt;&gt;"",ROW($K$7:$K$24)-MIN(ROW($K$7:$K$24))+1,""),""),ROW()-ROW(A$26)+1))),","),"")</f>
        <v>0</v>
      </c>
      <c r="M27">
        <f t="array" ref="M27">IFERROR(CONCATENATE((INDEX($A$7:$A$24,SMALL(IF($N$7:$N$24&lt;&gt;"",IF($K$7:$K$24&lt;&gt;"",ROW($K$7:$K$24)-MIN(ROW($K$7:$K$24))+1,""),""),ROW()-ROW(A$26)+1))),),"")</f>
        <v>0</v>
      </c>
      <c r="Q27">
        <f t="array" ref="Q27">IFERROR(CONCATENATE((INDEX($T$7:$T$24,SMALL(IF($T$7:$T$24&lt;&gt;"",IF($Q$7:$Q$24&lt;&gt;"",ROW($Q$7:$Q$24)-MIN(ROW($Q$7:$Q$24))+1,""),""),ROW()-ROW(A$26)+1)))," "),"")</f>
        <v>0</v>
      </c>
      <c r="R27">
        <f t="array" ref="R27">IFERROR(CONCATENATE(TEXT(INDEX($Q$7:$Q$24,SMALL(IF($T$7:$T$24&lt;&gt;"",IF($Q$7:$Q$24&lt;&gt;"",ROW($Q$7:$Q$24)-MIN(ROW($Q$7:$Q$24))+1,""),""),ROW()-ROW(A$26)+1)),"##0")," "),"")</f>
        <v>0</v>
      </c>
      <c r="S27">
        <f t="array" ref="S27">IFERROR(CONCATENATE((INDEX($A$7:$A$24,SMALL(IF($T$7:$T$24&lt;&gt;"",IF($Q$7:$Q$24&lt;&gt;"",ROW($Q$7:$Q$24)-MIN(ROW($Q$7:$Q$24))+1,""),""),ROW()-ROW(A$26)+1))),),"")</f>
        <v>0</v>
      </c>
      <c r="W27">
        <f t="array" ref="W27">IFERROR(CONCATENATE((INDEX($Z$7:$Z$24,SMALL(IF($Z$7:$Z$24&lt;&gt;"",IF($W$7:$W$24&lt;&gt;"",ROW($W$7:$W$24)-MIN(ROW($W$7:$W$24))+1,""),""),ROW()-ROW(A$26)+1)))," "),"")</f>
        <v>0</v>
      </c>
      <c r="X27">
        <f t="array" ref="X27">IFERROR(CONCATENATE(TEXT(INDEX($W$7:$W$24,SMALL(IF($Z$7:$Z$24&lt;&gt;"",IF($W$7:$W$24&lt;&gt;"",ROW($W$7:$W$24)-MIN(ROW($W$7:$W$24))+1,""),""),ROW()-ROW(A$26)+1)),"##0")," "),"")</f>
        <v>0</v>
      </c>
      <c r="Y27">
        <f t="array" ref="Y27">IFERROR(CONCATENATE((INDEX($A$7:$A$24,SMALL(IF($Z$7:$Z$24&lt;&gt;"",IF($W$7:$W$24&lt;&gt;"",ROW($W$7:$W$24)-MIN(ROW($W$7:$W$24))+1,""),""),ROW()-ROW(A$26)+1))),),"")</f>
        <v>0</v>
      </c>
      <c r="AC27">
        <f t="array" ref="AC27">IFERROR(CONCATENATE((INDEX($AF$7:$AF$24,SMALL(IF($AF$7:$AF$24&lt;&gt;"",IF($AC$7:$AC$24&lt;&gt;"",ROW($AC$7:$AC$24)-MIN(ROW($AC$7:$AC$24))+1,""),""),ROW()-ROW(A$26)+1))),","),"")</f>
        <v>0</v>
      </c>
      <c r="AD27">
        <f t="array" ref="AD27">IFERROR(CONCATENATE(TEXT(INDEX($AC$7:$AC$24,SMALL(IF($AF$7:$AF$24&lt;&gt;"",IF($AC$7:$AC$24&lt;&gt;"",ROW($AC$7:$AC$24)-MIN(ROW($AC$7:$AC$24))+1,""),""),ROW()-ROW(A$26)+1)),"##0"),","),"")</f>
        <v>0</v>
      </c>
      <c r="AE27">
        <f t="array" ref="AE27">IFERROR(CONCATENATE((INDEX($A$7:$A$24,SMALL(IF($AF$7:$AF$24&lt;&gt;"",IF($AC$7:$AC$24&lt;&gt;"",ROW($AC$7:$AC$24)-MIN(ROW($AC$7:$AC$24))+1,""),""),ROW()-ROW(A$26)+1))),),"")</f>
        <v>0</v>
      </c>
      <c r="AI27">
        <f t="array" ref="AI27">IFERROR(CONCATENATE((INDEX($AL$7:$AL$24,SMALL(IF($AL$7:$AL$24&lt;&gt;"",IF($AI$7:$AI$24&lt;&gt;"",ROW($AI$7:$AI$24)-MIN(ROW($AI$7:$AI$24))+1,""),""),ROW()-ROW(A$26)+1)))," "),"")</f>
        <v>0</v>
      </c>
      <c r="AJ27">
        <f t="array" ref="AJ27">IFERROR(CONCATENATE(TEXT(INDEX($AI$7:$AI$24,SMALL(IF($AL$7:$AL$24&lt;&gt;"",IF($AI$7:$AI$24&lt;&gt;"",ROW($AI$7:$AI$24)-MIN(ROW($AI$7:$AI$24))+1,""),""),ROW()-ROW(A$26)+1)),"##0")," "),"")</f>
        <v>0</v>
      </c>
      <c r="AK27">
        <f t="array" ref="AK27">IFERROR(CONCATENATE((INDEX($A$7:$A$24,SMALL(IF($AL$7:$AL$24&lt;&gt;"",IF($AI$7:$AI$24&lt;&gt;"",ROW($AI$7:$AI$24)-MIN(ROW($AI$7:$AI$24))+1,""),""),ROW()-ROW(A$26)+1))),),"")</f>
        <v>0</v>
      </c>
    </row>
    <row r="28" spans="1:39">
      <c r="K28">
        <f t="array" ref="K28">IFERROR(CONCATENATE(TEXT(INDEX($K$7:$K$24,SMALL(IF($N$7:$N$24&lt;&gt;"",IF($K$7:$K$24&lt;&gt;"",ROW($K$7:$K$24)-MIN(ROW($K$7:$K$24))+1,""),""),ROW()-ROW(A$26)+1)),"##0"),","),"")</f>
        <v>0</v>
      </c>
      <c r="L28">
        <f t="array" ref="L28">IFERROR(CONCATENATE((INDEX($N$7:$N$24,SMALL(IF($N$7:$N$24&lt;&gt;"",IF($K$7:$K$24&lt;&gt;"",ROW($K$7:$K$24)-MIN(ROW($K$7:$K$24))+1,""),""),ROW()-ROW(A$26)+1))),","),"")</f>
        <v>0</v>
      </c>
      <c r="M28">
        <f t="array" ref="M28">IFERROR(CONCATENATE((INDEX($A$7:$A$24,SMALL(IF($N$7:$N$24&lt;&gt;"",IF($K$7:$K$24&lt;&gt;"",ROW($K$7:$K$24)-MIN(ROW($K$7:$K$24))+1,""),""),ROW()-ROW(A$26)+1))),),"")</f>
        <v>0</v>
      </c>
      <c r="Q28">
        <f t="array" ref="Q28">IFERROR(CONCATENATE((INDEX($T$7:$T$24,SMALL(IF($T$7:$T$24&lt;&gt;"",IF($Q$7:$Q$24&lt;&gt;"",ROW($Q$7:$Q$24)-MIN(ROW($Q$7:$Q$24))+1,""),""),ROW()-ROW(A$26)+1)))," "),"")</f>
        <v>0</v>
      </c>
      <c r="R28">
        <f t="array" ref="R28">IFERROR(CONCATENATE(TEXT(INDEX($Q$7:$Q$24,SMALL(IF($T$7:$T$24&lt;&gt;"",IF($Q$7:$Q$24&lt;&gt;"",ROW($Q$7:$Q$24)-MIN(ROW($Q$7:$Q$24))+1,""),""),ROW()-ROW(A$26)+1)),"##0")," "),"")</f>
        <v>0</v>
      </c>
      <c r="S28">
        <f t="array" ref="S28">IFERROR(CONCATENATE((INDEX($A$7:$A$24,SMALL(IF($T$7:$T$24&lt;&gt;"",IF($Q$7:$Q$24&lt;&gt;"",ROW($Q$7:$Q$24)-MIN(ROW($Q$7:$Q$24))+1,""),""),ROW()-ROW(A$26)+1))),),"")</f>
        <v>0</v>
      </c>
      <c r="W28">
        <f t="array" ref="W28">IFERROR(CONCATENATE((INDEX($Z$7:$Z$24,SMALL(IF($Z$7:$Z$24&lt;&gt;"",IF($W$7:$W$24&lt;&gt;"",ROW($W$7:$W$24)-MIN(ROW($W$7:$W$24))+1,""),""),ROW()-ROW(A$26)+1)))," "),"")</f>
        <v>0</v>
      </c>
      <c r="X28">
        <f t="array" ref="X28">IFERROR(CONCATENATE(TEXT(INDEX($W$7:$W$24,SMALL(IF($Z$7:$Z$24&lt;&gt;"",IF($W$7:$W$24&lt;&gt;"",ROW($W$7:$W$24)-MIN(ROW($W$7:$W$24))+1,""),""),ROW()-ROW(A$26)+1)),"##0")," "),"")</f>
        <v>0</v>
      </c>
      <c r="Y28">
        <f t="array" ref="Y28">IFERROR(CONCATENATE((INDEX($A$7:$A$24,SMALL(IF($Z$7:$Z$24&lt;&gt;"",IF($W$7:$W$24&lt;&gt;"",ROW($W$7:$W$24)-MIN(ROW($W$7:$W$24))+1,""),""),ROW()-ROW(A$26)+1))),),"")</f>
        <v>0</v>
      </c>
      <c r="AC28">
        <f t="array" ref="AC28">IFERROR(CONCATENATE((INDEX($AF$7:$AF$24,SMALL(IF($AF$7:$AF$24&lt;&gt;"",IF($AC$7:$AC$24&lt;&gt;"",ROW($AC$7:$AC$24)-MIN(ROW($AC$7:$AC$24))+1,""),""),ROW()-ROW(A$26)+1))),","),"")</f>
        <v>0</v>
      </c>
      <c r="AD28">
        <f t="array" ref="AD28">IFERROR(CONCATENATE(TEXT(INDEX($AC$7:$AC$24,SMALL(IF($AF$7:$AF$24&lt;&gt;"",IF($AC$7:$AC$24&lt;&gt;"",ROW($AC$7:$AC$24)-MIN(ROW($AC$7:$AC$24))+1,""),""),ROW()-ROW(A$26)+1)),"##0"),","),"")</f>
        <v>0</v>
      </c>
      <c r="AE28">
        <f t="array" ref="AE28">IFERROR(CONCATENATE((INDEX($A$7:$A$24,SMALL(IF($AF$7:$AF$24&lt;&gt;"",IF($AC$7:$AC$24&lt;&gt;"",ROW($AC$7:$AC$24)-MIN(ROW($AC$7:$AC$24))+1,""),""),ROW()-ROW(A$26)+1))),),"")</f>
        <v>0</v>
      </c>
      <c r="AI28">
        <f t="array" ref="AI28">IFERROR(CONCATENATE((INDEX($AL$7:$AL$24,SMALL(IF($AL$7:$AL$24&lt;&gt;"",IF($AI$7:$AI$24&lt;&gt;"",ROW($AI$7:$AI$24)-MIN(ROW($AI$7:$AI$24))+1,""),""),ROW()-ROW(A$26)+1)))," "),"")</f>
        <v>0</v>
      </c>
      <c r="AJ28">
        <f t="array" ref="AJ28">IFERROR(CONCATENATE(TEXT(INDEX($AI$7:$AI$24,SMALL(IF($AL$7:$AL$24&lt;&gt;"",IF($AI$7:$AI$24&lt;&gt;"",ROW($AI$7:$AI$24)-MIN(ROW($AI$7:$AI$24))+1,""),""),ROW()-ROW(A$26)+1)),"##0")," "),"")</f>
        <v>0</v>
      </c>
      <c r="AK28">
        <f t="array" ref="AK28">IFERROR(CONCATENATE((INDEX($A$7:$A$24,SMALL(IF($AL$7:$AL$24&lt;&gt;"",IF($AI$7:$AI$24&lt;&gt;"",ROW($AI$7:$AI$24)-MIN(ROW($AI$7:$AI$24))+1,""),""),ROW()-ROW(A$26)+1))),),"")</f>
        <v>0</v>
      </c>
    </row>
    <row r="29" spans="1:39">
      <c r="K29">
        <f t="array" ref="K29">IFERROR(CONCATENATE(TEXT(INDEX($K$7:$K$24,SMALL(IF($N$7:$N$24&lt;&gt;"",IF($K$7:$K$24&lt;&gt;"",ROW($K$7:$K$24)-MIN(ROW($K$7:$K$24))+1,""),""),ROW()-ROW(A$26)+1)),"##0"),","),"")</f>
        <v>0</v>
      </c>
      <c r="L29">
        <f t="array" ref="L29">IFERROR(CONCATENATE((INDEX($N$7:$N$24,SMALL(IF($N$7:$N$24&lt;&gt;"",IF($K$7:$K$24&lt;&gt;"",ROW($K$7:$K$24)-MIN(ROW($K$7:$K$24))+1,""),""),ROW()-ROW(A$26)+1))),","),"")</f>
        <v>0</v>
      </c>
      <c r="M29">
        <f t="array" ref="M29">IFERROR(CONCATENATE((INDEX($A$7:$A$24,SMALL(IF($N$7:$N$24&lt;&gt;"",IF($K$7:$K$24&lt;&gt;"",ROW($K$7:$K$24)-MIN(ROW($K$7:$K$24))+1,""),""),ROW()-ROW(A$26)+1))),),"")</f>
        <v>0</v>
      </c>
      <c r="Q29">
        <f t="array" ref="Q29">IFERROR(CONCATENATE((INDEX($T$7:$T$24,SMALL(IF($T$7:$T$24&lt;&gt;"",IF($Q$7:$Q$24&lt;&gt;"",ROW($Q$7:$Q$24)-MIN(ROW($Q$7:$Q$24))+1,""),""),ROW()-ROW(A$26)+1)))," "),"")</f>
        <v>0</v>
      </c>
      <c r="R29">
        <f t="array" ref="R29">IFERROR(CONCATENATE(TEXT(INDEX($Q$7:$Q$24,SMALL(IF($T$7:$T$24&lt;&gt;"",IF($Q$7:$Q$24&lt;&gt;"",ROW($Q$7:$Q$24)-MIN(ROW($Q$7:$Q$24))+1,""),""),ROW()-ROW(A$26)+1)),"##0")," "),"")</f>
        <v>0</v>
      </c>
      <c r="S29">
        <f t="array" ref="S29">IFERROR(CONCATENATE((INDEX($A$7:$A$24,SMALL(IF($T$7:$T$24&lt;&gt;"",IF($Q$7:$Q$24&lt;&gt;"",ROW($Q$7:$Q$24)-MIN(ROW($Q$7:$Q$24))+1,""),""),ROW()-ROW(A$26)+1))),),"")</f>
        <v>0</v>
      </c>
      <c r="W29">
        <f t="array" ref="W29">IFERROR(CONCATENATE((INDEX($Z$7:$Z$24,SMALL(IF($Z$7:$Z$24&lt;&gt;"",IF($W$7:$W$24&lt;&gt;"",ROW($W$7:$W$24)-MIN(ROW($W$7:$W$24))+1,""),""),ROW()-ROW(A$26)+1)))," "),"")</f>
        <v>0</v>
      </c>
      <c r="X29">
        <f t="array" ref="X29">IFERROR(CONCATENATE(TEXT(INDEX($W$7:$W$24,SMALL(IF($Z$7:$Z$24&lt;&gt;"",IF($W$7:$W$24&lt;&gt;"",ROW($W$7:$W$24)-MIN(ROW($W$7:$W$24))+1,""),""),ROW()-ROW(A$26)+1)),"##0")," "),"")</f>
        <v>0</v>
      </c>
      <c r="Y29">
        <f t="array" ref="Y29">IFERROR(CONCATENATE((INDEX($A$7:$A$24,SMALL(IF($Z$7:$Z$24&lt;&gt;"",IF($W$7:$W$24&lt;&gt;"",ROW($W$7:$W$24)-MIN(ROW($W$7:$W$24))+1,""),""),ROW()-ROW(A$26)+1))),),"")</f>
        <v>0</v>
      </c>
      <c r="AC29">
        <f t="array" ref="AC29">IFERROR(CONCATENATE((INDEX($AF$7:$AF$24,SMALL(IF($AF$7:$AF$24&lt;&gt;"",IF($AC$7:$AC$24&lt;&gt;"",ROW($AC$7:$AC$24)-MIN(ROW($AC$7:$AC$24))+1,""),""),ROW()-ROW(A$26)+1))),","),"")</f>
        <v>0</v>
      </c>
      <c r="AD29">
        <f t="array" ref="AD29">IFERROR(CONCATENATE(TEXT(INDEX($AC$7:$AC$24,SMALL(IF($AF$7:$AF$24&lt;&gt;"",IF($AC$7:$AC$24&lt;&gt;"",ROW($AC$7:$AC$24)-MIN(ROW($AC$7:$AC$24))+1,""),""),ROW()-ROW(A$26)+1)),"##0"),","),"")</f>
        <v>0</v>
      </c>
      <c r="AE29">
        <f t="array" ref="AE29">IFERROR(CONCATENATE((INDEX($A$7:$A$24,SMALL(IF($AF$7:$AF$24&lt;&gt;"",IF($AC$7:$AC$24&lt;&gt;"",ROW($AC$7:$AC$24)-MIN(ROW($AC$7:$AC$24))+1,""),""),ROW()-ROW(A$26)+1))),),"")</f>
        <v>0</v>
      </c>
      <c r="AI29">
        <f t="array" ref="AI29">IFERROR(CONCATENATE((INDEX($AL$7:$AL$24,SMALL(IF($AL$7:$AL$24&lt;&gt;"",IF($AI$7:$AI$24&lt;&gt;"",ROW($AI$7:$AI$24)-MIN(ROW($AI$7:$AI$24))+1,""),""),ROW()-ROW(A$26)+1)))," "),"")</f>
        <v>0</v>
      </c>
      <c r="AJ29">
        <f t="array" ref="AJ29">IFERROR(CONCATENATE(TEXT(INDEX($AI$7:$AI$24,SMALL(IF($AL$7:$AL$24&lt;&gt;"",IF($AI$7:$AI$24&lt;&gt;"",ROW($AI$7:$AI$24)-MIN(ROW($AI$7:$AI$24))+1,""),""),ROW()-ROW(A$26)+1)),"##0")," "),"")</f>
        <v>0</v>
      </c>
      <c r="AK29">
        <f t="array" ref="AK29">IFERROR(CONCATENATE((INDEX($A$7:$A$24,SMALL(IF($AL$7:$AL$24&lt;&gt;"",IF($AI$7:$AI$24&lt;&gt;"",ROW($AI$7:$AI$24)-MIN(ROW($AI$7:$AI$24))+1,""),""),ROW()-ROW(A$26)+1))),),"")</f>
        <v>0</v>
      </c>
    </row>
    <row r="30" spans="1:39">
      <c r="K30">
        <f t="array" ref="K30">IFERROR(CONCATENATE(TEXT(INDEX($K$7:$K$24,SMALL(IF($N$7:$N$24&lt;&gt;"",IF($K$7:$K$24&lt;&gt;"",ROW($K$7:$K$24)-MIN(ROW($K$7:$K$24))+1,""),""),ROW()-ROW(A$26)+1)),"##0"),","),"")</f>
        <v>0</v>
      </c>
      <c r="L30">
        <f t="array" ref="L30">IFERROR(CONCATENATE((INDEX($N$7:$N$24,SMALL(IF($N$7:$N$24&lt;&gt;"",IF($K$7:$K$24&lt;&gt;"",ROW($K$7:$K$24)-MIN(ROW($K$7:$K$24))+1,""),""),ROW()-ROW(A$26)+1))),","),"")</f>
        <v>0</v>
      </c>
      <c r="M30">
        <f t="array" ref="M30">IFERROR(CONCATENATE((INDEX($A$7:$A$24,SMALL(IF($N$7:$N$24&lt;&gt;"",IF($K$7:$K$24&lt;&gt;"",ROW($K$7:$K$24)-MIN(ROW($K$7:$K$24))+1,""),""),ROW()-ROW(A$26)+1))),),"")</f>
        <v>0</v>
      </c>
      <c r="Q30">
        <f t="array" ref="Q30">IFERROR(CONCATENATE((INDEX($T$7:$T$24,SMALL(IF($T$7:$T$24&lt;&gt;"",IF($Q$7:$Q$24&lt;&gt;"",ROW($Q$7:$Q$24)-MIN(ROW($Q$7:$Q$24))+1,""),""),ROW()-ROW(A$26)+1)))," "),"")</f>
        <v>0</v>
      </c>
      <c r="R30">
        <f t="array" ref="R30">IFERROR(CONCATENATE(TEXT(INDEX($Q$7:$Q$24,SMALL(IF($T$7:$T$24&lt;&gt;"",IF($Q$7:$Q$24&lt;&gt;"",ROW($Q$7:$Q$24)-MIN(ROW($Q$7:$Q$24))+1,""),""),ROW()-ROW(A$26)+1)),"##0")," "),"")</f>
        <v>0</v>
      </c>
      <c r="S30">
        <f t="array" ref="S30">IFERROR(CONCATENATE((INDEX($A$7:$A$24,SMALL(IF($T$7:$T$24&lt;&gt;"",IF($Q$7:$Q$24&lt;&gt;"",ROW($Q$7:$Q$24)-MIN(ROW($Q$7:$Q$24))+1,""),""),ROW()-ROW(A$26)+1))),),"")</f>
        <v>0</v>
      </c>
      <c r="W30">
        <f t="array" ref="W30">IFERROR(CONCATENATE((INDEX($Z$7:$Z$24,SMALL(IF($Z$7:$Z$24&lt;&gt;"",IF($W$7:$W$24&lt;&gt;"",ROW($W$7:$W$24)-MIN(ROW($W$7:$W$24))+1,""),""),ROW()-ROW(A$26)+1)))," "),"")</f>
        <v>0</v>
      </c>
      <c r="X30">
        <f t="array" ref="X30">IFERROR(CONCATENATE(TEXT(INDEX($W$7:$W$24,SMALL(IF($Z$7:$Z$24&lt;&gt;"",IF($W$7:$W$24&lt;&gt;"",ROW($W$7:$W$24)-MIN(ROW($W$7:$W$24))+1,""),""),ROW()-ROW(A$26)+1)),"##0")," "),"")</f>
        <v>0</v>
      </c>
      <c r="Y30">
        <f t="array" ref="Y30">IFERROR(CONCATENATE((INDEX($A$7:$A$24,SMALL(IF($Z$7:$Z$24&lt;&gt;"",IF($W$7:$W$24&lt;&gt;"",ROW($W$7:$W$24)-MIN(ROW($W$7:$W$24))+1,""),""),ROW()-ROW(A$26)+1))),),"")</f>
        <v>0</v>
      </c>
      <c r="AC30">
        <f t="array" ref="AC30">IFERROR(CONCATENATE((INDEX($AF$7:$AF$24,SMALL(IF($AF$7:$AF$24&lt;&gt;"",IF($AC$7:$AC$24&lt;&gt;"",ROW($AC$7:$AC$24)-MIN(ROW($AC$7:$AC$24))+1,""),""),ROW()-ROW(A$26)+1))),","),"")</f>
        <v>0</v>
      </c>
      <c r="AD30">
        <f t="array" ref="AD30">IFERROR(CONCATENATE(TEXT(INDEX($AC$7:$AC$24,SMALL(IF($AF$7:$AF$24&lt;&gt;"",IF($AC$7:$AC$24&lt;&gt;"",ROW($AC$7:$AC$24)-MIN(ROW($AC$7:$AC$24))+1,""),""),ROW()-ROW(A$26)+1)),"##0"),","),"")</f>
        <v>0</v>
      </c>
      <c r="AE30">
        <f t="array" ref="AE30">IFERROR(CONCATENATE((INDEX($A$7:$A$24,SMALL(IF($AF$7:$AF$24&lt;&gt;"",IF($AC$7:$AC$24&lt;&gt;"",ROW($AC$7:$AC$24)-MIN(ROW($AC$7:$AC$24))+1,""),""),ROW()-ROW(A$26)+1))),),"")</f>
        <v>0</v>
      </c>
      <c r="AI30">
        <f t="array" ref="AI30">IFERROR(CONCATENATE((INDEX($AL$7:$AL$24,SMALL(IF($AL$7:$AL$24&lt;&gt;"",IF($AI$7:$AI$24&lt;&gt;"",ROW($AI$7:$AI$24)-MIN(ROW($AI$7:$AI$24))+1,""),""),ROW()-ROW(A$26)+1)))," "),"")</f>
        <v>0</v>
      </c>
      <c r="AJ30">
        <f t="array" ref="AJ30">IFERROR(CONCATENATE(TEXT(INDEX($AI$7:$AI$24,SMALL(IF($AL$7:$AL$24&lt;&gt;"",IF($AI$7:$AI$24&lt;&gt;"",ROW($AI$7:$AI$24)-MIN(ROW($AI$7:$AI$24))+1,""),""),ROW()-ROW(A$26)+1)),"##0")," "),"")</f>
        <v>0</v>
      </c>
      <c r="AK30">
        <f t="array" ref="AK30">IFERROR(CONCATENATE((INDEX($A$7:$A$24,SMALL(IF($AL$7:$AL$24&lt;&gt;"",IF($AI$7:$AI$24&lt;&gt;"",ROW($AI$7:$AI$24)-MIN(ROW($AI$7:$AI$24))+1,""),""),ROW()-ROW(A$26)+1))),),"")</f>
        <v>0</v>
      </c>
    </row>
    <row r="31" spans="1:39">
      <c r="K31">
        <f t="array" ref="K31">IFERROR(CONCATENATE(TEXT(INDEX($K$7:$K$24,SMALL(IF($N$7:$N$24&lt;&gt;"",IF($K$7:$K$24&lt;&gt;"",ROW($K$7:$K$24)-MIN(ROW($K$7:$K$24))+1,""),""),ROW()-ROW(A$26)+1)),"##0"),","),"")</f>
        <v>0</v>
      </c>
      <c r="L31">
        <f t="array" ref="L31">IFERROR(CONCATENATE((INDEX($N$7:$N$24,SMALL(IF($N$7:$N$24&lt;&gt;"",IF($K$7:$K$24&lt;&gt;"",ROW($K$7:$K$24)-MIN(ROW($K$7:$K$24))+1,""),""),ROW()-ROW(A$26)+1))),","),"")</f>
        <v>0</v>
      </c>
      <c r="M31">
        <f t="array" ref="M31">IFERROR(CONCATENATE((INDEX($A$7:$A$24,SMALL(IF($N$7:$N$24&lt;&gt;"",IF($K$7:$K$24&lt;&gt;"",ROW($K$7:$K$24)-MIN(ROW($K$7:$K$24))+1,""),""),ROW()-ROW(A$26)+1))),),"")</f>
        <v>0</v>
      </c>
      <c r="Q31">
        <f t="array" ref="Q31">IFERROR(CONCATENATE((INDEX($T$7:$T$24,SMALL(IF($T$7:$T$24&lt;&gt;"",IF($Q$7:$Q$24&lt;&gt;"",ROW($Q$7:$Q$24)-MIN(ROW($Q$7:$Q$24))+1,""),""),ROW()-ROW(A$26)+1)))," "),"")</f>
        <v>0</v>
      </c>
      <c r="R31">
        <f t="array" ref="R31">IFERROR(CONCATENATE(TEXT(INDEX($Q$7:$Q$24,SMALL(IF($T$7:$T$24&lt;&gt;"",IF($Q$7:$Q$24&lt;&gt;"",ROW($Q$7:$Q$24)-MIN(ROW($Q$7:$Q$24))+1,""),""),ROW()-ROW(A$26)+1)),"##0")," "),"")</f>
        <v>0</v>
      </c>
      <c r="S31">
        <f t="array" ref="S31">IFERROR(CONCATENATE((INDEX($A$7:$A$24,SMALL(IF($T$7:$T$24&lt;&gt;"",IF($Q$7:$Q$24&lt;&gt;"",ROW($Q$7:$Q$24)-MIN(ROW($Q$7:$Q$24))+1,""),""),ROW()-ROW(A$26)+1))),),"")</f>
        <v>0</v>
      </c>
      <c r="W31">
        <f t="array" ref="W31">IFERROR(CONCATENATE((INDEX($Z$7:$Z$24,SMALL(IF($Z$7:$Z$24&lt;&gt;"",IF($W$7:$W$24&lt;&gt;"",ROW($W$7:$W$24)-MIN(ROW($W$7:$W$24))+1,""),""),ROW()-ROW(A$26)+1)))," "),"")</f>
        <v>0</v>
      </c>
      <c r="X31">
        <f t="array" ref="X31">IFERROR(CONCATENATE(TEXT(INDEX($W$7:$W$24,SMALL(IF($Z$7:$Z$24&lt;&gt;"",IF($W$7:$W$24&lt;&gt;"",ROW($W$7:$W$24)-MIN(ROW($W$7:$W$24))+1,""),""),ROW()-ROW(A$26)+1)),"##0")," "),"")</f>
        <v>0</v>
      </c>
      <c r="Y31">
        <f t="array" ref="Y31">IFERROR(CONCATENATE((INDEX($A$7:$A$24,SMALL(IF($Z$7:$Z$24&lt;&gt;"",IF($W$7:$W$24&lt;&gt;"",ROW($W$7:$W$24)-MIN(ROW($W$7:$W$24))+1,""),""),ROW()-ROW(A$26)+1))),),"")</f>
        <v>0</v>
      </c>
      <c r="AC31">
        <f t="array" ref="AC31">IFERROR(CONCATENATE((INDEX($AF$7:$AF$24,SMALL(IF($AF$7:$AF$24&lt;&gt;"",IF($AC$7:$AC$24&lt;&gt;"",ROW($AC$7:$AC$24)-MIN(ROW($AC$7:$AC$24))+1,""),""),ROW()-ROW(A$26)+1))),","),"")</f>
        <v>0</v>
      </c>
      <c r="AD31">
        <f t="array" ref="AD31">IFERROR(CONCATENATE(TEXT(INDEX($AC$7:$AC$24,SMALL(IF($AF$7:$AF$24&lt;&gt;"",IF($AC$7:$AC$24&lt;&gt;"",ROW($AC$7:$AC$24)-MIN(ROW($AC$7:$AC$24))+1,""),""),ROW()-ROW(A$26)+1)),"##0"),","),"")</f>
        <v>0</v>
      </c>
      <c r="AE31">
        <f t="array" ref="AE31">IFERROR(CONCATENATE((INDEX($A$7:$A$24,SMALL(IF($AF$7:$AF$24&lt;&gt;"",IF($AC$7:$AC$24&lt;&gt;"",ROW($AC$7:$AC$24)-MIN(ROW($AC$7:$AC$24))+1,""),""),ROW()-ROW(A$26)+1))),),"")</f>
        <v>0</v>
      </c>
      <c r="AI31">
        <f t="array" ref="AI31">IFERROR(CONCATENATE((INDEX($AL$7:$AL$24,SMALL(IF($AL$7:$AL$24&lt;&gt;"",IF($AI$7:$AI$24&lt;&gt;"",ROW($AI$7:$AI$24)-MIN(ROW($AI$7:$AI$24))+1,""),""),ROW()-ROW(A$26)+1)))," "),"")</f>
        <v>0</v>
      </c>
      <c r="AJ31">
        <f t="array" ref="AJ31">IFERROR(CONCATENATE(TEXT(INDEX($AI$7:$AI$24,SMALL(IF($AL$7:$AL$24&lt;&gt;"",IF($AI$7:$AI$24&lt;&gt;"",ROW($AI$7:$AI$24)-MIN(ROW($AI$7:$AI$24))+1,""),""),ROW()-ROW(A$26)+1)),"##0")," "),"")</f>
        <v>0</v>
      </c>
      <c r="AK31">
        <f t="array" ref="AK31">IFERROR(CONCATENATE((INDEX($A$7:$A$24,SMALL(IF($AL$7:$AL$24&lt;&gt;"",IF($AI$7:$AI$24&lt;&gt;"",ROW($AI$7:$AI$24)-MIN(ROW($AI$7:$AI$24))+1,""),""),ROW()-ROW(A$26)+1))),),"")</f>
        <v>0</v>
      </c>
    </row>
    <row r="32" spans="1:39">
      <c r="K32">
        <f t="array" ref="K32">IFERROR(CONCATENATE(TEXT(INDEX($K$7:$K$24,SMALL(IF($N$7:$N$24&lt;&gt;"",IF($K$7:$K$24&lt;&gt;"",ROW($K$7:$K$24)-MIN(ROW($K$7:$K$24))+1,""),""),ROW()-ROW(A$26)+1)),"##0"),","),"")</f>
        <v>0</v>
      </c>
      <c r="L32">
        <f t="array" ref="L32">IFERROR(CONCATENATE((INDEX($N$7:$N$24,SMALL(IF($N$7:$N$24&lt;&gt;"",IF($K$7:$K$24&lt;&gt;"",ROW($K$7:$K$24)-MIN(ROW($K$7:$K$24))+1,""),""),ROW()-ROW(A$26)+1))),","),"")</f>
        <v>0</v>
      </c>
      <c r="M32">
        <f t="array" ref="M32">IFERROR(CONCATENATE((INDEX($A$7:$A$24,SMALL(IF($N$7:$N$24&lt;&gt;"",IF($K$7:$K$24&lt;&gt;"",ROW($K$7:$K$24)-MIN(ROW($K$7:$K$24))+1,""),""),ROW()-ROW(A$26)+1))),),"")</f>
        <v>0</v>
      </c>
      <c r="Q32">
        <f t="array" ref="Q32">IFERROR(CONCATENATE((INDEX($T$7:$T$24,SMALL(IF($T$7:$T$24&lt;&gt;"",IF($Q$7:$Q$24&lt;&gt;"",ROW($Q$7:$Q$24)-MIN(ROW($Q$7:$Q$24))+1,""),""),ROW()-ROW(A$26)+1)))," "),"")</f>
        <v>0</v>
      </c>
      <c r="R32">
        <f t="array" ref="R32">IFERROR(CONCATENATE(TEXT(INDEX($Q$7:$Q$24,SMALL(IF($T$7:$T$24&lt;&gt;"",IF($Q$7:$Q$24&lt;&gt;"",ROW($Q$7:$Q$24)-MIN(ROW($Q$7:$Q$24))+1,""),""),ROW()-ROW(A$26)+1)),"##0")," "),"")</f>
        <v>0</v>
      </c>
      <c r="S32">
        <f t="array" ref="S32">IFERROR(CONCATENATE((INDEX($A$7:$A$24,SMALL(IF($T$7:$T$24&lt;&gt;"",IF($Q$7:$Q$24&lt;&gt;"",ROW($Q$7:$Q$24)-MIN(ROW($Q$7:$Q$24))+1,""),""),ROW()-ROW(A$26)+1))),),"")</f>
        <v>0</v>
      </c>
      <c r="W32">
        <f t="array" ref="W32">IFERROR(CONCATENATE((INDEX($Z$7:$Z$24,SMALL(IF($Z$7:$Z$24&lt;&gt;"",IF($W$7:$W$24&lt;&gt;"",ROW($W$7:$W$24)-MIN(ROW($W$7:$W$24))+1,""),""),ROW()-ROW(A$26)+1)))," "),"")</f>
        <v>0</v>
      </c>
      <c r="X32">
        <f t="array" ref="X32">IFERROR(CONCATENATE(TEXT(INDEX($W$7:$W$24,SMALL(IF($Z$7:$Z$24&lt;&gt;"",IF($W$7:$W$24&lt;&gt;"",ROW($W$7:$W$24)-MIN(ROW($W$7:$W$24))+1,""),""),ROW()-ROW(A$26)+1)),"##0")," "),"")</f>
        <v>0</v>
      </c>
      <c r="Y32">
        <f t="array" ref="Y32">IFERROR(CONCATENATE((INDEX($A$7:$A$24,SMALL(IF($Z$7:$Z$24&lt;&gt;"",IF($W$7:$W$24&lt;&gt;"",ROW($W$7:$W$24)-MIN(ROW($W$7:$W$24))+1,""),""),ROW()-ROW(A$26)+1))),),"")</f>
        <v>0</v>
      </c>
      <c r="AC32">
        <f t="array" ref="AC32">IFERROR(CONCATENATE((INDEX($AF$7:$AF$24,SMALL(IF($AF$7:$AF$24&lt;&gt;"",IF($AC$7:$AC$24&lt;&gt;"",ROW($AC$7:$AC$24)-MIN(ROW($AC$7:$AC$24))+1,""),""),ROW()-ROW(A$26)+1))),","),"")</f>
        <v>0</v>
      </c>
      <c r="AD32">
        <f t="array" ref="AD32">IFERROR(CONCATENATE(TEXT(INDEX($AC$7:$AC$24,SMALL(IF($AF$7:$AF$24&lt;&gt;"",IF($AC$7:$AC$24&lt;&gt;"",ROW($AC$7:$AC$24)-MIN(ROW($AC$7:$AC$24))+1,""),""),ROW()-ROW(A$26)+1)),"##0"),","),"")</f>
        <v>0</v>
      </c>
      <c r="AE32">
        <f t="array" ref="AE32">IFERROR(CONCATENATE((INDEX($A$7:$A$24,SMALL(IF($AF$7:$AF$24&lt;&gt;"",IF($AC$7:$AC$24&lt;&gt;"",ROW($AC$7:$AC$24)-MIN(ROW($AC$7:$AC$24))+1,""),""),ROW()-ROW(A$26)+1))),),"")</f>
        <v>0</v>
      </c>
      <c r="AI32">
        <f t="array" ref="AI32">IFERROR(CONCATENATE((INDEX($AL$7:$AL$24,SMALL(IF($AL$7:$AL$24&lt;&gt;"",IF($AI$7:$AI$24&lt;&gt;"",ROW($AI$7:$AI$24)-MIN(ROW($AI$7:$AI$24))+1,""),""),ROW()-ROW(A$26)+1)))," "),"")</f>
        <v>0</v>
      </c>
      <c r="AJ32">
        <f t="array" ref="AJ32">IFERROR(CONCATENATE(TEXT(INDEX($AI$7:$AI$24,SMALL(IF($AL$7:$AL$24&lt;&gt;"",IF($AI$7:$AI$24&lt;&gt;"",ROW($AI$7:$AI$24)-MIN(ROW($AI$7:$AI$24))+1,""),""),ROW()-ROW(A$26)+1)),"##0")," "),"")</f>
        <v>0</v>
      </c>
      <c r="AK32">
        <f t="array" ref="AK32">IFERROR(CONCATENATE((INDEX($A$7:$A$24,SMALL(IF($AL$7:$AL$24&lt;&gt;"",IF($AI$7:$AI$24&lt;&gt;"",ROW($AI$7:$AI$24)-MIN(ROW($AI$7:$AI$24))+1,""),""),ROW()-ROW(A$26)+1))),),"")</f>
        <v>0</v>
      </c>
    </row>
    <row r="33" spans="11:37">
      <c r="K33">
        <f t="array" ref="K33">IFERROR(CONCATENATE(TEXT(INDEX($K$7:$K$24,SMALL(IF($N$7:$N$24&lt;&gt;"",IF($K$7:$K$24&lt;&gt;"",ROW($K$7:$K$24)-MIN(ROW($K$7:$K$24))+1,""),""),ROW()-ROW(A$26)+1)),"##0"),","),"")</f>
        <v>0</v>
      </c>
      <c r="L33">
        <f t="array" ref="L33">IFERROR(CONCATENATE((INDEX($N$7:$N$24,SMALL(IF($N$7:$N$24&lt;&gt;"",IF($K$7:$K$24&lt;&gt;"",ROW($K$7:$K$24)-MIN(ROW($K$7:$K$24))+1,""),""),ROW()-ROW(A$26)+1))),","),"")</f>
        <v>0</v>
      </c>
      <c r="M33">
        <f t="array" ref="M33">IFERROR(CONCATENATE((INDEX($A$7:$A$24,SMALL(IF($N$7:$N$24&lt;&gt;"",IF($K$7:$K$24&lt;&gt;"",ROW($K$7:$K$24)-MIN(ROW($K$7:$K$24))+1,""),""),ROW()-ROW(A$26)+1))),),"")</f>
        <v>0</v>
      </c>
      <c r="Q33">
        <f t="array" ref="Q33">IFERROR(CONCATENATE((INDEX($T$7:$T$24,SMALL(IF($T$7:$T$24&lt;&gt;"",IF($Q$7:$Q$24&lt;&gt;"",ROW($Q$7:$Q$24)-MIN(ROW($Q$7:$Q$24))+1,""),""),ROW()-ROW(A$26)+1)))," "),"")</f>
        <v>0</v>
      </c>
      <c r="R33">
        <f t="array" ref="R33">IFERROR(CONCATENATE(TEXT(INDEX($Q$7:$Q$24,SMALL(IF($T$7:$T$24&lt;&gt;"",IF($Q$7:$Q$24&lt;&gt;"",ROW($Q$7:$Q$24)-MIN(ROW($Q$7:$Q$24))+1,""),""),ROW()-ROW(A$26)+1)),"##0")," "),"")</f>
        <v>0</v>
      </c>
      <c r="S33">
        <f t="array" ref="S33">IFERROR(CONCATENATE((INDEX($A$7:$A$24,SMALL(IF($T$7:$T$24&lt;&gt;"",IF($Q$7:$Q$24&lt;&gt;"",ROW($Q$7:$Q$24)-MIN(ROW($Q$7:$Q$24))+1,""),""),ROW()-ROW(A$26)+1))),),"")</f>
        <v>0</v>
      </c>
      <c r="W33">
        <f t="array" ref="W33">IFERROR(CONCATENATE((INDEX($Z$7:$Z$24,SMALL(IF($Z$7:$Z$24&lt;&gt;"",IF($W$7:$W$24&lt;&gt;"",ROW($W$7:$W$24)-MIN(ROW($W$7:$W$24))+1,""),""),ROW()-ROW(A$26)+1)))," "),"")</f>
        <v>0</v>
      </c>
      <c r="X33">
        <f t="array" ref="X33">IFERROR(CONCATENATE(TEXT(INDEX($W$7:$W$24,SMALL(IF($Z$7:$Z$24&lt;&gt;"",IF($W$7:$W$24&lt;&gt;"",ROW($W$7:$W$24)-MIN(ROW($W$7:$W$24))+1,""),""),ROW()-ROW(A$26)+1)),"##0")," "),"")</f>
        <v>0</v>
      </c>
      <c r="Y33">
        <f t="array" ref="Y33">IFERROR(CONCATENATE((INDEX($A$7:$A$24,SMALL(IF($Z$7:$Z$24&lt;&gt;"",IF($W$7:$W$24&lt;&gt;"",ROW($W$7:$W$24)-MIN(ROW($W$7:$W$24))+1,""),""),ROW()-ROW(A$26)+1))),),"")</f>
        <v>0</v>
      </c>
      <c r="AC33">
        <f t="array" ref="AC33">IFERROR(CONCATENATE((INDEX($AF$7:$AF$24,SMALL(IF($AF$7:$AF$24&lt;&gt;"",IF($AC$7:$AC$24&lt;&gt;"",ROW($AC$7:$AC$24)-MIN(ROW($AC$7:$AC$24))+1,""),""),ROW()-ROW(A$26)+1))),","),"")</f>
        <v>0</v>
      </c>
      <c r="AD33">
        <f t="array" ref="AD33">IFERROR(CONCATENATE(TEXT(INDEX($AC$7:$AC$24,SMALL(IF($AF$7:$AF$24&lt;&gt;"",IF($AC$7:$AC$24&lt;&gt;"",ROW($AC$7:$AC$24)-MIN(ROW($AC$7:$AC$24))+1,""),""),ROW()-ROW(A$26)+1)),"##0"),","),"")</f>
        <v>0</v>
      </c>
      <c r="AE33">
        <f t="array" ref="AE33">IFERROR(CONCATENATE((INDEX($A$7:$A$24,SMALL(IF($AF$7:$AF$24&lt;&gt;"",IF($AC$7:$AC$24&lt;&gt;"",ROW($AC$7:$AC$24)-MIN(ROW($AC$7:$AC$24))+1,""),""),ROW()-ROW(A$26)+1))),),"")</f>
        <v>0</v>
      </c>
      <c r="AI33">
        <f t="array" ref="AI33">IFERROR(CONCATENATE((INDEX($AL$7:$AL$24,SMALL(IF($AL$7:$AL$24&lt;&gt;"",IF($AI$7:$AI$24&lt;&gt;"",ROW($AI$7:$AI$24)-MIN(ROW($AI$7:$AI$24))+1,""),""),ROW()-ROW(A$26)+1)))," "),"")</f>
        <v>0</v>
      </c>
      <c r="AJ33">
        <f t="array" ref="AJ33">IFERROR(CONCATENATE(TEXT(INDEX($AI$7:$AI$24,SMALL(IF($AL$7:$AL$24&lt;&gt;"",IF($AI$7:$AI$24&lt;&gt;"",ROW($AI$7:$AI$24)-MIN(ROW($AI$7:$AI$24))+1,""),""),ROW()-ROW(A$26)+1)),"##0")," "),"")</f>
        <v>0</v>
      </c>
      <c r="AK33">
        <f t="array" ref="AK33">IFERROR(CONCATENATE((INDEX($A$7:$A$24,SMALL(IF($AL$7:$AL$24&lt;&gt;"",IF($AI$7:$AI$24&lt;&gt;"",ROW($AI$7:$AI$24)-MIN(ROW($AI$7:$AI$24))+1,""),""),ROW()-ROW(A$26)+1))),),"")</f>
        <v>0</v>
      </c>
    </row>
    <row r="34" spans="11:37">
      <c r="K34">
        <f t="array" ref="K34">IFERROR(CONCATENATE(TEXT(INDEX($K$7:$K$24,SMALL(IF($N$7:$N$24&lt;&gt;"",IF($K$7:$K$24&lt;&gt;"",ROW($K$7:$K$24)-MIN(ROW($K$7:$K$24))+1,""),""),ROW()-ROW(A$26)+1)),"##0"),","),"")</f>
        <v>0</v>
      </c>
      <c r="L34">
        <f t="array" ref="L34">IFERROR(CONCATENATE((INDEX($N$7:$N$24,SMALL(IF($N$7:$N$24&lt;&gt;"",IF($K$7:$K$24&lt;&gt;"",ROW($K$7:$K$24)-MIN(ROW($K$7:$K$24))+1,""),""),ROW()-ROW(A$26)+1))),","),"")</f>
        <v>0</v>
      </c>
      <c r="M34">
        <f t="array" ref="M34">IFERROR(CONCATENATE((INDEX($A$7:$A$24,SMALL(IF($N$7:$N$24&lt;&gt;"",IF($K$7:$K$24&lt;&gt;"",ROW($K$7:$K$24)-MIN(ROW($K$7:$K$24))+1,""),""),ROW()-ROW(A$26)+1))),),"")</f>
        <v>0</v>
      </c>
      <c r="Q34">
        <f t="array" ref="Q34">IFERROR(CONCATENATE((INDEX($T$7:$T$24,SMALL(IF($T$7:$T$24&lt;&gt;"",IF($Q$7:$Q$24&lt;&gt;"",ROW($Q$7:$Q$24)-MIN(ROW($Q$7:$Q$24))+1,""),""),ROW()-ROW(A$26)+1)))," "),"")</f>
        <v>0</v>
      </c>
      <c r="R34">
        <f t="array" ref="R34">IFERROR(CONCATENATE(TEXT(INDEX($Q$7:$Q$24,SMALL(IF($T$7:$T$24&lt;&gt;"",IF($Q$7:$Q$24&lt;&gt;"",ROW($Q$7:$Q$24)-MIN(ROW($Q$7:$Q$24))+1,""),""),ROW()-ROW(A$26)+1)),"##0")," "),"")</f>
        <v>0</v>
      </c>
      <c r="S34">
        <f t="array" ref="S34">IFERROR(CONCATENATE((INDEX($A$7:$A$24,SMALL(IF($T$7:$T$24&lt;&gt;"",IF($Q$7:$Q$24&lt;&gt;"",ROW($Q$7:$Q$24)-MIN(ROW($Q$7:$Q$24))+1,""),""),ROW()-ROW(A$26)+1))),),"")</f>
        <v>0</v>
      </c>
      <c r="W34">
        <f t="array" ref="W34">IFERROR(CONCATENATE((INDEX($Z$7:$Z$24,SMALL(IF($Z$7:$Z$24&lt;&gt;"",IF($W$7:$W$24&lt;&gt;"",ROW($W$7:$W$24)-MIN(ROW($W$7:$W$24))+1,""),""),ROW()-ROW(A$26)+1)))," "),"")</f>
        <v>0</v>
      </c>
      <c r="X34">
        <f t="array" ref="X34">IFERROR(CONCATENATE(TEXT(INDEX($W$7:$W$24,SMALL(IF($Z$7:$Z$24&lt;&gt;"",IF($W$7:$W$24&lt;&gt;"",ROW($W$7:$W$24)-MIN(ROW($W$7:$W$24))+1,""),""),ROW()-ROW(A$26)+1)),"##0")," "),"")</f>
        <v>0</v>
      </c>
      <c r="Y34">
        <f t="array" ref="Y34">IFERROR(CONCATENATE((INDEX($A$7:$A$24,SMALL(IF($Z$7:$Z$24&lt;&gt;"",IF($W$7:$W$24&lt;&gt;"",ROW($W$7:$W$24)-MIN(ROW($W$7:$W$24))+1,""),""),ROW()-ROW(A$26)+1))),),"")</f>
        <v>0</v>
      </c>
      <c r="AC34">
        <f t="array" ref="AC34">IFERROR(CONCATENATE((INDEX($AF$7:$AF$24,SMALL(IF($AF$7:$AF$24&lt;&gt;"",IF($AC$7:$AC$24&lt;&gt;"",ROW($AC$7:$AC$24)-MIN(ROW($AC$7:$AC$24))+1,""),""),ROW()-ROW(A$26)+1))),","),"")</f>
        <v>0</v>
      </c>
      <c r="AD34">
        <f t="array" ref="AD34">IFERROR(CONCATENATE(TEXT(INDEX($AC$7:$AC$24,SMALL(IF($AF$7:$AF$24&lt;&gt;"",IF($AC$7:$AC$24&lt;&gt;"",ROW($AC$7:$AC$24)-MIN(ROW($AC$7:$AC$24))+1,""),""),ROW()-ROW(A$26)+1)),"##0"),","),"")</f>
        <v>0</v>
      </c>
      <c r="AE34">
        <f t="array" ref="AE34">IFERROR(CONCATENATE((INDEX($A$7:$A$24,SMALL(IF($AF$7:$AF$24&lt;&gt;"",IF($AC$7:$AC$24&lt;&gt;"",ROW($AC$7:$AC$24)-MIN(ROW($AC$7:$AC$24))+1,""),""),ROW()-ROW(A$26)+1))),),"")</f>
        <v>0</v>
      </c>
      <c r="AI34">
        <f t="array" ref="AI34">IFERROR(CONCATENATE((INDEX($AL$7:$AL$24,SMALL(IF($AL$7:$AL$24&lt;&gt;"",IF($AI$7:$AI$24&lt;&gt;"",ROW($AI$7:$AI$24)-MIN(ROW($AI$7:$AI$24))+1,""),""),ROW()-ROW(A$26)+1)))," "),"")</f>
        <v>0</v>
      </c>
      <c r="AJ34">
        <f t="array" ref="AJ34">IFERROR(CONCATENATE(TEXT(INDEX($AI$7:$AI$24,SMALL(IF($AL$7:$AL$24&lt;&gt;"",IF($AI$7:$AI$24&lt;&gt;"",ROW($AI$7:$AI$24)-MIN(ROW($AI$7:$AI$24))+1,""),""),ROW()-ROW(A$26)+1)),"##0")," "),"")</f>
        <v>0</v>
      </c>
      <c r="AK34">
        <f t="array" ref="AK34">IFERROR(CONCATENATE((INDEX($A$7:$A$24,SMALL(IF($AL$7:$AL$24&lt;&gt;"",IF($AI$7:$AI$24&lt;&gt;"",ROW($AI$7:$AI$24)-MIN(ROW($AI$7:$AI$24))+1,""),""),ROW()-ROW(A$26)+1))),),"")</f>
        <v>0</v>
      </c>
    </row>
    <row r="35" spans="11:37">
      <c r="K35">
        <f t="array" ref="K35">IFERROR(CONCATENATE(TEXT(INDEX($K$7:$K$24,SMALL(IF($N$7:$N$24&lt;&gt;"",IF($K$7:$K$24&lt;&gt;"",ROW($K$7:$K$24)-MIN(ROW($K$7:$K$24))+1,""),""),ROW()-ROW(A$26)+1)),"##0"),","),"")</f>
        <v>0</v>
      </c>
      <c r="L35">
        <f t="array" ref="L35">IFERROR(CONCATENATE((INDEX($N$7:$N$24,SMALL(IF($N$7:$N$24&lt;&gt;"",IF($K$7:$K$24&lt;&gt;"",ROW($K$7:$K$24)-MIN(ROW($K$7:$K$24))+1,""),""),ROW()-ROW(A$26)+1))),","),"")</f>
        <v>0</v>
      </c>
      <c r="M35">
        <f t="array" ref="M35">IFERROR(CONCATENATE((INDEX($A$7:$A$24,SMALL(IF($N$7:$N$24&lt;&gt;"",IF($K$7:$K$24&lt;&gt;"",ROW($K$7:$K$24)-MIN(ROW($K$7:$K$24))+1,""),""),ROW()-ROW(A$26)+1))),),"")</f>
        <v>0</v>
      </c>
      <c r="Q35">
        <f t="array" ref="Q35">IFERROR(CONCATENATE((INDEX($T$7:$T$24,SMALL(IF($T$7:$T$24&lt;&gt;"",IF($Q$7:$Q$24&lt;&gt;"",ROW($Q$7:$Q$24)-MIN(ROW($Q$7:$Q$24))+1,""),""),ROW()-ROW(A$26)+1)))," "),"")</f>
        <v>0</v>
      </c>
      <c r="R35">
        <f t="array" ref="R35">IFERROR(CONCATENATE(TEXT(INDEX($Q$7:$Q$24,SMALL(IF($T$7:$T$24&lt;&gt;"",IF($Q$7:$Q$24&lt;&gt;"",ROW($Q$7:$Q$24)-MIN(ROW($Q$7:$Q$24))+1,""),""),ROW()-ROW(A$26)+1)),"##0")," "),"")</f>
        <v>0</v>
      </c>
      <c r="S35">
        <f t="array" ref="S35">IFERROR(CONCATENATE((INDEX($A$7:$A$24,SMALL(IF($T$7:$T$24&lt;&gt;"",IF($Q$7:$Q$24&lt;&gt;"",ROW($Q$7:$Q$24)-MIN(ROW($Q$7:$Q$24))+1,""),""),ROW()-ROW(A$26)+1))),),"")</f>
        <v>0</v>
      </c>
      <c r="W35">
        <f t="array" ref="W35">IFERROR(CONCATENATE((INDEX($Z$7:$Z$24,SMALL(IF($Z$7:$Z$24&lt;&gt;"",IF($W$7:$W$24&lt;&gt;"",ROW($W$7:$W$24)-MIN(ROW($W$7:$W$24))+1,""),""),ROW()-ROW(A$26)+1)))," "),"")</f>
        <v>0</v>
      </c>
      <c r="X35">
        <f t="array" ref="X35">IFERROR(CONCATENATE(TEXT(INDEX($W$7:$W$24,SMALL(IF($Z$7:$Z$24&lt;&gt;"",IF($W$7:$W$24&lt;&gt;"",ROW($W$7:$W$24)-MIN(ROW($W$7:$W$24))+1,""),""),ROW()-ROW(A$26)+1)),"##0")," "),"")</f>
        <v>0</v>
      </c>
      <c r="Y35">
        <f t="array" ref="Y35">IFERROR(CONCATENATE((INDEX($A$7:$A$24,SMALL(IF($Z$7:$Z$24&lt;&gt;"",IF($W$7:$W$24&lt;&gt;"",ROW($W$7:$W$24)-MIN(ROW($W$7:$W$24))+1,""),""),ROW()-ROW(A$26)+1))),),"")</f>
        <v>0</v>
      </c>
      <c r="AC35">
        <f t="array" ref="AC35">IFERROR(CONCATENATE((INDEX($AF$7:$AF$24,SMALL(IF($AF$7:$AF$24&lt;&gt;"",IF($AC$7:$AC$24&lt;&gt;"",ROW($AC$7:$AC$24)-MIN(ROW($AC$7:$AC$24))+1,""),""),ROW()-ROW(A$26)+1))),","),"")</f>
        <v>0</v>
      </c>
      <c r="AD35">
        <f t="array" ref="AD35">IFERROR(CONCATENATE(TEXT(INDEX($AC$7:$AC$24,SMALL(IF($AF$7:$AF$24&lt;&gt;"",IF($AC$7:$AC$24&lt;&gt;"",ROW($AC$7:$AC$24)-MIN(ROW($AC$7:$AC$24))+1,""),""),ROW()-ROW(A$26)+1)),"##0"),","),"")</f>
        <v>0</v>
      </c>
      <c r="AE35">
        <f t="array" ref="AE35">IFERROR(CONCATENATE((INDEX($A$7:$A$24,SMALL(IF($AF$7:$AF$24&lt;&gt;"",IF($AC$7:$AC$24&lt;&gt;"",ROW($AC$7:$AC$24)-MIN(ROW($AC$7:$AC$24))+1,""),""),ROW()-ROW(A$26)+1))),),"")</f>
        <v>0</v>
      </c>
      <c r="AI35">
        <f t="array" ref="AI35">IFERROR(CONCATENATE((INDEX($AL$7:$AL$24,SMALL(IF($AL$7:$AL$24&lt;&gt;"",IF($AI$7:$AI$24&lt;&gt;"",ROW($AI$7:$AI$24)-MIN(ROW($AI$7:$AI$24))+1,""),""),ROW()-ROW(A$26)+1)))," "),"")</f>
        <v>0</v>
      </c>
      <c r="AJ35">
        <f t="array" ref="AJ35">IFERROR(CONCATENATE(TEXT(INDEX($AI$7:$AI$24,SMALL(IF($AL$7:$AL$24&lt;&gt;"",IF($AI$7:$AI$24&lt;&gt;"",ROW($AI$7:$AI$24)-MIN(ROW($AI$7:$AI$24))+1,""),""),ROW()-ROW(A$26)+1)),"##0")," "),"")</f>
        <v>0</v>
      </c>
      <c r="AK35">
        <f t="array" ref="AK35">IFERROR(CONCATENATE((INDEX($A$7:$A$24,SMALL(IF($AL$7:$AL$24&lt;&gt;"",IF($AI$7:$AI$24&lt;&gt;"",ROW($AI$7:$AI$24)-MIN(ROW($AI$7:$AI$24))+1,""),""),ROW()-ROW(A$26)+1))),),"")</f>
        <v>0</v>
      </c>
    </row>
    <row r="36" spans="11:37">
      <c r="K36">
        <f t="array" ref="K36">IFERROR(CONCATENATE(TEXT(INDEX($K$7:$K$24,SMALL(IF($N$7:$N$24&lt;&gt;"",IF($K$7:$K$24&lt;&gt;"",ROW($K$7:$K$24)-MIN(ROW($K$7:$K$24))+1,""),""),ROW()-ROW(A$26)+1)),"##0"),","),"")</f>
        <v>0</v>
      </c>
      <c r="L36">
        <f t="array" ref="L36">IFERROR(CONCATENATE((INDEX($N$7:$N$24,SMALL(IF($N$7:$N$24&lt;&gt;"",IF($K$7:$K$24&lt;&gt;"",ROW($K$7:$K$24)-MIN(ROW($K$7:$K$24))+1,""),""),ROW()-ROW(A$26)+1))),","),"")</f>
        <v>0</v>
      </c>
      <c r="M36">
        <f t="array" ref="M36">IFERROR(CONCATENATE((INDEX($A$7:$A$24,SMALL(IF($N$7:$N$24&lt;&gt;"",IF($K$7:$K$24&lt;&gt;"",ROW($K$7:$K$24)-MIN(ROW($K$7:$K$24))+1,""),""),ROW()-ROW(A$26)+1))),),"")</f>
        <v>0</v>
      </c>
      <c r="Q36">
        <f t="array" ref="Q36">IFERROR(CONCATENATE((INDEX($T$7:$T$24,SMALL(IF($T$7:$T$24&lt;&gt;"",IF($Q$7:$Q$24&lt;&gt;"",ROW($Q$7:$Q$24)-MIN(ROW($Q$7:$Q$24))+1,""),""),ROW()-ROW(A$26)+1)))," "),"")</f>
        <v>0</v>
      </c>
      <c r="R36">
        <f t="array" ref="R36">IFERROR(CONCATENATE(TEXT(INDEX($Q$7:$Q$24,SMALL(IF($T$7:$T$24&lt;&gt;"",IF($Q$7:$Q$24&lt;&gt;"",ROW($Q$7:$Q$24)-MIN(ROW($Q$7:$Q$24))+1,""),""),ROW()-ROW(A$26)+1)),"##0")," "),"")</f>
        <v>0</v>
      </c>
      <c r="S36">
        <f t="array" ref="S36">IFERROR(CONCATENATE((INDEX($A$7:$A$24,SMALL(IF($T$7:$T$24&lt;&gt;"",IF($Q$7:$Q$24&lt;&gt;"",ROW($Q$7:$Q$24)-MIN(ROW($Q$7:$Q$24))+1,""),""),ROW()-ROW(A$26)+1))),),"")</f>
        <v>0</v>
      </c>
      <c r="W36">
        <f t="array" ref="W36">IFERROR(CONCATENATE((INDEX($Z$7:$Z$24,SMALL(IF($Z$7:$Z$24&lt;&gt;"",IF($W$7:$W$24&lt;&gt;"",ROW($W$7:$W$24)-MIN(ROW($W$7:$W$24))+1,""),""),ROW()-ROW(A$26)+1)))," "),"")</f>
        <v>0</v>
      </c>
      <c r="X36">
        <f t="array" ref="X36">IFERROR(CONCATENATE(TEXT(INDEX($W$7:$W$24,SMALL(IF($Z$7:$Z$24&lt;&gt;"",IF($W$7:$W$24&lt;&gt;"",ROW($W$7:$W$24)-MIN(ROW($W$7:$W$24))+1,""),""),ROW()-ROW(A$26)+1)),"##0")," "),"")</f>
        <v>0</v>
      </c>
      <c r="Y36">
        <f t="array" ref="Y36">IFERROR(CONCATENATE((INDEX($A$7:$A$24,SMALL(IF($Z$7:$Z$24&lt;&gt;"",IF($W$7:$W$24&lt;&gt;"",ROW($W$7:$W$24)-MIN(ROW($W$7:$W$24))+1,""),""),ROW()-ROW(A$26)+1))),),"")</f>
        <v>0</v>
      </c>
      <c r="AC36">
        <f t="array" ref="AC36">IFERROR(CONCATENATE((INDEX($AF$7:$AF$24,SMALL(IF($AF$7:$AF$24&lt;&gt;"",IF($AC$7:$AC$24&lt;&gt;"",ROW($AC$7:$AC$24)-MIN(ROW($AC$7:$AC$24))+1,""),""),ROW()-ROW(A$26)+1))),","),"")</f>
        <v>0</v>
      </c>
      <c r="AD36">
        <f t="array" ref="AD36">IFERROR(CONCATENATE(TEXT(INDEX($AC$7:$AC$24,SMALL(IF($AF$7:$AF$24&lt;&gt;"",IF($AC$7:$AC$24&lt;&gt;"",ROW($AC$7:$AC$24)-MIN(ROW($AC$7:$AC$24))+1,""),""),ROW()-ROW(A$26)+1)),"##0"),","),"")</f>
        <v>0</v>
      </c>
      <c r="AE36">
        <f t="array" ref="AE36">IFERROR(CONCATENATE((INDEX($A$7:$A$24,SMALL(IF($AF$7:$AF$24&lt;&gt;"",IF($AC$7:$AC$24&lt;&gt;"",ROW($AC$7:$AC$24)-MIN(ROW($AC$7:$AC$24))+1,""),""),ROW()-ROW(A$26)+1))),),"")</f>
        <v>0</v>
      </c>
      <c r="AI36">
        <f t="array" ref="AI36">IFERROR(CONCATENATE((INDEX($AL$7:$AL$24,SMALL(IF($AL$7:$AL$24&lt;&gt;"",IF($AI$7:$AI$24&lt;&gt;"",ROW($AI$7:$AI$24)-MIN(ROW($AI$7:$AI$24))+1,""),""),ROW()-ROW(A$26)+1)))," "),"")</f>
        <v>0</v>
      </c>
      <c r="AJ36">
        <f t="array" ref="AJ36">IFERROR(CONCATENATE(TEXT(INDEX($AI$7:$AI$24,SMALL(IF($AL$7:$AL$24&lt;&gt;"",IF($AI$7:$AI$24&lt;&gt;"",ROW($AI$7:$AI$24)-MIN(ROW($AI$7:$AI$24))+1,""),""),ROW()-ROW(A$26)+1)),"##0")," "),"")</f>
        <v>0</v>
      </c>
      <c r="AK36">
        <f t="array" ref="AK36">IFERROR(CONCATENATE((INDEX($A$7:$A$24,SMALL(IF($AL$7:$AL$24&lt;&gt;"",IF($AI$7:$AI$24&lt;&gt;"",ROW($AI$7:$AI$24)-MIN(ROW($AI$7:$AI$24))+1,""),""),ROW()-ROW(A$26)+1))),),"")</f>
        <v>0</v>
      </c>
    </row>
    <row r="37" spans="11:37">
      <c r="K37">
        <f t="array" ref="K37">IFERROR(CONCATENATE(TEXT(INDEX($K$7:$K$24,SMALL(IF($N$7:$N$24&lt;&gt;"",IF($K$7:$K$24&lt;&gt;"",ROW($K$7:$K$24)-MIN(ROW($K$7:$K$24))+1,""),""),ROW()-ROW(A$26)+1)),"##0"),","),"")</f>
        <v>0</v>
      </c>
      <c r="L37">
        <f t="array" ref="L37">IFERROR(CONCATENATE((INDEX($N$7:$N$24,SMALL(IF($N$7:$N$24&lt;&gt;"",IF($K$7:$K$24&lt;&gt;"",ROW($K$7:$K$24)-MIN(ROW($K$7:$K$24))+1,""),""),ROW()-ROW(A$26)+1))),","),"")</f>
        <v>0</v>
      </c>
      <c r="M37">
        <f t="array" ref="M37">IFERROR(CONCATENATE((INDEX($A$7:$A$24,SMALL(IF($N$7:$N$24&lt;&gt;"",IF($K$7:$K$24&lt;&gt;"",ROW($K$7:$K$24)-MIN(ROW($K$7:$K$24))+1,""),""),ROW()-ROW(A$26)+1))),),"")</f>
        <v>0</v>
      </c>
      <c r="Q37">
        <f t="array" ref="Q37">IFERROR(CONCATENATE((INDEX($T$7:$T$24,SMALL(IF($T$7:$T$24&lt;&gt;"",IF($Q$7:$Q$24&lt;&gt;"",ROW($Q$7:$Q$24)-MIN(ROW($Q$7:$Q$24))+1,""),""),ROW()-ROW(A$26)+1)))," "),"")</f>
        <v>0</v>
      </c>
      <c r="R37">
        <f t="array" ref="R37">IFERROR(CONCATENATE(TEXT(INDEX($Q$7:$Q$24,SMALL(IF($T$7:$T$24&lt;&gt;"",IF($Q$7:$Q$24&lt;&gt;"",ROW($Q$7:$Q$24)-MIN(ROW($Q$7:$Q$24))+1,""),""),ROW()-ROW(A$26)+1)),"##0")," "),"")</f>
        <v>0</v>
      </c>
      <c r="S37">
        <f t="array" ref="S37">IFERROR(CONCATENATE((INDEX($A$7:$A$24,SMALL(IF($T$7:$T$24&lt;&gt;"",IF($Q$7:$Q$24&lt;&gt;"",ROW($Q$7:$Q$24)-MIN(ROW($Q$7:$Q$24))+1,""),""),ROW()-ROW(A$26)+1))),),"")</f>
        <v>0</v>
      </c>
      <c r="W37">
        <f t="array" ref="W37">IFERROR(CONCATENATE((INDEX($Z$7:$Z$24,SMALL(IF($Z$7:$Z$24&lt;&gt;"",IF($W$7:$W$24&lt;&gt;"",ROW($W$7:$W$24)-MIN(ROW($W$7:$W$24))+1,""),""),ROW()-ROW(A$26)+1)))," "),"")</f>
        <v>0</v>
      </c>
      <c r="X37">
        <f t="array" ref="X37">IFERROR(CONCATENATE(TEXT(INDEX($W$7:$W$24,SMALL(IF($Z$7:$Z$24&lt;&gt;"",IF($W$7:$W$24&lt;&gt;"",ROW($W$7:$W$24)-MIN(ROW($W$7:$W$24))+1,""),""),ROW()-ROW(A$26)+1)),"##0")," "),"")</f>
        <v>0</v>
      </c>
      <c r="Y37">
        <f t="array" ref="Y37">IFERROR(CONCATENATE((INDEX($A$7:$A$24,SMALL(IF($Z$7:$Z$24&lt;&gt;"",IF($W$7:$W$24&lt;&gt;"",ROW($W$7:$W$24)-MIN(ROW($W$7:$W$24))+1,""),""),ROW()-ROW(A$26)+1))),),"")</f>
        <v>0</v>
      </c>
      <c r="AC37">
        <f t="array" ref="AC37">IFERROR(CONCATENATE((INDEX($AF$7:$AF$24,SMALL(IF($AF$7:$AF$24&lt;&gt;"",IF($AC$7:$AC$24&lt;&gt;"",ROW($AC$7:$AC$24)-MIN(ROW($AC$7:$AC$24))+1,""),""),ROW()-ROW(A$26)+1))),","),"")</f>
        <v>0</v>
      </c>
      <c r="AD37">
        <f t="array" ref="AD37">IFERROR(CONCATENATE(TEXT(INDEX($AC$7:$AC$24,SMALL(IF($AF$7:$AF$24&lt;&gt;"",IF($AC$7:$AC$24&lt;&gt;"",ROW($AC$7:$AC$24)-MIN(ROW($AC$7:$AC$24))+1,""),""),ROW()-ROW(A$26)+1)),"##0"),","),"")</f>
        <v>0</v>
      </c>
      <c r="AE37">
        <f t="array" ref="AE37">IFERROR(CONCATENATE((INDEX($A$7:$A$24,SMALL(IF($AF$7:$AF$24&lt;&gt;"",IF($AC$7:$AC$24&lt;&gt;"",ROW($AC$7:$AC$24)-MIN(ROW($AC$7:$AC$24))+1,""),""),ROW()-ROW(A$26)+1))),),"")</f>
        <v>0</v>
      </c>
      <c r="AI37">
        <f t="array" ref="AI37">IFERROR(CONCATENATE((INDEX($AL$7:$AL$24,SMALL(IF($AL$7:$AL$24&lt;&gt;"",IF($AI$7:$AI$24&lt;&gt;"",ROW($AI$7:$AI$24)-MIN(ROW($AI$7:$AI$24))+1,""),""),ROW()-ROW(A$26)+1)))," "),"")</f>
        <v>0</v>
      </c>
      <c r="AJ37">
        <f t="array" ref="AJ37">IFERROR(CONCATENATE(TEXT(INDEX($AI$7:$AI$24,SMALL(IF($AL$7:$AL$24&lt;&gt;"",IF($AI$7:$AI$24&lt;&gt;"",ROW($AI$7:$AI$24)-MIN(ROW($AI$7:$AI$24))+1,""),""),ROW()-ROW(A$26)+1)),"##0")," "),"")</f>
        <v>0</v>
      </c>
      <c r="AK37">
        <f t="array" ref="AK37">IFERROR(CONCATENATE((INDEX($A$7:$A$24,SMALL(IF($AL$7:$AL$24&lt;&gt;"",IF($AI$7:$AI$24&lt;&gt;"",ROW($AI$7:$AI$24)-MIN(ROW($AI$7:$AI$24))+1,""),""),ROW()-ROW(A$26)+1))),),"")</f>
        <v>0</v>
      </c>
    </row>
    <row r="38" spans="11:37">
      <c r="K38">
        <f t="array" ref="K38">IFERROR(CONCATENATE(TEXT(INDEX($K$7:$K$24,SMALL(IF($N$7:$N$24&lt;&gt;"",IF($K$7:$K$24&lt;&gt;"",ROW($K$7:$K$24)-MIN(ROW($K$7:$K$24))+1,""),""),ROW()-ROW(A$26)+1)),"##0"),","),"")</f>
        <v>0</v>
      </c>
      <c r="L38">
        <f t="array" ref="L38">IFERROR(CONCATENATE((INDEX($N$7:$N$24,SMALL(IF($N$7:$N$24&lt;&gt;"",IF($K$7:$K$24&lt;&gt;"",ROW($K$7:$K$24)-MIN(ROW($K$7:$K$24))+1,""),""),ROW()-ROW(A$26)+1))),","),"")</f>
        <v>0</v>
      </c>
      <c r="M38">
        <f t="array" ref="M38">IFERROR(CONCATENATE((INDEX($A$7:$A$24,SMALL(IF($N$7:$N$24&lt;&gt;"",IF($K$7:$K$24&lt;&gt;"",ROW($K$7:$K$24)-MIN(ROW($K$7:$K$24))+1,""),""),ROW()-ROW(A$26)+1))),),"")</f>
        <v>0</v>
      </c>
      <c r="Q38">
        <f t="array" ref="Q38">IFERROR(CONCATENATE((INDEX($T$7:$T$24,SMALL(IF($T$7:$T$24&lt;&gt;"",IF($Q$7:$Q$24&lt;&gt;"",ROW($Q$7:$Q$24)-MIN(ROW($Q$7:$Q$24))+1,""),""),ROW()-ROW(A$26)+1)))," "),"")</f>
        <v>0</v>
      </c>
      <c r="R38">
        <f t="array" ref="R38">IFERROR(CONCATENATE(TEXT(INDEX($Q$7:$Q$24,SMALL(IF($T$7:$T$24&lt;&gt;"",IF($Q$7:$Q$24&lt;&gt;"",ROW($Q$7:$Q$24)-MIN(ROW($Q$7:$Q$24))+1,""),""),ROW()-ROW(A$26)+1)),"##0")," "),"")</f>
        <v>0</v>
      </c>
      <c r="S38">
        <f t="array" ref="S38">IFERROR(CONCATENATE((INDEX($A$7:$A$24,SMALL(IF($T$7:$T$24&lt;&gt;"",IF($Q$7:$Q$24&lt;&gt;"",ROW($Q$7:$Q$24)-MIN(ROW($Q$7:$Q$24))+1,""),""),ROW()-ROW(A$26)+1))),),"")</f>
        <v>0</v>
      </c>
      <c r="W38">
        <f t="array" ref="W38">IFERROR(CONCATENATE((INDEX($Z$7:$Z$24,SMALL(IF($Z$7:$Z$24&lt;&gt;"",IF($W$7:$W$24&lt;&gt;"",ROW($W$7:$W$24)-MIN(ROW($W$7:$W$24))+1,""),""),ROW()-ROW(A$26)+1)))," "),"")</f>
        <v>0</v>
      </c>
      <c r="X38">
        <f t="array" ref="X38">IFERROR(CONCATENATE(TEXT(INDEX($W$7:$W$24,SMALL(IF($Z$7:$Z$24&lt;&gt;"",IF($W$7:$W$24&lt;&gt;"",ROW($W$7:$W$24)-MIN(ROW($W$7:$W$24))+1,""),""),ROW()-ROW(A$26)+1)),"##0")," "),"")</f>
        <v>0</v>
      </c>
      <c r="Y38">
        <f t="array" ref="Y38">IFERROR(CONCATENATE((INDEX($A$7:$A$24,SMALL(IF($Z$7:$Z$24&lt;&gt;"",IF($W$7:$W$24&lt;&gt;"",ROW($W$7:$W$24)-MIN(ROW($W$7:$W$24))+1,""),""),ROW()-ROW(A$26)+1))),),"")</f>
        <v>0</v>
      </c>
      <c r="AC38">
        <f t="array" ref="AC38">IFERROR(CONCATENATE((INDEX($AF$7:$AF$24,SMALL(IF($AF$7:$AF$24&lt;&gt;"",IF($AC$7:$AC$24&lt;&gt;"",ROW($AC$7:$AC$24)-MIN(ROW($AC$7:$AC$24))+1,""),""),ROW()-ROW(A$26)+1))),","),"")</f>
        <v>0</v>
      </c>
      <c r="AD38">
        <f t="array" ref="AD38">IFERROR(CONCATENATE(TEXT(INDEX($AC$7:$AC$24,SMALL(IF($AF$7:$AF$24&lt;&gt;"",IF($AC$7:$AC$24&lt;&gt;"",ROW($AC$7:$AC$24)-MIN(ROW($AC$7:$AC$24))+1,""),""),ROW()-ROW(A$26)+1)),"##0"),","),"")</f>
        <v>0</v>
      </c>
      <c r="AE38">
        <f t="array" ref="AE38">IFERROR(CONCATENATE((INDEX($A$7:$A$24,SMALL(IF($AF$7:$AF$24&lt;&gt;"",IF($AC$7:$AC$24&lt;&gt;"",ROW($AC$7:$AC$24)-MIN(ROW($AC$7:$AC$24))+1,""),""),ROW()-ROW(A$26)+1))),),"")</f>
        <v>0</v>
      </c>
      <c r="AI38">
        <f t="array" ref="AI38">IFERROR(CONCATENATE((INDEX($AL$7:$AL$24,SMALL(IF($AL$7:$AL$24&lt;&gt;"",IF($AI$7:$AI$24&lt;&gt;"",ROW($AI$7:$AI$24)-MIN(ROW($AI$7:$AI$24))+1,""),""),ROW()-ROW(A$26)+1)))," "),"")</f>
        <v>0</v>
      </c>
      <c r="AJ38">
        <f t="array" ref="AJ38">IFERROR(CONCATENATE(TEXT(INDEX($AI$7:$AI$24,SMALL(IF($AL$7:$AL$24&lt;&gt;"",IF($AI$7:$AI$24&lt;&gt;"",ROW($AI$7:$AI$24)-MIN(ROW($AI$7:$AI$24))+1,""),""),ROW()-ROW(A$26)+1)),"##0")," "),"")</f>
        <v>0</v>
      </c>
      <c r="AK38">
        <f t="array" ref="AK38">IFERROR(CONCATENATE((INDEX($A$7:$A$24,SMALL(IF($AL$7:$AL$24&lt;&gt;"",IF($AI$7:$AI$24&lt;&gt;"",ROW($AI$7:$AI$24)-MIN(ROW($AI$7:$AI$24))+1,""),""),ROW()-ROW(A$26)+1))),),"")</f>
        <v>0</v>
      </c>
    </row>
    <row r="39" spans="11:37">
      <c r="K39">
        <f t="array" ref="K39">IFERROR(CONCATENATE(TEXT(INDEX($K$7:$K$24,SMALL(IF($N$7:$N$24&lt;&gt;"",IF($K$7:$K$24&lt;&gt;"",ROW($K$7:$K$24)-MIN(ROW($K$7:$K$24))+1,""),""),ROW()-ROW(A$26)+1)),"##0"),","),"")</f>
        <v>0</v>
      </c>
      <c r="L39">
        <f t="array" ref="L39">IFERROR(CONCATENATE((INDEX($N$7:$N$24,SMALL(IF($N$7:$N$24&lt;&gt;"",IF($K$7:$K$24&lt;&gt;"",ROW($K$7:$K$24)-MIN(ROW($K$7:$K$24))+1,""),""),ROW()-ROW(A$26)+1))),","),"")</f>
        <v>0</v>
      </c>
      <c r="M39">
        <f t="array" ref="M39">IFERROR(CONCATENATE((INDEX($A$7:$A$24,SMALL(IF($N$7:$N$24&lt;&gt;"",IF($K$7:$K$24&lt;&gt;"",ROW($K$7:$K$24)-MIN(ROW($K$7:$K$24))+1,""),""),ROW()-ROW(A$26)+1))),),"")</f>
        <v>0</v>
      </c>
      <c r="Q39">
        <f t="array" ref="Q39">IFERROR(CONCATENATE((INDEX($T$7:$T$24,SMALL(IF($T$7:$T$24&lt;&gt;"",IF($Q$7:$Q$24&lt;&gt;"",ROW($Q$7:$Q$24)-MIN(ROW($Q$7:$Q$24))+1,""),""),ROW()-ROW(A$26)+1)))," "),"")</f>
        <v>0</v>
      </c>
      <c r="R39">
        <f t="array" ref="R39">IFERROR(CONCATENATE(TEXT(INDEX($Q$7:$Q$24,SMALL(IF($T$7:$T$24&lt;&gt;"",IF($Q$7:$Q$24&lt;&gt;"",ROW($Q$7:$Q$24)-MIN(ROW($Q$7:$Q$24))+1,""),""),ROW()-ROW(A$26)+1)),"##0")," "),"")</f>
        <v>0</v>
      </c>
      <c r="S39">
        <f t="array" ref="S39">IFERROR(CONCATENATE((INDEX($A$7:$A$24,SMALL(IF($T$7:$T$24&lt;&gt;"",IF($Q$7:$Q$24&lt;&gt;"",ROW($Q$7:$Q$24)-MIN(ROW($Q$7:$Q$24))+1,""),""),ROW()-ROW(A$26)+1))),),"")</f>
        <v>0</v>
      </c>
      <c r="W39">
        <f t="array" ref="W39">IFERROR(CONCATENATE((INDEX($Z$7:$Z$24,SMALL(IF($Z$7:$Z$24&lt;&gt;"",IF($W$7:$W$24&lt;&gt;"",ROW($W$7:$W$24)-MIN(ROW($W$7:$W$24))+1,""),""),ROW()-ROW(A$26)+1)))," "),"")</f>
        <v>0</v>
      </c>
      <c r="X39">
        <f t="array" ref="X39">IFERROR(CONCATENATE(TEXT(INDEX($W$7:$W$24,SMALL(IF($Z$7:$Z$24&lt;&gt;"",IF($W$7:$W$24&lt;&gt;"",ROW($W$7:$W$24)-MIN(ROW($W$7:$W$24))+1,""),""),ROW()-ROW(A$26)+1)),"##0")," "),"")</f>
        <v>0</v>
      </c>
      <c r="Y39">
        <f t="array" ref="Y39">IFERROR(CONCATENATE((INDEX($A$7:$A$24,SMALL(IF($Z$7:$Z$24&lt;&gt;"",IF($W$7:$W$24&lt;&gt;"",ROW($W$7:$W$24)-MIN(ROW($W$7:$W$24))+1,""),""),ROW()-ROW(A$26)+1))),),"")</f>
        <v>0</v>
      </c>
      <c r="AC39">
        <f t="array" ref="AC39">IFERROR(CONCATENATE((INDEX($AF$7:$AF$24,SMALL(IF($AF$7:$AF$24&lt;&gt;"",IF($AC$7:$AC$24&lt;&gt;"",ROW($AC$7:$AC$24)-MIN(ROW($AC$7:$AC$24))+1,""),""),ROW()-ROW(A$26)+1))),","),"")</f>
        <v>0</v>
      </c>
      <c r="AD39">
        <f t="array" ref="AD39">IFERROR(CONCATENATE(TEXT(INDEX($AC$7:$AC$24,SMALL(IF($AF$7:$AF$24&lt;&gt;"",IF($AC$7:$AC$24&lt;&gt;"",ROW($AC$7:$AC$24)-MIN(ROW($AC$7:$AC$24))+1,""),""),ROW()-ROW(A$26)+1)),"##0"),","),"")</f>
        <v>0</v>
      </c>
      <c r="AE39">
        <f t="array" ref="AE39">IFERROR(CONCATENATE((INDEX($A$7:$A$24,SMALL(IF($AF$7:$AF$24&lt;&gt;"",IF($AC$7:$AC$24&lt;&gt;"",ROW($AC$7:$AC$24)-MIN(ROW($AC$7:$AC$24))+1,""),""),ROW()-ROW(A$26)+1))),),"")</f>
        <v>0</v>
      </c>
      <c r="AI39">
        <f t="array" ref="AI39">IFERROR(CONCATENATE((INDEX($AL$7:$AL$24,SMALL(IF($AL$7:$AL$24&lt;&gt;"",IF($AI$7:$AI$24&lt;&gt;"",ROW($AI$7:$AI$24)-MIN(ROW($AI$7:$AI$24))+1,""),""),ROW()-ROW(A$26)+1)))," "),"")</f>
        <v>0</v>
      </c>
      <c r="AJ39">
        <f t="array" ref="AJ39">IFERROR(CONCATENATE(TEXT(INDEX($AI$7:$AI$24,SMALL(IF($AL$7:$AL$24&lt;&gt;"",IF($AI$7:$AI$24&lt;&gt;"",ROW($AI$7:$AI$24)-MIN(ROW($AI$7:$AI$24))+1,""),""),ROW()-ROW(A$26)+1)),"##0")," "),"")</f>
        <v>0</v>
      </c>
      <c r="AK39">
        <f t="array" ref="AK39">IFERROR(CONCATENATE((INDEX($A$7:$A$24,SMALL(IF($AL$7:$AL$24&lt;&gt;"",IF($AI$7:$AI$24&lt;&gt;"",ROW($AI$7:$AI$24)-MIN(ROW($AI$7:$AI$24))+1,""),""),ROW()-ROW(A$26)+1))),),"")</f>
        <v>0</v>
      </c>
    </row>
    <row r="40" spans="11:37">
      <c r="K40">
        <f t="array" ref="K40">IFERROR(CONCATENATE(TEXT(INDEX($K$7:$K$24,SMALL(IF($N$7:$N$24&lt;&gt;"",IF($K$7:$K$24&lt;&gt;"",ROW($K$7:$K$24)-MIN(ROW($K$7:$K$24))+1,""),""),ROW()-ROW(A$26)+1)),"##0"),","),"")</f>
        <v>0</v>
      </c>
      <c r="L40">
        <f t="array" ref="L40">IFERROR(CONCATENATE((INDEX($N$7:$N$24,SMALL(IF($N$7:$N$24&lt;&gt;"",IF($K$7:$K$24&lt;&gt;"",ROW($K$7:$K$24)-MIN(ROW($K$7:$K$24))+1,""),""),ROW()-ROW(A$26)+1))),","),"")</f>
        <v>0</v>
      </c>
      <c r="M40">
        <f t="array" ref="M40">IFERROR(CONCATENATE((INDEX($A$7:$A$24,SMALL(IF($N$7:$N$24&lt;&gt;"",IF($K$7:$K$24&lt;&gt;"",ROW($K$7:$K$24)-MIN(ROW($K$7:$K$24))+1,""),""),ROW()-ROW(A$26)+1))),),"")</f>
        <v>0</v>
      </c>
      <c r="Q40">
        <f t="array" ref="Q40">IFERROR(CONCATENATE((INDEX($T$7:$T$24,SMALL(IF($T$7:$T$24&lt;&gt;"",IF($Q$7:$Q$24&lt;&gt;"",ROW($Q$7:$Q$24)-MIN(ROW($Q$7:$Q$24))+1,""),""),ROW()-ROW(A$26)+1)))," "),"")</f>
        <v>0</v>
      </c>
      <c r="R40">
        <f t="array" ref="R40">IFERROR(CONCATENATE(TEXT(INDEX($Q$7:$Q$24,SMALL(IF($T$7:$T$24&lt;&gt;"",IF($Q$7:$Q$24&lt;&gt;"",ROW($Q$7:$Q$24)-MIN(ROW($Q$7:$Q$24))+1,""),""),ROW()-ROW(A$26)+1)),"##0")," "),"")</f>
        <v>0</v>
      </c>
      <c r="S40">
        <f t="array" ref="S40">IFERROR(CONCATENATE((INDEX($A$7:$A$24,SMALL(IF($T$7:$T$24&lt;&gt;"",IF($Q$7:$Q$24&lt;&gt;"",ROW($Q$7:$Q$24)-MIN(ROW($Q$7:$Q$24))+1,""),""),ROW()-ROW(A$26)+1))),),"")</f>
        <v>0</v>
      </c>
      <c r="W40">
        <f t="array" ref="W40">IFERROR(CONCATENATE((INDEX($Z$7:$Z$24,SMALL(IF($Z$7:$Z$24&lt;&gt;"",IF($W$7:$W$24&lt;&gt;"",ROW($W$7:$W$24)-MIN(ROW($W$7:$W$24))+1,""),""),ROW()-ROW(A$26)+1)))," "),"")</f>
        <v>0</v>
      </c>
      <c r="X40">
        <f t="array" ref="X40">IFERROR(CONCATENATE(TEXT(INDEX($W$7:$W$24,SMALL(IF($Z$7:$Z$24&lt;&gt;"",IF($W$7:$W$24&lt;&gt;"",ROW($W$7:$W$24)-MIN(ROW($W$7:$W$24))+1,""),""),ROW()-ROW(A$26)+1)),"##0")," "),"")</f>
        <v>0</v>
      </c>
      <c r="Y40">
        <f t="array" ref="Y40">IFERROR(CONCATENATE((INDEX($A$7:$A$24,SMALL(IF($Z$7:$Z$24&lt;&gt;"",IF($W$7:$W$24&lt;&gt;"",ROW($W$7:$W$24)-MIN(ROW($W$7:$W$24))+1,""),""),ROW()-ROW(A$26)+1))),),"")</f>
        <v>0</v>
      </c>
      <c r="AC40">
        <f t="array" ref="AC40">IFERROR(CONCATENATE((INDEX($AF$7:$AF$24,SMALL(IF($AF$7:$AF$24&lt;&gt;"",IF($AC$7:$AC$24&lt;&gt;"",ROW($AC$7:$AC$24)-MIN(ROW($AC$7:$AC$24))+1,""),""),ROW()-ROW(A$26)+1))),","),"")</f>
        <v>0</v>
      </c>
      <c r="AD40">
        <f t="array" ref="AD40">IFERROR(CONCATENATE(TEXT(INDEX($AC$7:$AC$24,SMALL(IF($AF$7:$AF$24&lt;&gt;"",IF($AC$7:$AC$24&lt;&gt;"",ROW($AC$7:$AC$24)-MIN(ROW($AC$7:$AC$24))+1,""),""),ROW()-ROW(A$26)+1)),"##0"),","),"")</f>
        <v>0</v>
      </c>
      <c r="AE40">
        <f t="array" ref="AE40">IFERROR(CONCATENATE((INDEX($A$7:$A$24,SMALL(IF($AF$7:$AF$24&lt;&gt;"",IF($AC$7:$AC$24&lt;&gt;"",ROW($AC$7:$AC$24)-MIN(ROW($AC$7:$AC$24))+1,""),""),ROW()-ROW(A$26)+1))),),"")</f>
        <v>0</v>
      </c>
      <c r="AI40">
        <f t="array" ref="AI40">IFERROR(CONCATENATE((INDEX($AL$7:$AL$24,SMALL(IF($AL$7:$AL$24&lt;&gt;"",IF($AI$7:$AI$24&lt;&gt;"",ROW($AI$7:$AI$24)-MIN(ROW($AI$7:$AI$24))+1,""),""),ROW()-ROW(A$26)+1)))," "),"")</f>
        <v>0</v>
      </c>
      <c r="AJ40">
        <f t="array" ref="AJ40">IFERROR(CONCATENATE(TEXT(INDEX($AI$7:$AI$24,SMALL(IF($AL$7:$AL$24&lt;&gt;"",IF($AI$7:$AI$24&lt;&gt;"",ROW($AI$7:$AI$24)-MIN(ROW($AI$7:$AI$24))+1,""),""),ROW()-ROW(A$26)+1)),"##0")," "),"")</f>
        <v>0</v>
      </c>
      <c r="AK40">
        <f t="array" ref="AK40">IFERROR(CONCATENATE((INDEX($A$7:$A$24,SMALL(IF($AL$7:$AL$24&lt;&gt;"",IF($AI$7:$AI$24&lt;&gt;"",ROW($AI$7:$AI$24)-MIN(ROW($AI$7:$AI$24))+1,""),""),ROW()-ROW(A$26)+1))),),"")</f>
        <v>0</v>
      </c>
    </row>
    <row r="41" spans="11:37">
      <c r="K41">
        <f t="array" ref="K41">IFERROR(CONCATENATE(TEXT(INDEX($K$7:$K$24,SMALL(IF($N$7:$N$24&lt;&gt;"",IF($K$7:$K$24&lt;&gt;"",ROW($K$7:$K$24)-MIN(ROW($K$7:$K$24))+1,""),""),ROW()-ROW(A$26)+1)),"##0"),","),"")</f>
        <v>0</v>
      </c>
      <c r="L41">
        <f t="array" ref="L41">IFERROR(CONCATENATE((INDEX($N$7:$N$24,SMALL(IF($N$7:$N$24&lt;&gt;"",IF($K$7:$K$24&lt;&gt;"",ROW($K$7:$K$24)-MIN(ROW($K$7:$K$24))+1,""),""),ROW()-ROW(A$26)+1))),","),"")</f>
        <v>0</v>
      </c>
      <c r="M41">
        <f t="array" ref="M41">IFERROR(CONCATENATE((INDEX($A$7:$A$24,SMALL(IF($N$7:$N$24&lt;&gt;"",IF($K$7:$K$24&lt;&gt;"",ROW($K$7:$K$24)-MIN(ROW($K$7:$K$24))+1,""),""),ROW()-ROW(A$26)+1))),),"")</f>
        <v>0</v>
      </c>
      <c r="Q41">
        <f t="array" ref="Q41">IFERROR(CONCATENATE((INDEX($T$7:$T$24,SMALL(IF($T$7:$T$24&lt;&gt;"",IF($Q$7:$Q$24&lt;&gt;"",ROW($Q$7:$Q$24)-MIN(ROW($Q$7:$Q$24))+1,""),""),ROW()-ROW(A$26)+1)))," "),"")</f>
        <v>0</v>
      </c>
      <c r="R41">
        <f t="array" ref="R41">IFERROR(CONCATENATE(TEXT(INDEX($Q$7:$Q$24,SMALL(IF($T$7:$T$24&lt;&gt;"",IF($Q$7:$Q$24&lt;&gt;"",ROW($Q$7:$Q$24)-MIN(ROW($Q$7:$Q$24))+1,""),""),ROW()-ROW(A$26)+1)),"##0")," "),"")</f>
        <v>0</v>
      </c>
      <c r="S41">
        <f t="array" ref="S41">IFERROR(CONCATENATE((INDEX($A$7:$A$24,SMALL(IF($T$7:$T$24&lt;&gt;"",IF($Q$7:$Q$24&lt;&gt;"",ROW($Q$7:$Q$24)-MIN(ROW($Q$7:$Q$24))+1,""),""),ROW()-ROW(A$26)+1))),),"")</f>
        <v>0</v>
      </c>
      <c r="W41">
        <f t="array" ref="W41">IFERROR(CONCATENATE((INDEX($Z$7:$Z$24,SMALL(IF($Z$7:$Z$24&lt;&gt;"",IF($W$7:$W$24&lt;&gt;"",ROW($W$7:$W$24)-MIN(ROW($W$7:$W$24))+1,""),""),ROW()-ROW(A$26)+1)))," "),"")</f>
        <v>0</v>
      </c>
      <c r="X41">
        <f t="array" ref="X41">IFERROR(CONCATENATE(TEXT(INDEX($W$7:$W$24,SMALL(IF($Z$7:$Z$24&lt;&gt;"",IF($W$7:$W$24&lt;&gt;"",ROW($W$7:$W$24)-MIN(ROW($W$7:$W$24))+1,""),""),ROW()-ROW(A$26)+1)),"##0")," "),"")</f>
        <v>0</v>
      </c>
      <c r="Y41">
        <f t="array" ref="Y41">IFERROR(CONCATENATE((INDEX($A$7:$A$24,SMALL(IF($Z$7:$Z$24&lt;&gt;"",IF($W$7:$W$24&lt;&gt;"",ROW($W$7:$W$24)-MIN(ROW($W$7:$W$24))+1,""),""),ROW()-ROW(A$26)+1))),),"")</f>
        <v>0</v>
      </c>
      <c r="AC41">
        <f t="array" ref="AC41">IFERROR(CONCATENATE((INDEX($AF$7:$AF$24,SMALL(IF($AF$7:$AF$24&lt;&gt;"",IF($AC$7:$AC$24&lt;&gt;"",ROW($AC$7:$AC$24)-MIN(ROW($AC$7:$AC$24))+1,""),""),ROW()-ROW(A$26)+1))),","),"")</f>
        <v>0</v>
      </c>
      <c r="AD41">
        <f t="array" ref="AD41">IFERROR(CONCATENATE(TEXT(INDEX($AC$7:$AC$24,SMALL(IF($AF$7:$AF$24&lt;&gt;"",IF($AC$7:$AC$24&lt;&gt;"",ROW($AC$7:$AC$24)-MIN(ROW($AC$7:$AC$24))+1,""),""),ROW()-ROW(A$26)+1)),"##0"),","),"")</f>
        <v>0</v>
      </c>
      <c r="AE41">
        <f t="array" ref="AE41">IFERROR(CONCATENATE((INDEX($A$7:$A$24,SMALL(IF($AF$7:$AF$24&lt;&gt;"",IF($AC$7:$AC$24&lt;&gt;"",ROW($AC$7:$AC$24)-MIN(ROW($AC$7:$AC$24))+1,""),""),ROW()-ROW(A$26)+1))),),"")</f>
        <v>0</v>
      </c>
      <c r="AI41">
        <f t="array" ref="AI41">IFERROR(CONCATENATE((INDEX($AL$7:$AL$24,SMALL(IF($AL$7:$AL$24&lt;&gt;"",IF($AI$7:$AI$24&lt;&gt;"",ROW($AI$7:$AI$24)-MIN(ROW($AI$7:$AI$24))+1,""),""),ROW()-ROW(A$26)+1)))," "),"")</f>
        <v>0</v>
      </c>
      <c r="AJ41">
        <f t="array" ref="AJ41">IFERROR(CONCATENATE(TEXT(INDEX($AI$7:$AI$24,SMALL(IF($AL$7:$AL$24&lt;&gt;"",IF($AI$7:$AI$24&lt;&gt;"",ROW($AI$7:$AI$24)-MIN(ROW($AI$7:$AI$24))+1,""),""),ROW()-ROW(A$26)+1)),"##0")," "),"")</f>
        <v>0</v>
      </c>
      <c r="AK41">
        <f t="array" ref="AK41">IFERROR(CONCATENATE((INDEX($A$7:$A$24,SMALL(IF($AL$7:$AL$24&lt;&gt;"",IF($AI$7:$AI$24&lt;&gt;"",ROW($AI$7:$AI$24)-MIN(ROW($AI$7:$AI$24))+1,""),""),ROW()-ROW(A$26)+1))),),"")</f>
        <v>0</v>
      </c>
    </row>
    <row r="42" spans="11:37">
      <c r="K42">
        <f t="array" ref="K42">IFERROR(CONCATENATE(TEXT(INDEX($K$7:$K$24,SMALL(IF($N$7:$N$24&lt;&gt;"",IF($K$7:$K$24&lt;&gt;"",ROW($K$7:$K$24)-MIN(ROW($K$7:$K$24))+1,""),""),ROW()-ROW(A$26)+1)),"##0"),","),"")</f>
        <v>0</v>
      </c>
      <c r="L42">
        <f t="array" ref="L42">IFERROR(CONCATENATE((INDEX($N$7:$N$24,SMALL(IF($N$7:$N$24&lt;&gt;"",IF($K$7:$K$24&lt;&gt;"",ROW($K$7:$K$24)-MIN(ROW($K$7:$K$24))+1,""),""),ROW()-ROW(A$26)+1))),","),"")</f>
        <v>0</v>
      </c>
      <c r="M42">
        <f t="array" ref="M42">IFERROR(CONCATENATE((INDEX($A$7:$A$24,SMALL(IF($N$7:$N$24&lt;&gt;"",IF($K$7:$K$24&lt;&gt;"",ROW($K$7:$K$24)-MIN(ROW($K$7:$K$24))+1,""),""),ROW()-ROW(A$26)+1))),),"")</f>
        <v>0</v>
      </c>
      <c r="Q42">
        <f t="array" ref="Q42">IFERROR(CONCATENATE((INDEX($T$7:$T$24,SMALL(IF($T$7:$T$24&lt;&gt;"",IF($Q$7:$Q$24&lt;&gt;"",ROW($Q$7:$Q$24)-MIN(ROW($Q$7:$Q$24))+1,""),""),ROW()-ROW(A$26)+1)))," "),"")</f>
        <v>0</v>
      </c>
      <c r="R42">
        <f t="array" ref="R42">IFERROR(CONCATENATE(TEXT(INDEX($Q$7:$Q$24,SMALL(IF($T$7:$T$24&lt;&gt;"",IF($Q$7:$Q$24&lt;&gt;"",ROW($Q$7:$Q$24)-MIN(ROW($Q$7:$Q$24))+1,""),""),ROW()-ROW(A$26)+1)),"##0")," "),"")</f>
        <v>0</v>
      </c>
      <c r="S42">
        <f t="array" ref="S42">IFERROR(CONCATENATE((INDEX($A$7:$A$24,SMALL(IF($T$7:$T$24&lt;&gt;"",IF($Q$7:$Q$24&lt;&gt;"",ROW($Q$7:$Q$24)-MIN(ROW($Q$7:$Q$24))+1,""),""),ROW()-ROW(A$26)+1))),),"")</f>
        <v>0</v>
      </c>
      <c r="W42">
        <f t="array" ref="W42">IFERROR(CONCATENATE((INDEX($Z$7:$Z$24,SMALL(IF($Z$7:$Z$24&lt;&gt;"",IF($W$7:$W$24&lt;&gt;"",ROW($W$7:$W$24)-MIN(ROW($W$7:$W$24))+1,""),""),ROW()-ROW(A$26)+1)))," "),"")</f>
        <v>0</v>
      </c>
      <c r="X42">
        <f t="array" ref="X42">IFERROR(CONCATENATE(TEXT(INDEX($W$7:$W$24,SMALL(IF($Z$7:$Z$24&lt;&gt;"",IF($W$7:$W$24&lt;&gt;"",ROW($W$7:$W$24)-MIN(ROW($W$7:$W$24))+1,""),""),ROW()-ROW(A$26)+1)),"##0")," "),"")</f>
        <v>0</v>
      </c>
      <c r="Y42">
        <f t="array" ref="Y42">IFERROR(CONCATENATE((INDEX($A$7:$A$24,SMALL(IF($Z$7:$Z$24&lt;&gt;"",IF($W$7:$W$24&lt;&gt;"",ROW($W$7:$W$24)-MIN(ROW($W$7:$W$24))+1,""),""),ROW()-ROW(A$26)+1))),),"")</f>
        <v>0</v>
      </c>
      <c r="AC42">
        <f t="array" ref="AC42">IFERROR(CONCATENATE((INDEX($AF$7:$AF$24,SMALL(IF($AF$7:$AF$24&lt;&gt;"",IF($AC$7:$AC$24&lt;&gt;"",ROW($AC$7:$AC$24)-MIN(ROW($AC$7:$AC$24))+1,""),""),ROW()-ROW(A$26)+1))),","),"")</f>
        <v>0</v>
      </c>
      <c r="AD42">
        <f t="array" ref="AD42">IFERROR(CONCATENATE(TEXT(INDEX($AC$7:$AC$24,SMALL(IF($AF$7:$AF$24&lt;&gt;"",IF($AC$7:$AC$24&lt;&gt;"",ROW($AC$7:$AC$24)-MIN(ROW($AC$7:$AC$24))+1,""),""),ROW()-ROW(A$26)+1)),"##0"),","),"")</f>
        <v>0</v>
      </c>
      <c r="AE42">
        <f t="array" ref="AE42">IFERROR(CONCATENATE((INDEX($A$7:$A$24,SMALL(IF($AF$7:$AF$24&lt;&gt;"",IF($AC$7:$AC$24&lt;&gt;"",ROW($AC$7:$AC$24)-MIN(ROW($AC$7:$AC$24))+1,""),""),ROW()-ROW(A$26)+1))),),"")</f>
        <v>0</v>
      </c>
      <c r="AI42">
        <f t="array" ref="AI42">IFERROR(CONCATENATE((INDEX($AL$7:$AL$24,SMALL(IF($AL$7:$AL$24&lt;&gt;"",IF($AI$7:$AI$24&lt;&gt;"",ROW($AI$7:$AI$24)-MIN(ROW($AI$7:$AI$24))+1,""),""),ROW()-ROW(A$26)+1)))," "),"")</f>
        <v>0</v>
      </c>
      <c r="AJ42">
        <f t="array" ref="AJ42">IFERROR(CONCATENATE(TEXT(INDEX($AI$7:$AI$24,SMALL(IF($AL$7:$AL$24&lt;&gt;"",IF($AI$7:$AI$24&lt;&gt;"",ROW($AI$7:$AI$24)-MIN(ROW($AI$7:$AI$24))+1,""),""),ROW()-ROW(A$26)+1)),"##0")," "),"")</f>
        <v>0</v>
      </c>
      <c r="AK42">
        <f t="array" ref="AK42">IFERROR(CONCATENATE((INDEX($A$7:$A$24,SMALL(IF($AL$7:$AL$24&lt;&gt;"",IF($AI$7:$AI$24&lt;&gt;"",ROW($AI$7:$AI$24)-MIN(ROW($AI$7:$AI$24))+1,""),""),ROW()-ROW(A$26)+1))),),"")</f>
        <v>0</v>
      </c>
    </row>
    <row r="43" spans="11:37">
      <c r="K43">
        <f t="array" ref="K43">IFERROR(CONCATENATE(TEXT(INDEX($K$7:$K$24,SMALL(IF($N$7:$N$24&lt;&gt;"",IF($K$7:$K$24&lt;&gt;"",ROW($K$7:$K$24)-MIN(ROW($K$7:$K$24))+1,""),""),ROW()-ROW(A$26)+1)),"##0"),","),"")</f>
        <v>0</v>
      </c>
      <c r="L43">
        <f t="array" ref="L43">IFERROR(CONCATENATE((INDEX($N$7:$N$24,SMALL(IF($N$7:$N$24&lt;&gt;"",IF($K$7:$K$24&lt;&gt;"",ROW($K$7:$K$24)-MIN(ROW($K$7:$K$24))+1,""),""),ROW()-ROW(A$26)+1))),","),"")</f>
        <v>0</v>
      </c>
      <c r="M43">
        <f t="array" ref="M43">IFERROR(CONCATENATE((INDEX($A$7:$A$24,SMALL(IF($N$7:$N$24&lt;&gt;"",IF($K$7:$K$24&lt;&gt;"",ROW($K$7:$K$24)-MIN(ROW($K$7:$K$24))+1,""),""),ROW()-ROW(A$26)+1))),),"")</f>
        <v>0</v>
      </c>
      <c r="Q43">
        <f t="array" ref="Q43">IFERROR(CONCATENATE((INDEX($T$7:$T$24,SMALL(IF($T$7:$T$24&lt;&gt;"",IF($Q$7:$Q$24&lt;&gt;"",ROW($Q$7:$Q$24)-MIN(ROW($Q$7:$Q$24))+1,""),""),ROW()-ROW(A$26)+1)))," "),"")</f>
        <v>0</v>
      </c>
      <c r="R43">
        <f t="array" ref="R43">IFERROR(CONCATENATE(TEXT(INDEX($Q$7:$Q$24,SMALL(IF($T$7:$T$24&lt;&gt;"",IF($Q$7:$Q$24&lt;&gt;"",ROW($Q$7:$Q$24)-MIN(ROW($Q$7:$Q$24))+1,""),""),ROW()-ROW(A$26)+1)),"##0")," "),"")</f>
        <v>0</v>
      </c>
      <c r="S43">
        <f t="array" ref="S43">IFERROR(CONCATENATE((INDEX($A$7:$A$24,SMALL(IF($T$7:$T$24&lt;&gt;"",IF($Q$7:$Q$24&lt;&gt;"",ROW($Q$7:$Q$24)-MIN(ROW($Q$7:$Q$24))+1,""),""),ROW()-ROW(A$26)+1))),),"")</f>
        <v>0</v>
      </c>
      <c r="W43">
        <f t="array" ref="W43">IFERROR(CONCATENATE((INDEX($Z$7:$Z$24,SMALL(IF($Z$7:$Z$24&lt;&gt;"",IF($W$7:$W$24&lt;&gt;"",ROW($W$7:$W$24)-MIN(ROW($W$7:$W$24))+1,""),""),ROW()-ROW(A$26)+1)))," "),"")</f>
        <v>0</v>
      </c>
      <c r="X43">
        <f t="array" ref="X43">IFERROR(CONCATENATE(TEXT(INDEX($W$7:$W$24,SMALL(IF($Z$7:$Z$24&lt;&gt;"",IF($W$7:$W$24&lt;&gt;"",ROW($W$7:$W$24)-MIN(ROW($W$7:$W$24))+1,""),""),ROW()-ROW(A$26)+1)),"##0")," "),"")</f>
        <v>0</v>
      </c>
      <c r="Y43">
        <f t="array" ref="Y43">IFERROR(CONCATENATE((INDEX($A$7:$A$24,SMALL(IF($Z$7:$Z$24&lt;&gt;"",IF($W$7:$W$24&lt;&gt;"",ROW($W$7:$W$24)-MIN(ROW($W$7:$W$24))+1,""),""),ROW()-ROW(A$26)+1))),),"")</f>
        <v>0</v>
      </c>
      <c r="AC43">
        <f t="array" ref="AC43">IFERROR(CONCATENATE((INDEX($AF$7:$AF$24,SMALL(IF($AF$7:$AF$24&lt;&gt;"",IF($AC$7:$AC$24&lt;&gt;"",ROW($AC$7:$AC$24)-MIN(ROW($AC$7:$AC$24))+1,""),""),ROW()-ROW(A$26)+1))),","),"")</f>
        <v>0</v>
      </c>
      <c r="AD43">
        <f t="array" ref="AD43">IFERROR(CONCATENATE(TEXT(INDEX($AC$7:$AC$24,SMALL(IF($AF$7:$AF$24&lt;&gt;"",IF($AC$7:$AC$24&lt;&gt;"",ROW($AC$7:$AC$24)-MIN(ROW($AC$7:$AC$24))+1,""),""),ROW()-ROW(A$26)+1)),"##0"),","),"")</f>
        <v>0</v>
      </c>
      <c r="AE43">
        <f t="array" ref="AE43">IFERROR(CONCATENATE((INDEX($A$7:$A$24,SMALL(IF($AF$7:$AF$24&lt;&gt;"",IF($AC$7:$AC$24&lt;&gt;"",ROW($AC$7:$AC$24)-MIN(ROW($AC$7:$AC$24))+1,""),""),ROW()-ROW(A$26)+1))),),"")</f>
        <v>0</v>
      </c>
      <c r="AI43">
        <f t="array" ref="AI43">IFERROR(CONCATENATE((INDEX($AL$7:$AL$24,SMALL(IF($AL$7:$AL$24&lt;&gt;"",IF($AI$7:$AI$24&lt;&gt;"",ROW($AI$7:$AI$24)-MIN(ROW($AI$7:$AI$24))+1,""),""),ROW()-ROW(A$26)+1)))," "),"")</f>
        <v>0</v>
      </c>
      <c r="AJ43">
        <f t="array" ref="AJ43">IFERROR(CONCATENATE(TEXT(INDEX($AI$7:$AI$24,SMALL(IF($AL$7:$AL$24&lt;&gt;"",IF($AI$7:$AI$24&lt;&gt;"",ROW($AI$7:$AI$24)-MIN(ROW($AI$7:$AI$24))+1,""),""),ROW()-ROW(A$26)+1)),"##0")," "),"")</f>
        <v>0</v>
      </c>
      <c r="AK43">
        <f t="array" ref="AK43">IFERROR(CONCATENATE((INDEX($A$7:$A$24,SMALL(IF($AL$7:$AL$24&lt;&gt;"",IF($AI$7:$AI$24&lt;&gt;"",ROW($AI$7:$AI$24)-MIN(ROW($AI$7:$AI$24))+1,""),""),ROW()-ROW(A$26)+1))),),"")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97" operator="lessThanOrEqual">
      <formula>H10</formula>
    </cfRule>
  </conditionalFormatting>
  <conditionalFormatting sqref="AD11">
    <cfRule type="cellIs" dxfId="0" priority="99" operator="lessThanOrEqual">
      <formula>H11</formula>
    </cfRule>
  </conditionalFormatting>
  <conditionalFormatting sqref="AD13">
    <cfRule type="cellIs" dxfId="0" priority="101" operator="lessThanOrEqual">
      <formula>H13</formula>
    </cfRule>
  </conditionalFormatting>
  <conditionalFormatting sqref="AD14">
    <cfRule type="cellIs" dxfId="0" priority="103" operator="lessThanOrEqual">
      <formula>H14</formula>
    </cfRule>
  </conditionalFormatting>
  <conditionalFormatting sqref="AD15">
    <cfRule type="cellIs" dxfId="0" priority="105" operator="lessThanOrEqual">
      <formula>H15</formula>
    </cfRule>
  </conditionalFormatting>
  <conditionalFormatting sqref="AD16">
    <cfRule type="cellIs" dxfId="0" priority="107" operator="lessThanOrEqual">
      <formula>H16</formula>
    </cfRule>
  </conditionalFormatting>
  <conditionalFormatting sqref="AD17">
    <cfRule type="cellIs" dxfId="0" priority="109" operator="lessThanOrEqual">
      <formula>H17</formula>
    </cfRule>
  </conditionalFormatting>
  <conditionalFormatting sqref="AD18">
    <cfRule type="cellIs" dxfId="0" priority="111" operator="lessThanOrEqual">
      <formula>H18</formula>
    </cfRule>
  </conditionalFormatting>
  <conditionalFormatting sqref="AD19">
    <cfRule type="cellIs" dxfId="0" priority="113" operator="lessThanOrEqual">
      <formula>H19</formula>
    </cfRule>
  </conditionalFormatting>
  <conditionalFormatting sqref="AD20">
    <cfRule type="cellIs" dxfId="0" priority="115" operator="lessThanOrEqual">
      <formula>H20</formula>
    </cfRule>
  </conditionalFormatting>
  <conditionalFormatting sqref="AD21">
    <cfRule type="cellIs" dxfId="0" priority="117" operator="lessThanOrEqual">
      <formula>H21</formula>
    </cfRule>
  </conditionalFormatting>
  <conditionalFormatting sqref="AD22">
    <cfRule type="cellIs" dxfId="0" priority="119" operator="lessThanOrEqual">
      <formula>H22</formula>
    </cfRule>
  </conditionalFormatting>
  <conditionalFormatting sqref="AD23">
    <cfRule type="cellIs" dxfId="0" priority="121" operator="lessThanOrEqual">
      <formula>H23</formula>
    </cfRule>
  </conditionalFormatting>
  <conditionalFormatting sqref="AD8">
    <cfRule type="cellIs" dxfId="0" priority="93" operator="lessThanOrEqual">
      <formula>H8</formula>
    </cfRule>
  </conditionalFormatting>
  <conditionalFormatting sqref="AD9">
    <cfRule type="cellIs" dxfId="0" priority="95" operator="lessThanOrEqual">
      <formula>H9</formula>
    </cfRule>
  </conditionalFormatting>
  <conditionalFormatting sqref="AE10">
    <cfRule type="cellIs" dxfId="0" priority="98" operator="lessThanOrEqual">
      <formula>I10</formula>
    </cfRule>
  </conditionalFormatting>
  <conditionalFormatting sqref="AE11">
    <cfRule type="cellIs" dxfId="0" priority="100" operator="lessThanOrEqual">
      <formula>I11</formula>
    </cfRule>
  </conditionalFormatting>
  <conditionalFormatting sqref="AE13">
    <cfRule type="cellIs" dxfId="0" priority="102" operator="lessThanOrEqual">
      <formula>I13</formula>
    </cfRule>
  </conditionalFormatting>
  <conditionalFormatting sqref="AE14">
    <cfRule type="cellIs" dxfId="0" priority="104" operator="lessThanOrEqual">
      <formula>I14</formula>
    </cfRule>
  </conditionalFormatting>
  <conditionalFormatting sqref="AE15">
    <cfRule type="cellIs" dxfId="0" priority="106" operator="lessThanOrEqual">
      <formula>I15</formula>
    </cfRule>
  </conditionalFormatting>
  <conditionalFormatting sqref="AE16">
    <cfRule type="cellIs" dxfId="0" priority="108" operator="lessThanOrEqual">
      <formula>I16</formula>
    </cfRule>
  </conditionalFormatting>
  <conditionalFormatting sqref="AE17">
    <cfRule type="cellIs" dxfId="0" priority="110" operator="lessThanOrEqual">
      <formula>I17</formula>
    </cfRule>
  </conditionalFormatting>
  <conditionalFormatting sqref="AE18">
    <cfRule type="cellIs" dxfId="0" priority="112" operator="lessThanOrEqual">
      <formula>I18</formula>
    </cfRule>
  </conditionalFormatting>
  <conditionalFormatting sqref="AE19">
    <cfRule type="cellIs" dxfId="0" priority="114" operator="lessThanOrEqual">
      <formula>I19</formula>
    </cfRule>
  </conditionalFormatting>
  <conditionalFormatting sqref="AE20">
    <cfRule type="cellIs" dxfId="0" priority="116" operator="lessThanOrEqual">
      <formula>I20</formula>
    </cfRule>
  </conditionalFormatting>
  <conditionalFormatting sqref="AE21">
    <cfRule type="cellIs" dxfId="0" priority="118" operator="lessThanOrEqual">
      <formula>I21</formula>
    </cfRule>
  </conditionalFormatting>
  <conditionalFormatting sqref="AE22">
    <cfRule type="cellIs" dxfId="0" priority="120" operator="lessThanOrEqual">
      <formula>I22</formula>
    </cfRule>
  </conditionalFormatting>
  <conditionalFormatting sqref="AE23">
    <cfRule type="cellIs" dxfId="0" priority="122" operator="lessThanOrEqual">
      <formula>I23</formula>
    </cfRule>
  </conditionalFormatting>
  <conditionalFormatting sqref="AE8">
    <cfRule type="cellIs" dxfId="0" priority="94" operator="lessThanOrEqual">
      <formula>I8</formula>
    </cfRule>
  </conditionalFormatting>
  <conditionalFormatting sqref="AE9">
    <cfRule type="cellIs" dxfId="0" priority="96" operator="lessThanOrEqual">
      <formula>I9</formula>
    </cfRule>
  </conditionalFormatting>
  <conditionalFormatting sqref="AJ11">
    <cfRule type="cellIs" dxfId="0" priority="125" operator="lessThanOrEqual">
      <formula>H11</formula>
    </cfRule>
  </conditionalFormatting>
  <conditionalFormatting sqref="AJ12">
    <cfRule type="cellIs" dxfId="0" priority="127" operator="lessThanOrEqual">
      <formula>H12</formula>
    </cfRule>
  </conditionalFormatting>
  <conditionalFormatting sqref="AJ14">
    <cfRule type="cellIs" dxfId="0" priority="129" operator="lessThanOrEqual">
      <formula>H14</formula>
    </cfRule>
  </conditionalFormatting>
  <conditionalFormatting sqref="AJ15">
    <cfRule type="cellIs" dxfId="0" priority="131" operator="lessThanOrEqual">
      <formula>H15</formula>
    </cfRule>
  </conditionalFormatting>
  <conditionalFormatting sqref="AJ16">
    <cfRule type="cellIs" dxfId="0" priority="133" operator="lessThanOrEqual">
      <formula>H16</formula>
    </cfRule>
  </conditionalFormatting>
  <conditionalFormatting sqref="AJ17">
    <cfRule type="cellIs" dxfId="0" priority="135" operator="lessThanOrEqual">
      <formula>H17</formula>
    </cfRule>
  </conditionalFormatting>
  <conditionalFormatting sqref="AJ18">
    <cfRule type="cellIs" dxfId="0" priority="137" operator="lessThanOrEqual">
      <formula>H18</formula>
    </cfRule>
  </conditionalFormatting>
  <conditionalFormatting sqref="AJ19">
    <cfRule type="cellIs" dxfId="0" priority="139" operator="lessThanOrEqual">
      <formula>H19</formula>
    </cfRule>
  </conditionalFormatting>
  <conditionalFormatting sqref="AJ22">
    <cfRule type="cellIs" dxfId="0" priority="141" operator="lessThanOrEqual">
      <formula>H22</formula>
    </cfRule>
  </conditionalFormatting>
  <conditionalFormatting sqref="AJ8">
    <cfRule type="cellIs" dxfId="0" priority="123" operator="lessThanOrEqual">
      <formula>H8</formula>
    </cfRule>
  </conditionalFormatting>
  <conditionalFormatting sqref="AK11">
    <cfRule type="cellIs" dxfId="0" priority="126" operator="lessThanOrEqual">
      <formula>I11</formula>
    </cfRule>
  </conditionalFormatting>
  <conditionalFormatting sqref="AK12">
    <cfRule type="cellIs" dxfId="0" priority="128" operator="lessThanOrEqual">
      <formula>I12</formula>
    </cfRule>
  </conditionalFormatting>
  <conditionalFormatting sqref="AK14">
    <cfRule type="cellIs" dxfId="0" priority="130" operator="lessThanOrEqual">
      <formula>I14</formula>
    </cfRule>
  </conditionalFormatting>
  <conditionalFormatting sqref="AK15">
    <cfRule type="cellIs" dxfId="0" priority="132" operator="lessThanOrEqual">
      <formula>I15</formula>
    </cfRule>
  </conditionalFormatting>
  <conditionalFormatting sqref="AK16">
    <cfRule type="cellIs" dxfId="0" priority="134" operator="lessThanOrEqual">
      <formula>I16</formula>
    </cfRule>
  </conditionalFormatting>
  <conditionalFormatting sqref="AK17">
    <cfRule type="cellIs" dxfId="0" priority="136" operator="lessThanOrEqual">
      <formula>I17</formula>
    </cfRule>
  </conditionalFormatting>
  <conditionalFormatting sqref="AK18">
    <cfRule type="cellIs" dxfId="0" priority="138" operator="lessThanOrEqual">
      <formula>I18</formula>
    </cfRule>
  </conditionalFormatting>
  <conditionalFormatting sqref="AK19">
    <cfRule type="cellIs" dxfId="0" priority="140" operator="lessThanOrEqual">
      <formula>I19</formula>
    </cfRule>
  </conditionalFormatting>
  <conditionalFormatting sqref="AK22">
    <cfRule type="cellIs" dxfId="0" priority="142" operator="lessThanOrEqual">
      <formula>I22</formula>
    </cfRule>
  </conditionalFormatting>
  <conditionalFormatting sqref="AK8">
    <cfRule type="cellIs" dxfId="0" priority="124" operator="lessThanOrEqual">
      <formula>I8</formula>
    </cfRule>
  </conditionalFormatting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14">
    <cfRule type="cellIs" dxfId="0" priority="15" operator="lessThanOrEqual">
      <formula>H14</formula>
    </cfRule>
  </conditionalFormatting>
  <conditionalFormatting sqref="L15">
    <cfRule type="cellIs" dxfId="0" priority="17" operator="lessThanOrEqual">
      <formula>H15</formula>
    </cfRule>
  </conditionalFormatting>
  <conditionalFormatting sqref="L16">
    <cfRule type="cellIs" dxfId="0" priority="19" operator="lessThanOrEqual">
      <formula>H16</formula>
    </cfRule>
  </conditionalFormatting>
  <conditionalFormatting sqref="L17">
    <cfRule type="cellIs" dxfId="0" priority="21" operator="lessThanOrEqual">
      <formula>H17</formula>
    </cfRule>
  </conditionalFormatting>
  <conditionalFormatting sqref="L18">
    <cfRule type="cellIs" dxfId="0" priority="23" operator="lessThanOrEqual">
      <formula>H18</formula>
    </cfRule>
  </conditionalFormatting>
  <conditionalFormatting sqref="L19">
    <cfRule type="cellIs" dxfId="0" priority="25" operator="lessThanOrEqual">
      <formula>H19</formula>
    </cfRule>
  </conditionalFormatting>
  <conditionalFormatting sqref="L20">
    <cfRule type="cellIs" dxfId="0" priority="27" operator="lessThanOrEqual">
      <formula>H20</formula>
    </cfRule>
  </conditionalFormatting>
  <conditionalFormatting sqref="L21">
    <cfRule type="cellIs" dxfId="0" priority="29" operator="lessThanOrEqual">
      <formula>H21</formula>
    </cfRule>
  </conditionalFormatting>
  <conditionalFormatting sqref="L22">
    <cfRule type="cellIs" dxfId="0" priority="31" operator="lessThanOrEqual">
      <formula>H22</formula>
    </cfRule>
  </conditionalFormatting>
  <conditionalFormatting sqref="L23">
    <cfRule type="cellIs" dxfId="0" priority="33" operator="lessThanOrEqual">
      <formula>H23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14">
    <cfRule type="cellIs" dxfId="0" priority="16" operator="lessThanOrEqual">
      <formula>I14</formula>
    </cfRule>
  </conditionalFormatting>
  <conditionalFormatting sqref="M15">
    <cfRule type="cellIs" dxfId="0" priority="18" operator="lessThanOrEqual">
      <formula>I15</formula>
    </cfRule>
  </conditionalFormatting>
  <conditionalFormatting sqref="M16">
    <cfRule type="cellIs" dxfId="0" priority="20" operator="lessThanOrEqual">
      <formula>I16</formula>
    </cfRule>
  </conditionalFormatting>
  <conditionalFormatting sqref="M17">
    <cfRule type="cellIs" dxfId="0" priority="22" operator="lessThanOrEqual">
      <formula>I17</formula>
    </cfRule>
  </conditionalFormatting>
  <conditionalFormatting sqref="M18">
    <cfRule type="cellIs" dxfId="0" priority="24" operator="lessThanOrEqual">
      <formula>I18</formula>
    </cfRule>
  </conditionalFormatting>
  <conditionalFormatting sqref="M19">
    <cfRule type="cellIs" dxfId="0" priority="26" operator="lessThanOrEqual">
      <formula>I19</formula>
    </cfRule>
  </conditionalFormatting>
  <conditionalFormatting sqref="M20">
    <cfRule type="cellIs" dxfId="0" priority="28" operator="lessThanOrEqual">
      <formula>I20</formula>
    </cfRule>
  </conditionalFormatting>
  <conditionalFormatting sqref="M21">
    <cfRule type="cellIs" dxfId="0" priority="30" operator="lessThanOrEqual">
      <formula>I21</formula>
    </cfRule>
  </conditionalFormatting>
  <conditionalFormatting sqref="M22">
    <cfRule type="cellIs" dxfId="0" priority="32" operator="lessThanOrEqual">
      <formula>I22</formula>
    </cfRule>
  </conditionalFormatting>
  <conditionalFormatting sqref="M23">
    <cfRule type="cellIs" dxfId="0" priority="34" operator="lessThanOrEqual">
      <formula>I23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3">
    <cfRule type="cellIs" dxfId="0" priority="39" operator="lessThanOrEqual">
      <formula>H13</formula>
    </cfRule>
  </conditionalFormatting>
  <conditionalFormatting sqref="R14">
    <cfRule type="cellIs" dxfId="0" priority="41" operator="lessThanOrEqual">
      <formula>H14</formula>
    </cfRule>
  </conditionalFormatting>
  <conditionalFormatting sqref="R15">
    <cfRule type="cellIs" dxfId="0" priority="43" operator="lessThanOrEqual">
      <formula>H15</formula>
    </cfRule>
  </conditionalFormatting>
  <conditionalFormatting sqref="R16">
    <cfRule type="cellIs" dxfId="0" priority="45" operator="lessThanOrEqual">
      <formula>H16</formula>
    </cfRule>
  </conditionalFormatting>
  <conditionalFormatting sqref="R17">
    <cfRule type="cellIs" dxfId="0" priority="47" operator="lessThanOrEqual">
      <formula>H17</formula>
    </cfRule>
  </conditionalFormatting>
  <conditionalFormatting sqref="R18">
    <cfRule type="cellIs" dxfId="0" priority="49" operator="lessThanOrEqual">
      <formula>H18</formula>
    </cfRule>
  </conditionalFormatting>
  <conditionalFormatting sqref="R19">
    <cfRule type="cellIs" dxfId="0" priority="51" operator="lessThanOrEqual">
      <formula>H19</formula>
    </cfRule>
  </conditionalFormatting>
  <conditionalFormatting sqref="R21">
    <cfRule type="cellIs" dxfId="0" priority="53" operator="lessThanOrEqual">
      <formula>H21</formula>
    </cfRule>
  </conditionalFormatting>
  <conditionalFormatting sqref="R22">
    <cfRule type="cellIs" dxfId="0" priority="55" operator="lessThanOrEqual">
      <formula>H22</formula>
    </cfRule>
  </conditionalFormatting>
  <conditionalFormatting sqref="R23">
    <cfRule type="cellIs" dxfId="0" priority="57" operator="lessThanOrEqual">
      <formula>H23</formula>
    </cfRule>
  </conditionalFormatting>
  <conditionalFormatting sqref="R7">
    <cfRule type="cellIs" dxfId="0" priority="35" operator="lessThanOrEqual">
      <formula>H7</formula>
    </cfRule>
  </conditionalFormatting>
  <conditionalFormatting sqref="R8">
    <cfRule type="cellIs" dxfId="0" priority="37" operator="lessThanOrEqual">
      <formula>H8</formula>
    </cfRule>
  </conditionalFormatting>
  <conditionalFormatting sqref="S13">
    <cfRule type="cellIs" dxfId="0" priority="40" operator="lessThanOrEqual">
      <formula>I13</formula>
    </cfRule>
  </conditionalFormatting>
  <conditionalFormatting sqref="S14">
    <cfRule type="cellIs" dxfId="0" priority="42" operator="lessThanOrEqual">
      <formula>I14</formula>
    </cfRule>
  </conditionalFormatting>
  <conditionalFormatting sqref="S15">
    <cfRule type="cellIs" dxfId="0" priority="44" operator="lessThanOrEqual">
      <formula>I15</formula>
    </cfRule>
  </conditionalFormatting>
  <conditionalFormatting sqref="S16">
    <cfRule type="cellIs" dxfId="0" priority="46" operator="lessThanOrEqual">
      <formula>I16</formula>
    </cfRule>
  </conditionalFormatting>
  <conditionalFormatting sqref="S17">
    <cfRule type="cellIs" dxfId="0" priority="48" operator="lessThanOrEqual">
      <formula>I17</formula>
    </cfRule>
  </conditionalFormatting>
  <conditionalFormatting sqref="S18">
    <cfRule type="cellIs" dxfId="0" priority="50" operator="lessThanOrEqual">
      <formula>I18</formula>
    </cfRule>
  </conditionalFormatting>
  <conditionalFormatting sqref="S19">
    <cfRule type="cellIs" dxfId="0" priority="52" operator="lessThanOrEqual">
      <formula>I19</formula>
    </cfRule>
  </conditionalFormatting>
  <conditionalFormatting sqref="S21">
    <cfRule type="cellIs" dxfId="0" priority="54" operator="lessThanOrEqual">
      <formula>I21</formula>
    </cfRule>
  </conditionalFormatting>
  <conditionalFormatting sqref="S22">
    <cfRule type="cellIs" dxfId="0" priority="56" operator="lessThanOrEqual">
      <formula>I22</formula>
    </cfRule>
  </conditionalFormatting>
  <conditionalFormatting sqref="S23">
    <cfRule type="cellIs" dxfId="0" priority="58" operator="lessThanOrEqual">
      <formula>I23</formula>
    </cfRule>
  </conditionalFormatting>
  <conditionalFormatting sqref="S7">
    <cfRule type="cellIs" dxfId="0" priority="36" operator="lessThanOrEqual">
      <formula>I7</formula>
    </cfRule>
  </conditionalFormatting>
  <conditionalFormatting sqref="S8">
    <cfRule type="cellIs" dxfId="0" priority="38" operator="lessThanOrEqual">
      <formula>I8</formula>
    </cfRule>
  </conditionalFormatting>
  <conditionalFormatting sqref="X10">
    <cfRule type="cellIs" dxfId="0" priority="65" operator="lessThanOrEqual">
      <formula>H10</formula>
    </cfRule>
  </conditionalFormatting>
  <conditionalFormatting sqref="X11">
    <cfRule type="cellIs" dxfId="0" priority="67" operator="lessThanOrEqual">
      <formula>H11</formula>
    </cfRule>
  </conditionalFormatting>
  <conditionalFormatting sqref="X12">
    <cfRule type="cellIs" dxfId="0" priority="69" operator="lessThanOrEqual">
      <formula>H12</formula>
    </cfRule>
  </conditionalFormatting>
  <conditionalFormatting sqref="X13">
    <cfRule type="cellIs" dxfId="0" priority="71" operator="lessThanOrEqual">
      <formula>H13</formula>
    </cfRule>
  </conditionalFormatting>
  <conditionalFormatting sqref="X14">
    <cfRule type="cellIs" dxfId="0" priority="73" operator="lessThanOrEqual">
      <formula>H14</formula>
    </cfRule>
  </conditionalFormatting>
  <conditionalFormatting sqref="X15">
    <cfRule type="cellIs" dxfId="0" priority="75" operator="lessThanOrEqual">
      <formula>H15</formula>
    </cfRule>
  </conditionalFormatting>
  <conditionalFormatting sqref="X16">
    <cfRule type="cellIs" dxfId="0" priority="77" operator="lessThanOrEqual">
      <formula>H16</formula>
    </cfRule>
  </conditionalFormatting>
  <conditionalFormatting sqref="X17">
    <cfRule type="cellIs" dxfId="0" priority="79" operator="lessThanOrEqual">
      <formula>H17</formula>
    </cfRule>
  </conditionalFormatting>
  <conditionalFormatting sqref="X18">
    <cfRule type="cellIs" dxfId="0" priority="81" operator="lessThanOrEqual">
      <formula>H18</formula>
    </cfRule>
  </conditionalFormatting>
  <conditionalFormatting sqref="X19">
    <cfRule type="cellIs" dxfId="0" priority="83" operator="lessThanOrEqual">
      <formula>H19</formula>
    </cfRule>
  </conditionalFormatting>
  <conditionalFormatting sqref="X20">
    <cfRule type="cellIs" dxfId="0" priority="85" operator="lessThanOrEqual">
      <formula>H20</formula>
    </cfRule>
  </conditionalFormatting>
  <conditionalFormatting sqref="X21">
    <cfRule type="cellIs" dxfId="0" priority="87" operator="lessThanOrEqual">
      <formula>H21</formula>
    </cfRule>
  </conditionalFormatting>
  <conditionalFormatting sqref="X22">
    <cfRule type="cellIs" dxfId="0" priority="89" operator="lessThanOrEqual">
      <formula>H22</formula>
    </cfRule>
  </conditionalFormatting>
  <conditionalFormatting sqref="X23">
    <cfRule type="cellIs" dxfId="0" priority="91" operator="lessThanOrEqual">
      <formula>H23</formula>
    </cfRule>
  </conditionalFormatting>
  <conditionalFormatting sqref="X7">
    <cfRule type="cellIs" dxfId="0" priority="59" operator="lessThanOrEqual">
      <formula>H7</formula>
    </cfRule>
  </conditionalFormatting>
  <conditionalFormatting sqref="X8">
    <cfRule type="cellIs" dxfId="0" priority="61" operator="lessThanOrEqual">
      <formula>H8</formula>
    </cfRule>
  </conditionalFormatting>
  <conditionalFormatting sqref="X9">
    <cfRule type="cellIs" dxfId="0" priority="63" operator="lessThanOrEqual">
      <formula>H9</formula>
    </cfRule>
  </conditionalFormatting>
  <conditionalFormatting sqref="Y10">
    <cfRule type="cellIs" dxfId="0" priority="66" operator="lessThanOrEqual">
      <formula>I10</formula>
    </cfRule>
  </conditionalFormatting>
  <conditionalFormatting sqref="Y11">
    <cfRule type="cellIs" dxfId="0" priority="68" operator="lessThanOrEqual">
      <formula>I11</formula>
    </cfRule>
  </conditionalFormatting>
  <conditionalFormatting sqref="Y12">
    <cfRule type="cellIs" dxfId="0" priority="70" operator="lessThanOrEqual">
      <formula>I12</formula>
    </cfRule>
  </conditionalFormatting>
  <conditionalFormatting sqref="Y13">
    <cfRule type="cellIs" dxfId="0" priority="72" operator="lessThanOrEqual">
      <formula>I13</formula>
    </cfRule>
  </conditionalFormatting>
  <conditionalFormatting sqref="Y14">
    <cfRule type="cellIs" dxfId="0" priority="74" operator="lessThanOrEqual">
      <formula>I14</formula>
    </cfRule>
  </conditionalFormatting>
  <conditionalFormatting sqref="Y15">
    <cfRule type="cellIs" dxfId="0" priority="76" operator="lessThanOrEqual">
      <formula>I15</formula>
    </cfRule>
  </conditionalFormatting>
  <conditionalFormatting sqref="Y16">
    <cfRule type="cellIs" dxfId="0" priority="78" operator="lessThanOrEqual">
      <formula>I16</formula>
    </cfRule>
  </conditionalFormatting>
  <conditionalFormatting sqref="Y17">
    <cfRule type="cellIs" dxfId="0" priority="80" operator="lessThanOrEqual">
      <formula>I17</formula>
    </cfRule>
  </conditionalFormatting>
  <conditionalFormatting sqref="Y18">
    <cfRule type="cellIs" dxfId="0" priority="82" operator="lessThanOrEqual">
      <formula>I18</formula>
    </cfRule>
  </conditionalFormatting>
  <conditionalFormatting sqref="Y19">
    <cfRule type="cellIs" dxfId="0" priority="84" operator="lessThanOrEqual">
      <formula>I19</formula>
    </cfRule>
  </conditionalFormatting>
  <conditionalFormatting sqref="Y20">
    <cfRule type="cellIs" dxfId="0" priority="86" operator="lessThanOrEqual">
      <formula>I20</formula>
    </cfRule>
  </conditionalFormatting>
  <conditionalFormatting sqref="Y21">
    <cfRule type="cellIs" dxfId="0" priority="88" operator="lessThanOrEqual">
      <formula>I21</formula>
    </cfRule>
  </conditionalFormatting>
  <conditionalFormatting sqref="Y22">
    <cfRule type="cellIs" dxfId="0" priority="90" operator="lessThanOrEqual">
      <formula>I22</formula>
    </cfRule>
  </conditionalFormatting>
  <conditionalFormatting sqref="Y23">
    <cfRule type="cellIs" dxfId="0" priority="92" operator="lessThanOrEqual">
      <formula>I23</formula>
    </cfRule>
  </conditionalFormatting>
  <conditionalFormatting sqref="Y7">
    <cfRule type="cellIs" dxfId="0" priority="60" operator="lessThanOrEqual">
      <formula>I7</formula>
    </cfRule>
  </conditionalFormatting>
  <conditionalFormatting sqref="Y8">
    <cfRule type="cellIs" dxfId="0" priority="62" operator="lessThanOrEqual">
      <formula>I8</formula>
    </cfRule>
  </conditionalFormatting>
  <conditionalFormatting sqref="Y9">
    <cfRule type="cellIs" dxfId="0" priority="64" operator="lessThanOrEqual">
      <formula>I9</formula>
    </cfRule>
  </conditionalFormatting>
  <hyperlinks>
    <hyperlink ref="O7" r:id="rId1"/>
    <hyperlink ref="U7" r:id="rId2"/>
    <hyperlink ref="AA7" r:id="rId3"/>
    <hyperlink ref="AG7" r:id="rId4"/>
    <hyperlink ref="AM7" r:id="rId5"/>
    <hyperlink ref="O8" r:id="rId6"/>
    <hyperlink ref="U8" r:id="rId7"/>
    <hyperlink ref="AA8" r:id="rId8"/>
    <hyperlink ref="AG8" r:id="rId9"/>
    <hyperlink ref="AM8" r:id="rId10"/>
    <hyperlink ref="O9" r:id="rId11"/>
    <hyperlink ref="AA9" r:id="rId12"/>
    <hyperlink ref="AG9" r:id="rId13"/>
    <hyperlink ref="O10" r:id="rId14"/>
    <hyperlink ref="AA10" r:id="rId15"/>
    <hyperlink ref="AG10" r:id="rId16"/>
    <hyperlink ref="O11" r:id="rId17"/>
    <hyperlink ref="AA11" r:id="rId18"/>
    <hyperlink ref="AG11" r:id="rId19"/>
    <hyperlink ref="AM11" r:id="rId20"/>
    <hyperlink ref="O12" r:id="rId21"/>
    <hyperlink ref="AA12" r:id="rId22"/>
    <hyperlink ref="AM12" r:id="rId23"/>
    <hyperlink ref="O13" r:id="rId24"/>
    <hyperlink ref="U13" r:id="rId25"/>
    <hyperlink ref="AA13" r:id="rId26"/>
    <hyperlink ref="AG13" r:id="rId27"/>
    <hyperlink ref="O14" r:id="rId28"/>
    <hyperlink ref="U14" r:id="rId29"/>
    <hyperlink ref="AA14" r:id="rId30"/>
    <hyperlink ref="AG14" r:id="rId31"/>
    <hyperlink ref="AM14" r:id="rId32"/>
    <hyperlink ref="O15" r:id="rId33"/>
    <hyperlink ref="U15" r:id="rId34"/>
    <hyperlink ref="AA15" r:id="rId35"/>
    <hyperlink ref="AG15" r:id="rId36"/>
    <hyperlink ref="AM15" r:id="rId37"/>
    <hyperlink ref="O16" r:id="rId38"/>
    <hyperlink ref="U16" r:id="rId39"/>
    <hyperlink ref="AA16" r:id="rId40"/>
    <hyperlink ref="AG16" r:id="rId41"/>
    <hyperlink ref="AM16" r:id="rId42"/>
    <hyperlink ref="O17" r:id="rId43"/>
    <hyperlink ref="U17" r:id="rId44"/>
    <hyperlink ref="AA17" r:id="rId45"/>
    <hyperlink ref="AG17" r:id="rId46"/>
    <hyperlink ref="AM17" r:id="rId47"/>
    <hyperlink ref="O18" r:id="rId48"/>
    <hyperlink ref="U18" r:id="rId49"/>
    <hyperlink ref="AA18" r:id="rId50"/>
    <hyperlink ref="AG18" r:id="rId51"/>
    <hyperlink ref="AM18" r:id="rId52"/>
    <hyperlink ref="O19" r:id="rId53"/>
    <hyperlink ref="U19" r:id="rId54"/>
    <hyperlink ref="AA19" r:id="rId55"/>
    <hyperlink ref="AG19" r:id="rId56"/>
    <hyperlink ref="AM19" r:id="rId57"/>
    <hyperlink ref="O20" r:id="rId58"/>
    <hyperlink ref="AA20" r:id="rId59"/>
    <hyperlink ref="AG20" r:id="rId60"/>
    <hyperlink ref="O21" r:id="rId61"/>
    <hyperlink ref="U21" r:id="rId62"/>
    <hyperlink ref="AA21" r:id="rId63"/>
    <hyperlink ref="AG21" r:id="rId64"/>
    <hyperlink ref="O22" r:id="rId65"/>
    <hyperlink ref="U22" r:id="rId66"/>
    <hyperlink ref="AA22" r:id="rId67"/>
    <hyperlink ref="AG22" r:id="rId68"/>
    <hyperlink ref="AM22" r:id="rId69"/>
    <hyperlink ref="O23" r:id="rId70"/>
    <hyperlink ref="U23" r:id="rId71"/>
    <hyperlink ref="AA23" r:id="rId72"/>
    <hyperlink ref="AG23" r:id="rId73"/>
  </hyperlinks>
  <pageMargins left="0.7" right="0.7" top="0.75" bottom="0.75" header="0.3" footer="0.3"/>
  <legacy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PonchoEDUCIAA_WIFI_BLT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2017-07-14T01:23:44Z</dcterms:created>
  <dcterms:modified xsi:type="dcterms:W3CDTF">2017-07-14T01:23:44Z</dcterms:modified>
</cp:coreProperties>
</file>