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90" windowWidth="8265" windowHeight="5535" activeTab="1"/>
  </bookViews>
  <sheets>
    <sheet name="actifs obligataires" sheetId="17" r:id="rId1"/>
    <sheet name="actifs actions" sheetId="18" r:id="rId2"/>
    <sheet name="Feuil1" sheetId="19" r:id="rId3"/>
  </sheets>
  <calcPr calcId="124519" calcMode="manual"/>
</workbook>
</file>

<file path=xl/calcChain.xml><?xml version="1.0" encoding="utf-8"?>
<calcChain xmlns="http://schemas.openxmlformats.org/spreadsheetml/2006/main">
  <c r="C51" i="18"/>
  <c r="C50"/>
  <c r="C49"/>
  <c r="C20" i="17"/>
  <c r="C21"/>
  <c r="C38"/>
  <c r="C39"/>
  <c r="C40"/>
  <c r="C37"/>
  <c r="C41" s="1"/>
  <c r="C22"/>
  <c r="C19"/>
  <c r="C23" s="1"/>
  <c r="C81" l="1"/>
  <c r="C60"/>
  <c r="C115"/>
  <c r="C116"/>
  <c r="C112"/>
  <c r="C113"/>
  <c r="G131"/>
  <c r="H175"/>
  <c r="H152"/>
  <c r="F164"/>
  <c r="H181"/>
  <c r="H160"/>
  <c r="F166"/>
  <c r="F156"/>
  <c r="F182"/>
  <c r="H167"/>
  <c r="H161"/>
  <c r="H154"/>
  <c r="F158"/>
  <c r="F170"/>
  <c r="F157"/>
  <c r="F177"/>
  <c r="H179"/>
  <c r="F181"/>
  <c r="F168"/>
  <c r="F161"/>
  <c r="F159"/>
  <c r="H169"/>
  <c r="F165"/>
  <c r="H168"/>
  <c r="F155"/>
  <c r="H156"/>
  <c r="H162"/>
  <c r="H155"/>
  <c r="H165"/>
  <c r="F180"/>
  <c r="H166"/>
  <c r="H158"/>
  <c r="F179"/>
  <c r="F163"/>
  <c r="F178"/>
  <c r="H164"/>
  <c r="H157"/>
  <c r="H178"/>
  <c r="F169"/>
  <c r="H170"/>
  <c r="H163"/>
  <c r="F160"/>
  <c r="H182"/>
  <c r="F154"/>
  <c r="F167"/>
  <c r="H159"/>
  <c r="H177"/>
  <c r="H180"/>
  <c r="F162"/>
  <c r="H183" l="1"/>
  <c r="H171"/>
  <c r="E143"/>
  <c r="E139"/>
  <c r="G141"/>
  <c r="G142"/>
  <c r="G143"/>
  <c r="E140"/>
  <c r="E134"/>
  <c r="E142"/>
  <c r="G146"/>
  <c r="E136"/>
  <c r="E144"/>
  <c r="G133"/>
  <c r="G135"/>
  <c r="G147"/>
  <c r="E141"/>
  <c r="G145"/>
  <c r="G138"/>
  <c r="G134"/>
  <c r="E137"/>
  <c r="G136"/>
  <c r="E135"/>
  <c r="E147"/>
  <c r="G137"/>
  <c r="E133"/>
  <c r="E138"/>
  <c r="G139"/>
  <c r="E146"/>
  <c r="E145"/>
  <c r="G144"/>
  <c r="G140"/>
  <c r="H185" l="1"/>
  <c r="I68" i="18"/>
  <c r="J68"/>
  <c r="K68"/>
  <c r="I69"/>
  <c r="J69"/>
  <c r="K69"/>
  <c r="I70"/>
  <c r="J70"/>
  <c r="K70"/>
  <c r="I71"/>
  <c r="J71"/>
  <c r="K71"/>
  <c r="I72"/>
  <c r="J72"/>
  <c r="K72"/>
  <c r="I73"/>
  <c r="J73"/>
  <c r="K73"/>
  <c r="I74"/>
  <c r="J74"/>
  <c r="K74"/>
  <c r="I75"/>
  <c r="J75"/>
  <c r="K75"/>
  <c r="I76"/>
  <c r="J76"/>
  <c r="K76"/>
  <c r="I77"/>
  <c r="J77"/>
  <c r="K77"/>
  <c r="I78"/>
  <c r="J78"/>
  <c r="K78"/>
  <c r="I79"/>
  <c r="J79"/>
  <c r="K79"/>
  <c r="I80"/>
  <c r="J80"/>
  <c r="K80"/>
  <c r="I81"/>
  <c r="J81"/>
  <c r="K81"/>
  <c r="I82"/>
  <c r="J82"/>
  <c r="K82"/>
  <c r="I83"/>
  <c r="J83"/>
  <c r="K83"/>
  <c r="I84"/>
  <c r="J84"/>
  <c r="K84"/>
  <c r="I85"/>
  <c r="J85"/>
  <c r="K85"/>
  <c r="I86"/>
  <c r="J86"/>
  <c r="K86"/>
  <c r="K67"/>
  <c r="J67"/>
  <c r="I67"/>
  <c r="I65"/>
  <c r="C46"/>
  <c r="C45"/>
  <c r="C44"/>
  <c r="C43"/>
  <c r="C42"/>
  <c r="C41"/>
  <c r="C40"/>
  <c r="C39"/>
  <c r="C38"/>
  <c r="C37"/>
  <c r="C47" s="1"/>
  <c r="C23"/>
  <c r="C22"/>
  <c r="C21"/>
  <c r="C20"/>
  <c r="C19"/>
  <c r="C18"/>
  <c r="C24" s="1"/>
  <c r="C109" i="17"/>
  <c r="C103"/>
  <c r="C104"/>
  <c r="C105"/>
  <c r="C106"/>
  <c r="C107"/>
  <c r="C108"/>
  <c r="C110"/>
  <c r="C111"/>
  <c r="C114"/>
  <c r="C102"/>
  <c r="C84"/>
  <c r="C83"/>
  <c r="C82"/>
  <c r="C80"/>
  <c r="C79"/>
  <c r="C85" s="1"/>
  <c r="C61"/>
  <c r="C59"/>
  <c r="C58"/>
  <c r="C57"/>
  <c r="C62" s="1"/>
  <c r="C36" i="18"/>
  <c r="C17"/>
  <c r="C101" i="17"/>
  <c r="C78"/>
  <c r="C56"/>
  <c r="C36"/>
  <c r="C18"/>
  <c r="C117" l="1"/>
  <c r="F9"/>
  <c r="E9"/>
  <c r="D9"/>
  <c r="C9"/>
  <c r="B9"/>
  <c r="B47" i="18"/>
  <c r="B24"/>
  <c r="B117" i="17"/>
  <c r="B85"/>
  <c r="B62"/>
  <c r="B41"/>
  <c r="B23"/>
</calcChain>
</file>

<file path=xl/sharedStrings.xml><?xml version="1.0" encoding="utf-8"?>
<sst xmlns="http://schemas.openxmlformats.org/spreadsheetml/2006/main" count="195" uniqueCount="157">
  <si>
    <t>Inflation</t>
  </si>
  <si>
    <t>Emetteurs privés</t>
  </si>
  <si>
    <t>AAA</t>
  </si>
  <si>
    <t>AA</t>
  </si>
  <si>
    <t>A</t>
  </si>
  <si>
    <t>NR</t>
  </si>
  <si>
    <t>Trésorerie</t>
  </si>
  <si>
    <t>Allemagne</t>
  </si>
  <si>
    <t>Autriche</t>
  </si>
  <si>
    <t>Belgique</t>
  </si>
  <si>
    <t>Espagne</t>
  </si>
  <si>
    <t>France</t>
  </si>
  <si>
    <t>Grèce</t>
  </si>
  <si>
    <t>Irlande</t>
  </si>
  <si>
    <t>Italie</t>
  </si>
  <si>
    <t>Pays bas</t>
  </si>
  <si>
    <t>Portugal</t>
  </si>
  <si>
    <t>Taux Fixe</t>
  </si>
  <si>
    <t>Taux Variable</t>
  </si>
  <si>
    <t>Assurances</t>
  </si>
  <si>
    <t>Banques</t>
  </si>
  <si>
    <t>Services financiers</t>
  </si>
  <si>
    <t>Corporates non financières</t>
  </si>
  <si>
    <t>Obligations foncières</t>
  </si>
  <si>
    <t>Supranational</t>
  </si>
  <si>
    <t>BBB et &lt; BBB</t>
  </si>
  <si>
    <t xml:space="preserve">Duration moyenne </t>
  </si>
  <si>
    <t>Taux de rendement moyen</t>
  </si>
  <si>
    <t>Notation moyenne</t>
  </si>
  <si>
    <t>AA-</t>
  </si>
  <si>
    <t>Répartition par émetteur (VM)</t>
  </si>
  <si>
    <t>Répartition par type (VM)</t>
  </si>
  <si>
    <t>Répartition par notations des émetteurs privés (VM)</t>
  </si>
  <si>
    <t>Répartition sectorielle des émetteurs privés (VM)</t>
  </si>
  <si>
    <t>Répartition géographique dette souveraine et agences garanties d'état (VM)</t>
  </si>
  <si>
    <t>Répartition géographique  (VM)</t>
  </si>
  <si>
    <t>Euro</t>
  </si>
  <si>
    <t>Ex Euro</t>
  </si>
  <si>
    <t>Amérique</t>
  </si>
  <si>
    <t>Asie</t>
  </si>
  <si>
    <t>Emergents</t>
  </si>
  <si>
    <t>Autres (dont tréso)</t>
  </si>
  <si>
    <t>Répartition sectorielle (VM)</t>
  </si>
  <si>
    <t>Industrie</t>
  </si>
  <si>
    <t>Energie</t>
  </si>
  <si>
    <t>Industrie de base</t>
  </si>
  <si>
    <t>Services aux collectivités</t>
  </si>
  <si>
    <t>Santé</t>
  </si>
  <si>
    <t>Services aux consommateurs</t>
  </si>
  <si>
    <t>Technologie</t>
  </si>
  <si>
    <t>Télécom</t>
  </si>
  <si>
    <t>Biens de consommation</t>
  </si>
  <si>
    <t>Sociétés financières</t>
  </si>
  <si>
    <t>QUATREM GLOBAL</t>
  </si>
  <si>
    <t>Portefeuille Actions</t>
  </si>
  <si>
    <t>Valeur de marché en M€</t>
  </si>
  <si>
    <t>Performance financière</t>
  </si>
  <si>
    <t>%poche</t>
  </si>
  <si>
    <t>FR0010251082</t>
  </si>
  <si>
    <t>PRATIC A (15% act) (Ex Federis diverisfié)</t>
  </si>
  <si>
    <t>FR0007012182</t>
  </si>
  <si>
    <t>FEDERIS ACTIONS</t>
  </si>
  <si>
    <t>FR0007078480</t>
  </si>
  <si>
    <t>FEDERIS EURO ACTIONS I</t>
  </si>
  <si>
    <t>FR0007045950</t>
  </si>
  <si>
    <t>FEDERIS ISR EURO</t>
  </si>
  <si>
    <t>FR0007031653</t>
  </si>
  <si>
    <t>AVENIR EURO FCP</t>
  </si>
  <si>
    <t>FR0000939845</t>
  </si>
  <si>
    <t>MMA VALEURS</t>
  </si>
  <si>
    <t>FR0000986531</t>
  </si>
  <si>
    <t>ODDO SELECT.VAL.MOY FCP</t>
  </si>
  <si>
    <t>FR0007022967</t>
  </si>
  <si>
    <t>FEDERIS CROISSANCE EURO</t>
  </si>
  <si>
    <t>FR0007074166</t>
  </si>
  <si>
    <t>FEDERIS VALUE EURO</t>
  </si>
  <si>
    <t>FR0007057674</t>
  </si>
  <si>
    <t>FEDERIS NORTH AMERICA</t>
  </si>
  <si>
    <t>FR0000289381</t>
  </si>
  <si>
    <t>COVEA ACTIONS FRANCE C</t>
  </si>
  <si>
    <t>FR0007021936</t>
  </si>
  <si>
    <t>FEDERIS CAC 40</t>
  </si>
  <si>
    <t>FR0010828673</t>
  </si>
  <si>
    <t>FEDERIS INTERNATIONAL QUATREM</t>
  </si>
  <si>
    <t>FR0000939852</t>
  </si>
  <si>
    <t>MMA EUROPE</t>
  </si>
  <si>
    <t>FR0011049709</t>
  </si>
  <si>
    <t>FEDERIS SELECTION EMERGENTS</t>
  </si>
  <si>
    <t>FR0007079330</t>
  </si>
  <si>
    <t>FEDERIS ASIE ACTIONS</t>
  </si>
  <si>
    <t>FR0010193235</t>
  </si>
  <si>
    <t>FEDERIS AMERIQUE ACTIONS</t>
  </si>
  <si>
    <t>FR0010822122</t>
  </si>
  <si>
    <t>FEDERIS SELECTION ISR EURO</t>
  </si>
  <si>
    <t>FR0000441628</t>
  </si>
  <si>
    <t>COVEA ACTION EUROPE HORS EURO</t>
  </si>
  <si>
    <t>FR0007022793</t>
  </si>
  <si>
    <t>FEDERIS EX EURO</t>
  </si>
  <si>
    <t>-</t>
  </si>
  <si>
    <t>VM (M€)</t>
  </si>
  <si>
    <t>PMV latente 
(M€)</t>
  </si>
  <si>
    <t>OPCVM obligataires</t>
  </si>
  <si>
    <t>OPCVM monétaires</t>
  </si>
  <si>
    <t>Total</t>
  </si>
  <si>
    <t>Obligations en direct</t>
  </si>
  <si>
    <t>Somme de % OBLIGATIONS</t>
  </si>
  <si>
    <t>Principaux Emetteurs</t>
  </si>
  <si>
    <t>Pays</t>
  </si>
  <si>
    <t>Emetteurs</t>
  </si>
  <si>
    <t>FRANCE</t>
  </si>
  <si>
    <t>ESPAGNE</t>
  </si>
  <si>
    <t>ITALIE</t>
  </si>
  <si>
    <t>FROB</t>
  </si>
  <si>
    <t>BELGIQUE</t>
  </si>
  <si>
    <t>AYT CEDULAS CAJAS</t>
  </si>
  <si>
    <t>CADES</t>
  </si>
  <si>
    <t>BANCO BILBAO VIZCAYA ARGENTA</t>
  </si>
  <si>
    <t>GROUPE BPCE</t>
  </si>
  <si>
    <t>CEDULAS</t>
  </si>
  <si>
    <t>CAISSE DE REF DE L'HABITAT</t>
  </si>
  <si>
    <t>BANCO SABADELL</t>
  </si>
  <si>
    <t>AUTRICHE</t>
  </si>
  <si>
    <t xml:space="preserve">BANCO SANTANDER </t>
  </si>
  <si>
    <t>GDF SUEZ</t>
  </si>
  <si>
    <t>BANCO POPULAR ESPANOL</t>
  </si>
  <si>
    <t>KFW</t>
  </si>
  <si>
    <t>MAPFRE</t>
  </si>
  <si>
    <t>CREDIT AGRICOLE SA</t>
  </si>
  <si>
    <t>ENAGAS</t>
  </si>
  <si>
    <t>RESEAU FERRE DE FRANCE</t>
  </si>
  <si>
    <t xml:space="preserve">IBERDROLA </t>
  </si>
  <si>
    <t>CIF EURO MORTGAGE</t>
  </si>
  <si>
    <t>Total Espagne</t>
  </si>
  <si>
    <t>CITIGROUP</t>
  </si>
  <si>
    <t>PORTUGAL</t>
  </si>
  <si>
    <t>ELECTRICITE DE FRANCE</t>
  </si>
  <si>
    <t>REFER-REDE FERROVIARIA</t>
  </si>
  <si>
    <t>CREDIT MUTUEL</t>
  </si>
  <si>
    <t>Total Portugal</t>
  </si>
  <si>
    <t>Principales lignes obligataires</t>
  </si>
  <si>
    <t>Exposition Espagne et Portugal</t>
  </si>
  <si>
    <t>(lignes principales)</t>
  </si>
  <si>
    <t>VM(M€)</t>
  </si>
  <si>
    <t>PMV latente (M€)</t>
  </si>
  <si>
    <t>% poche</t>
  </si>
  <si>
    <t>Canada</t>
  </si>
  <si>
    <t>Luxembourg</t>
  </si>
  <si>
    <t>Etats-Unis</t>
  </si>
  <si>
    <t>Finlande</t>
  </si>
  <si>
    <t>Agences non garanties</t>
  </si>
  <si>
    <t>(y c agences non garanties)</t>
  </si>
  <si>
    <t>Dette souveraine (+Ag. Gar. Etat.)</t>
  </si>
  <si>
    <t>Agences Non Garanties</t>
  </si>
  <si>
    <t>Fonds Actions</t>
  </si>
  <si>
    <t>Fonds Tresorerie</t>
  </si>
  <si>
    <t>Liquidité</t>
  </si>
  <si>
    <t>Secteur non renseigné</t>
  </si>
</sst>
</file>

<file path=xl/styles.xml><?xml version="1.0" encoding="utf-8"?>
<styleSheet xmlns="http://schemas.openxmlformats.org/spreadsheetml/2006/main">
  <numFmts count="4">
    <numFmt numFmtId="164" formatCode="_-* #,##0.00\ _F_-;\-* #,##0.00\ _F_-;_-* &quot;-&quot;??\ _F_-;_-@_-"/>
    <numFmt numFmtId="165" formatCode="#,##0.0"/>
    <numFmt numFmtId="166" formatCode="0.0%"/>
    <numFmt numFmtId="167" formatCode="0.0"/>
  </numFmts>
  <fonts count="10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i/>
      <sz val="11"/>
      <name val="Arial"/>
      <family val="2"/>
    </font>
    <font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5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3">
    <xf numFmtId="0" fontId="0" fillId="0" borderId="0" xfId="0"/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10" fontId="0" fillId="0" borderId="0" xfId="0" applyNumberFormat="1"/>
    <xf numFmtId="0" fontId="1" fillId="0" borderId="0" xfId="0" applyFont="1" applyFill="1" applyBorder="1"/>
    <xf numFmtId="0" fontId="2" fillId="0" borderId="0" xfId="0" applyFont="1"/>
    <xf numFmtId="9" fontId="0" fillId="0" borderId="0" xfId="0" applyNumberFormat="1" applyFill="1" applyBorder="1"/>
    <xf numFmtId="9" fontId="4" fillId="0" borderId="0" xfId="0" applyNumberFormat="1" applyFont="1" applyFill="1" applyBorder="1"/>
    <xf numFmtId="9" fontId="0" fillId="0" borderId="0" xfId="0" applyNumberFormat="1"/>
    <xf numFmtId="10" fontId="0" fillId="0" borderId="1" xfId="0" applyNumberFormat="1" applyBorder="1" applyAlignment="1">
      <alignment horizontal="center" vertical="center"/>
    </xf>
    <xf numFmtId="0" fontId="6" fillId="0" borderId="0" xfId="0" applyFont="1"/>
    <xf numFmtId="14" fontId="6" fillId="0" borderId="0" xfId="0" applyNumberFormat="1" applyFont="1"/>
    <xf numFmtId="14" fontId="7" fillId="0" borderId="0" xfId="0" applyNumberFormat="1" applyFont="1"/>
    <xf numFmtId="0" fontId="1" fillId="0" borderId="2" xfId="0" applyFont="1" applyFill="1" applyBorder="1"/>
    <xf numFmtId="10" fontId="0" fillId="0" borderId="0" xfId="2" applyNumberFormat="1" applyFont="1"/>
    <xf numFmtId="14" fontId="0" fillId="2" borderId="0" xfId="0" applyNumberFormat="1" applyFill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0" fontId="0" fillId="0" borderId="6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4" fontId="2" fillId="2" borderId="11" xfId="0" applyNumberFormat="1" applyFont="1" applyFill="1" applyBorder="1" applyAlignment="1">
      <alignment horizontal="center"/>
    </xf>
    <xf numFmtId="0" fontId="0" fillId="0" borderId="12" xfId="0" applyBorder="1"/>
    <xf numFmtId="166" fontId="0" fillId="0" borderId="13" xfId="2" applyNumberFormat="1" applyFont="1" applyBorder="1"/>
    <xf numFmtId="0" fontId="0" fillId="0" borderId="14" xfId="0" applyBorder="1"/>
    <xf numFmtId="4" fontId="0" fillId="0" borderId="14" xfId="0" applyNumberFormat="1" applyBorder="1"/>
    <xf numFmtId="166" fontId="0" fillId="0" borderId="15" xfId="2" applyNumberFormat="1" applyFont="1" applyBorder="1"/>
    <xf numFmtId="0" fontId="0" fillId="0" borderId="16" xfId="0" applyBorder="1"/>
    <xf numFmtId="4" fontId="0" fillId="0" borderId="16" xfId="0" applyNumberFormat="1" applyBorder="1"/>
    <xf numFmtId="166" fontId="0" fillId="0" borderId="17" xfId="2" applyNumberFormat="1" applyFont="1" applyBorder="1"/>
    <xf numFmtId="4" fontId="0" fillId="0" borderId="18" xfId="0" applyNumberFormat="1" applyBorder="1"/>
    <xf numFmtId="4" fontId="0" fillId="0" borderId="13" xfId="0" applyNumberFormat="1" applyBorder="1"/>
    <xf numFmtId="4" fontId="0" fillId="0" borderId="19" xfId="0" applyNumberFormat="1" applyBorder="1"/>
    <xf numFmtId="4" fontId="0" fillId="0" borderId="4" xfId="0" applyNumberFormat="1" applyBorder="1"/>
    <xf numFmtId="4" fontId="0" fillId="0" borderId="13" xfId="0" applyNumberFormat="1" applyBorder="1" applyAlignment="1">
      <alignment horizontal="center"/>
    </xf>
    <xf numFmtId="4" fontId="0" fillId="0" borderId="18" xfId="0" applyNumberFormat="1" applyBorder="1" applyAlignment="1">
      <alignment horizontal="center"/>
    </xf>
    <xf numFmtId="0" fontId="2" fillId="3" borderId="20" xfId="0" applyFont="1" applyFill="1" applyBorder="1"/>
    <xf numFmtId="0" fontId="2" fillId="3" borderId="2" xfId="0" applyFont="1" applyFill="1" applyBorder="1"/>
    <xf numFmtId="0" fontId="2" fillId="3" borderId="21" xfId="0" applyFont="1" applyFill="1" applyBorder="1"/>
    <xf numFmtId="4" fontId="2" fillId="3" borderId="1" xfId="0" applyNumberFormat="1" applyFont="1" applyFill="1" applyBorder="1" applyAlignment="1">
      <alignment horizontal="center"/>
    </xf>
    <xf numFmtId="4" fontId="2" fillId="3" borderId="22" xfId="0" applyNumberFormat="1" applyFont="1" applyFill="1" applyBorder="1" applyAlignment="1">
      <alignment horizontal="center" wrapText="1"/>
    </xf>
    <xf numFmtId="166" fontId="2" fillId="3" borderId="22" xfId="2" applyNumberFormat="1" applyFont="1" applyFill="1" applyBorder="1" applyAlignment="1">
      <alignment horizontal="center"/>
    </xf>
    <xf numFmtId="0" fontId="2" fillId="0" borderId="23" xfId="0" applyFont="1" applyFill="1" applyBorder="1"/>
    <xf numFmtId="14" fontId="2" fillId="4" borderId="10" xfId="0" applyNumberFormat="1" applyFont="1" applyFill="1" applyBorder="1" applyAlignment="1">
      <alignment horizontal="center"/>
    </xf>
    <xf numFmtId="0" fontId="2" fillId="5" borderId="24" xfId="0" applyFont="1" applyFill="1" applyBorder="1" applyAlignment="1">
      <alignment wrapText="1"/>
    </xf>
    <xf numFmtId="0" fontId="2" fillId="4" borderId="25" xfId="0" applyFont="1" applyFill="1" applyBorder="1"/>
    <xf numFmtId="167" fontId="0" fillId="0" borderId="1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5" fontId="2" fillId="4" borderId="1" xfId="1" applyNumberFormat="1" applyFont="1" applyFill="1" applyBorder="1" applyAlignment="1">
      <alignment horizontal="center"/>
    </xf>
    <xf numFmtId="165" fontId="2" fillId="4" borderId="26" xfId="1" applyNumberFormat="1" applyFont="1" applyFill="1" applyBorder="1" applyAlignment="1">
      <alignment horizontal="center"/>
    </xf>
    <xf numFmtId="0" fontId="2" fillId="0" borderId="24" xfId="0" applyFont="1" applyFill="1" applyBorder="1" applyAlignment="1">
      <alignment wrapText="1"/>
    </xf>
    <xf numFmtId="0" fontId="2" fillId="0" borderId="27" xfId="0" applyFont="1" applyFill="1" applyBorder="1" applyAlignment="1">
      <alignment wrapText="1"/>
    </xf>
    <xf numFmtId="0" fontId="2" fillId="0" borderId="24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vertical="center"/>
    </xf>
    <xf numFmtId="2" fontId="3" fillId="0" borderId="4" xfId="0" applyNumberFormat="1" applyFont="1" applyFill="1" applyBorder="1" applyAlignment="1">
      <alignment horizontal="center" vertical="center"/>
    </xf>
    <xf numFmtId="10" fontId="3" fillId="0" borderId="4" xfId="0" applyNumberFormat="1" applyFont="1" applyFill="1" applyBorder="1" applyAlignment="1">
      <alignment horizontal="center" vertical="center"/>
    </xf>
    <xf numFmtId="10" fontId="0" fillId="0" borderId="28" xfId="0" applyNumberFormat="1" applyBorder="1" applyAlignment="1">
      <alignment horizontal="center" vertical="center"/>
    </xf>
    <xf numFmtId="10" fontId="3" fillId="0" borderId="7" xfId="2" applyNumberFormat="1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10" fontId="3" fillId="0" borderId="29" xfId="0" applyNumberFormat="1" applyFont="1" applyFill="1" applyBorder="1" applyAlignment="1">
      <alignment horizontal="center" vertical="center"/>
    </xf>
    <xf numFmtId="2" fontId="3" fillId="0" borderId="29" xfId="0" applyNumberFormat="1" applyFont="1" applyFill="1" applyBorder="1" applyAlignment="1">
      <alignment horizontal="center" vertical="center"/>
    </xf>
    <xf numFmtId="10" fontId="3" fillId="0" borderId="30" xfId="2" applyNumberFormat="1" applyFont="1" applyFill="1" applyBorder="1" applyAlignment="1">
      <alignment horizontal="center" vertical="center"/>
    </xf>
    <xf numFmtId="14" fontId="2" fillId="2" borderId="31" xfId="0" applyNumberFormat="1" applyFont="1" applyFill="1" applyBorder="1" applyAlignment="1">
      <alignment horizontal="center"/>
    </xf>
    <xf numFmtId="0" fontId="2" fillId="0" borderId="1" xfId="0" applyFont="1" applyBorder="1"/>
    <xf numFmtId="166" fontId="2" fillId="0" borderId="1" xfId="2" applyNumberFormat="1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0" fillId="0" borderId="1" xfId="0" applyBorder="1"/>
    <xf numFmtId="166" fontId="0" fillId="0" borderId="1" xfId="2" applyNumberFormat="1" applyFont="1" applyBorder="1"/>
    <xf numFmtId="0" fontId="0" fillId="0" borderId="32" xfId="0" applyBorder="1"/>
    <xf numFmtId="166" fontId="0" fillId="0" borderId="34" xfId="0" applyNumberFormat="1" applyBorder="1"/>
    <xf numFmtId="0" fontId="0" fillId="0" borderId="35" xfId="0" applyBorder="1"/>
    <xf numFmtId="0" fontId="0" fillId="0" borderId="33" xfId="0" applyBorder="1"/>
    <xf numFmtId="0" fontId="0" fillId="0" borderId="36" xfId="0" applyBorder="1"/>
    <xf numFmtId="0" fontId="0" fillId="0" borderId="37" xfId="0" applyBorder="1"/>
    <xf numFmtId="166" fontId="0" fillId="0" borderId="38" xfId="0" applyNumberFormat="1" applyBorder="1"/>
    <xf numFmtId="14" fontId="2" fillId="2" borderId="0" xfId="0" applyNumberFormat="1" applyFont="1" applyFill="1"/>
    <xf numFmtId="0" fontId="8" fillId="0" borderId="0" xfId="0" applyFont="1" applyAlignment="1">
      <alignment horizontal="right"/>
    </xf>
    <xf numFmtId="9" fontId="0" fillId="0" borderId="0" xfId="2" applyFont="1"/>
    <xf numFmtId="166" fontId="0" fillId="0" borderId="41" xfId="2" applyNumberFormat="1" applyFont="1" applyBorder="1" applyAlignment="1">
      <alignment horizontal="center"/>
    </xf>
    <xf numFmtId="166" fontId="0" fillId="0" borderId="0" xfId="2" applyNumberFormat="1" applyFont="1" applyBorder="1"/>
    <xf numFmtId="166" fontId="0" fillId="0" borderId="42" xfId="2" applyNumberFormat="1" applyFont="1" applyBorder="1"/>
    <xf numFmtId="2" fontId="0" fillId="0" borderId="18" xfId="0" applyNumberFormat="1" applyBorder="1"/>
    <xf numFmtId="2" fontId="0" fillId="0" borderId="19" xfId="0" applyNumberFormat="1" applyBorder="1"/>
    <xf numFmtId="2" fontId="0" fillId="0" borderId="4" xfId="0" applyNumberFormat="1" applyBorder="1"/>
    <xf numFmtId="0" fontId="2" fillId="6" borderId="12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166" fontId="2" fillId="0" borderId="1" xfId="2" applyNumberFormat="1" applyFont="1" applyFill="1" applyBorder="1"/>
    <xf numFmtId="0" fontId="1" fillId="0" borderId="18" xfId="0" applyFont="1" applyFill="1" applyBorder="1"/>
    <xf numFmtId="0" fontId="9" fillId="0" borderId="19" xfId="0" applyFont="1" applyBorder="1"/>
    <xf numFmtId="0" fontId="0" fillId="0" borderId="4" xfId="0" applyBorder="1"/>
    <xf numFmtId="0" fontId="0" fillId="0" borderId="0" xfId="0" applyFill="1"/>
    <xf numFmtId="0" fontId="1" fillId="0" borderId="0" xfId="0" applyFont="1" applyFill="1"/>
    <xf numFmtId="166" fontId="0" fillId="0" borderId="18" xfId="2" applyNumberFormat="1" applyFont="1" applyBorder="1"/>
    <xf numFmtId="0" fontId="9" fillId="0" borderId="0" xfId="0" applyFont="1"/>
    <xf numFmtId="0" fontId="0" fillId="0" borderId="44" xfId="0" applyBorder="1"/>
    <xf numFmtId="0" fontId="0" fillId="0" borderId="45" xfId="0" applyBorder="1"/>
    <xf numFmtId="166" fontId="0" fillId="0" borderId="43" xfId="0" applyNumberFormat="1" applyBorder="1"/>
    <xf numFmtId="0" fontId="2" fillId="0" borderId="1" xfId="0" applyFont="1" applyBorder="1" applyAlignment="1"/>
    <xf numFmtId="166" fontId="2" fillId="0" borderId="0" xfId="0" applyNumberFormat="1" applyFont="1" applyBorder="1"/>
    <xf numFmtId="0" fontId="2" fillId="0" borderId="2" xfId="0" applyFont="1" applyBorder="1"/>
    <xf numFmtId="166" fontId="0" fillId="0" borderId="46" xfId="0" applyNumberFormat="1" applyBorder="1"/>
    <xf numFmtId="0" fontId="0" fillId="0" borderId="0" xfId="0" applyBorder="1" applyAlignment="1"/>
    <xf numFmtId="0" fontId="0" fillId="0" borderId="0" xfId="0" applyBorder="1"/>
    <xf numFmtId="0" fontId="1" fillId="0" borderId="18" xfId="0" applyFont="1" applyBorder="1"/>
    <xf numFmtId="0" fontId="0" fillId="0" borderId="19" xfId="0" applyFill="1" applyBorder="1"/>
    <xf numFmtId="0" fontId="0" fillId="0" borderId="4" xfId="0" applyFill="1" applyBorder="1"/>
    <xf numFmtId="0" fontId="9" fillId="0" borderId="0" xfId="0" applyFont="1" applyFill="1"/>
    <xf numFmtId="0" fontId="9" fillId="0" borderId="0" xfId="0" applyFont="1" applyFill="1" applyBorder="1"/>
    <xf numFmtId="0" fontId="2" fillId="0" borderId="1" xfId="0" applyFont="1" applyBorder="1" applyAlignment="1">
      <alignment horizontal="center"/>
    </xf>
    <xf numFmtId="166" fontId="0" fillId="0" borderId="18" xfId="2" applyNumberFormat="1" applyFont="1" applyBorder="1" applyAlignment="1"/>
    <xf numFmtId="166" fontId="0" fillId="0" borderId="1" xfId="2" applyNumberFormat="1" applyFont="1" applyBorder="1" applyAlignment="1"/>
    <xf numFmtId="166" fontId="0" fillId="0" borderId="4" xfId="2" applyNumberFormat="1" applyFont="1" applyBorder="1"/>
    <xf numFmtId="0" fontId="0" fillId="7" borderId="0" xfId="0" applyFill="1"/>
    <xf numFmtId="0" fontId="1" fillId="7" borderId="1" xfId="0" applyFont="1" applyFill="1" applyBorder="1"/>
    <xf numFmtId="14" fontId="1" fillId="2" borderId="0" xfId="0" applyNumberFormat="1" applyFont="1" applyFill="1" applyAlignment="1">
      <alignment horizontal="center"/>
    </xf>
    <xf numFmtId="0" fontId="0" fillId="0" borderId="0" xfId="2" applyNumberFormat="1" applyFo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39" xfId="0" applyFont="1" applyFill="1" applyBorder="1" applyAlignment="1">
      <alignment horizontal="center"/>
    </xf>
    <xf numFmtId="0" fontId="0" fillId="0" borderId="40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view3D>
      <c:rotX val="30"/>
      <c:perspective val="30"/>
    </c:view3D>
    <c:plotArea>
      <c:layout>
        <c:manualLayout>
          <c:layoutTarget val="inner"/>
          <c:xMode val="edge"/>
          <c:yMode val="edge"/>
          <c:x val="0.33460601369426052"/>
          <c:y val="0.20905923344947913"/>
          <c:w val="0.33460601369426052"/>
          <c:h val="0.57491289198605877"/>
        </c:manualLayout>
      </c:layout>
      <c:pie3DChart>
        <c:varyColors val="1"/>
        <c:ser>
          <c:idx val="0"/>
          <c:order val="0"/>
          <c:explosion val="6"/>
          <c:dPt>
            <c:idx val="2"/>
            <c:explosion val="14"/>
          </c:dPt>
          <c:dLbls>
            <c:dLbl>
              <c:idx val="0"/>
              <c:layout>
                <c:manualLayout>
                  <c:x val="2.8703272495126719E-2"/>
                  <c:y val="4.5250075447886125E-2"/>
                </c:manualLayout>
              </c:layout>
              <c:dLblPos val="bestFit"/>
              <c:showVal val="1"/>
              <c:showCatName val="1"/>
              <c:separator>
</c:separator>
            </c:dLbl>
            <c:dLbl>
              <c:idx val="1"/>
              <c:layout>
                <c:manualLayout>
                  <c:x val="3.4933175924737082E-2"/>
                  <c:y val="0.11309683850494297"/>
                </c:manualLayout>
              </c:layout>
              <c:dLblPos val="bestFit"/>
              <c:showVal val="1"/>
              <c:showCatName val="1"/>
              <c:separator>
</c:separator>
            </c:dLbl>
            <c:dLbl>
              <c:idx val="2"/>
              <c:layout>
                <c:manualLayout>
                  <c:x val="-9.6546698883518731E-2"/>
                  <c:y val="6.8004426275983812E-2"/>
                </c:manualLayout>
              </c:layout>
              <c:dLblPos val="bestFit"/>
              <c:showVal val="1"/>
              <c:showCatName val="1"/>
              <c:separator>
</c:separator>
            </c:dLbl>
            <c:dLbl>
              <c:idx val="3"/>
              <c:layout>
                <c:manualLayout>
                  <c:x val="2.6621375001814294E-2"/>
                  <c:y val="-5.2860343676552617E-2"/>
                </c:manualLayout>
              </c:layout>
              <c:dLblPos val="bestFit"/>
              <c:showVal val="1"/>
              <c:showCatName val="1"/>
              <c:separator>
</c:separator>
            </c:dLbl>
            <c:dLbl>
              <c:idx val="4"/>
              <c:layout>
                <c:manualLayout>
                  <c:x val="-4.8688429571303586E-2"/>
                  <c:y val="-7.4591717701953927E-2"/>
                </c:manualLayout>
              </c:layout>
              <c:dLblPos val="bestFit"/>
              <c:showVal val="1"/>
              <c:showCatName val="1"/>
              <c:separator>
</c:separator>
            </c:dLbl>
            <c:dLbl>
              <c:idx val="5"/>
              <c:layout>
                <c:manualLayout>
                  <c:x val="3.6312226596675413E-2"/>
                  <c:y val="-7.7318460192476526E-2"/>
                </c:manualLayout>
              </c:layout>
              <c:dLblPos val="bestFit"/>
              <c:showVal val="1"/>
              <c:showCatName val="1"/>
              <c:separator>
</c:separator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b="1"/>
                </a:pPr>
                <a:endParaRPr lang="fr-FR"/>
              </a:p>
            </c:txPr>
            <c:showVal val="1"/>
            <c:showCatName val="1"/>
            <c:separator>
</c:separator>
            <c:showLeaderLines val="1"/>
          </c:dLbls>
          <c:cat>
            <c:strRef>
              <c:f>'actifs obligataires'!$A$19:$A$22</c:f>
              <c:strCache>
                <c:ptCount val="4"/>
                <c:pt idx="0">
                  <c:v>Dette souveraine (+Ag. Gar. Etat.)</c:v>
                </c:pt>
                <c:pt idx="1">
                  <c:v>Emetteurs privés</c:v>
                </c:pt>
                <c:pt idx="2">
                  <c:v>Agences Non Garanties</c:v>
                </c:pt>
                <c:pt idx="3">
                  <c:v>Trésorerie</c:v>
                </c:pt>
              </c:strCache>
            </c:strRef>
          </c:cat>
          <c:val>
            <c:numRef>
              <c:f>'actifs obligataires'!$C$19:$C$22</c:f>
              <c:numCache>
                <c:formatCode>0%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</c:ser>
      </c:pie3DChart>
      <c:spPr>
        <a:noFill/>
        <a:ln w="25400">
          <a:noFill/>
        </a:ln>
      </c:spPr>
    </c:plotArea>
    <c:plotVisOnly val="1"/>
    <c:dispBlanksAs val="zero"/>
  </c:chart>
  <c:printSettings>
    <c:headerFooter/>
    <c:pageMargins b="0.98425196899999956" l="0.78740157499999996" r="0.78740157499999996" t="0.98425196899999956" header="0.492125984500002" footer="0.4921259845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view3D>
      <c:rotX val="30"/>
      <c:perspective val="30"/>
    </c:view3D>
    <c:plotArea>
      <c:layout>
        <c:manualLayout>
          <c:layoutTarget val="inner"/>
          <c:xMode val="edge"/>
          <c:yMode val="edge"/>
          <c:x val="0.23439490445859873"/>
          <c:y val="0.10726661721895589"/>
          <c:w val="0.47898089171975128"/>
          <c:h val="0.80968994933017946"/>
        </c:manualLayout>
      </c:layout>
      <c:pie3DChart>
        <c:varyColors val="1"/>
        <c:ser>
          <c:idx val="0"/>
          <c:order val="0"/>
          <c:explosion val="30"/>
          <c:dLbls>
            <c:dLbl>
              <c:idx val="0"/>
              <c:layout>
                <c:manualLayout>
                  <c:x val="1.5491917013557961E-2"/>
                  <c:y val="-8.908360412377388E-3"/>
                </c:manualLayout>
              </c:layout>
              <c:dLblPos val="bestFit"/>
              <c:showVal val="1"/>
              <c:showCatName val="1"/>
              <c:separator>
</c:separator>
            </c:dLbl>
            <c:dLbl>
              <c:idx val="1"/>
              <c:layout>
                <c:manualLayout>
                  <c:x val="-4.7836300717187419E-2"/>
                  <c:y val="1.6094807635785156E-2"/>
                </c:manualLayout>
              </c:layout>
              <c:dLblPos val="bestFit"/>
              <c:showVal val="1"/>
              <c:showCatName val="1"/>
              <c:separator>
</c:separator>
            </c:dLbl>
            <c:dLbl>
              <c:idx val="2"/>
              <c:layout>
                <c:manualLayout>
                  <c:x val="1.6061119748566648E-2"/>
                  <c:y val="-6.4248769981858234E-3"/>
                </c:manualLayout>
              </c:layout>
              <c:dLblPos val="bestFit"/>
              <c:showVal val="1"/>
              <c:showCatName val="1"/>
              <c:separator>
</c:separator>
            </c:dLbl>
            <c:dLbl>
              <c:idx val="3"/>
              <c:layout>
                <c:manualLayout>
                  <c:x val="0.18240901415985444"/>
                  <c:y val="1.5849074948389129E-2"/>
                </c:manualLayout>
              </c:layout>
              <c:dLblPos val="bestFit"/>
              <c:showVal val="1"/>
              <c:showCatName val="1"/>
              <c:separator>
</c:separator>
            </c:dLbl>
            <c:dLbl>
              <c:idx val="4"/>
              <c:layout>
                <c:manualLayout>
                  <c:x val="-4.8688429571303586E-2"/>
                  <c:y val="-7.4591717701953927E-2"/>
                </c:manualLayout>
              </c:layout>
              <c:dLblPos val="bestFit"/>
              <c:showVal val="1"/>
              <c:showCatName val="1"/>
              <c:separator>
</c:separator>
            </c:dLbl>
            <c:dLbl>
              <c:idx val="5"/>
              <c:layout>
                <c:manualLayout>
                  <c:x val="3.6312226596675413E-2"/>
                  <c:y val="-7.7318460192476526E-2"/>
                </c:manualLayout>
              </c:layout>
              <c:dLblPos val="bestFit"/>
              <c:showVal val="1"/>
              <c:showCatName val="1"/>
              <c:separator>
</c:separator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b="1"/>
                </a:pPr>
                <a:endParaRPr lang="fr-FR"/>
              </a:p>
            </c:txPr>
            <c:showVal val="1"/>
            <c:showCatName val="1"/>
            <c:separator>
</c:separator>
            <c:showLeaderLines val="1"/>
          </c:dLbls>
          <c:cat>
            <c:strRef>
              <c:f>'actifs obligataires'!$A$37:$A$40</c:f>
              <c:strCache>
                <c:ptCount val="4"/>
                <c:pt idx="0">
                  <c:v>Taux Fixe</c:v>
                </c:pt>
                <c:pt idx="1">
                  <c:v>Inflation</c:v>
                </c:pt>
                <c:pt idx="2">
                  <c:v>Trésorerie</c:v>
                </c:pt>
                <c:pt idx="3">
                  <c:v>Taux Variable</c:v>
                </c:pt>
              </c:strCache>
            </c:strRef>
          </c:cat>
          <c:val>
            <c:numRef>
              <c:f>'actifs obligataires'!$C$37:$C$40</c:f>
              <c:numCache>
                <c:formatCode>0%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</c:ser>
      </c:pie3DChart>
      <c:spPr>
        <a:noFill/>
        <a:ln w="25400">
          <a:noFill/>
        </a:ln>
      </c:spPr>
    </c:plotArea>
    <c:plotVisOnly val="1"/>
    <c:dispBlanksAs val="zero"/>
  </c:chart>
  <c:printSettings>
    <c:headerFooter/>
    <c:pageMargins b="0.98425196899999956" l="0.78740157499999996" r="0.78740157499999996" t="0.98425196899999956" header="0.492125984500002" footer="0.4921259845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view3D>
      <c:rotX val="30"/>
      <c:perspective val="30"/>
    </c:view3D>
    <c:plotArea>
      <c:layout>
        <c:manualLayout>
          <c:layoutTarget val="inner"/>
          <c:xMode val="edge"/>
          <c:yMode val="edge"/>
          <c:x val="0.25318097614128132"/>
          <c:y val="0.10903459962336808"/>
          <c:w val="0.48473342668255343"/>
          <c:h val="0.74143527743890891"/>
        </c:manualLayout>
      </c:layout>
      <c:pie3DChart>
        <c:varyColors val="1"/>
        <c:ser>
          <c:idx val="0"/>
          <c:order val="0"/>
          <c:explosion val="25"/>
          <c:dLbls>
            <c:dLbl>
              <c:idx val="0"/>
              <c:layout>
                <c:manualLayout>
                  <c:x val="0.18003819487950348"/>
                  <c:y val="0.12511877445732211"/>
                </c:manualLayout>
              </c:layout>
              <c:dLblPos val="bestFit"/>
              <c:showVal val="1"/>
              <c:showCatName val="1"/>
              <c:separator>
</c:separator>
            </c:dLbl>
            <c:dLbl>
              <c:idx val="1"/>
              <c:layout>
                <c:manualLayout>
                  <c:x val="-2.6143685389314292E-2"/>
                  <c:y val="0.22199920736366691"/>
                </c:manualLayout>
              </c:layout>
              <c:dLblPos val="bestFit"/>
              <c:showVal val="1"/>
              <c:showCatName val="1"/>
              <c:separator>
</c:separator>
            </c:dLbl>
            <c:dLbl>
              <c:idx val="2"/>
              <c:layout>
                <c:manualLayout>
                  <c:x val="2.2598499832635927E-2"/>
                  <c:y val="0.15163525607692496"/>
                </c:manualLayout>
              </c:layout>
              <c:dLblPos val="bestFit"/>
              <c:showVal val="1"/>
              <c:showCatName val="1"/>
              <c:separator>
</c:separator>
            </c:dLbl>
            <c:dLbl>
              <c:idx val="3"/>
              <c:layout>
                <c:manualLayout>
                  <c:x val="1.2414406045585281E-3"/>
                  <c:y val="-4.0686603746900592E-2"/>
                </c:manualLayout>
              </c:layout>
              <c:dLblPos val="bestFit"/>
              <c:showVal val="1"/>
              <c:showCatName val="1"/>
              <c:separator>
</c:separator>
            </c:dLbl>
            <c:dLbl>
              <c:idx val="4"/>
              <c:layout>
                <c:manualLayout>
                  <c:x val="-9.2373252795971434E-3"/>
                  <c:y val="-7.524002627889893E-3"/>
                </c:manualLayout>
              </c:layout>
              <c:dLblPos val="bestFit"/>
              <c:showVal val="1"/>
              <c:showCatName val="1"/>
              <c:separator>
</c:separator>
            </c:dLbl>
            <c:dLbl>
              <c:idx val="5"/>
              <c:layout>
                <c:manualLayout>
                  <c:x val="0.24632692465690384"/>
                  <c:y val="8.5367040632560527E-4"/>
                </c:manualLayout>
              </c:layout>
              <c:dLblPos val="bestFit"/>
              <c:showVal val="1"/>
              <c:showCatName val="1"/>
              <c:separator>
</c:separator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b="1"/>
                </a:pPr>
                <a:endParaRPr lang="fr-FR"/>
              </a:p>
            </c:txPr>
            <c:showVal val="1"/>
            <c:showCatName val="1"/>
            <c:separator>
</c:separator>
            <c:showLeaderLines val="1"/>
          </c:dLbls>
          <c:cat>
            <c:strRef>
              <c:f>'actifs obligataires'!$A$57:$A$61</c:f>
              <c:strCache>
                <c:ptCount val="5"/>
                <c:pt idx="0">
                  <c:v>AAA</c:v>
                </c:pt>
                <c:pt idx="1">
                  <c:v>AA</c:v>
                </c:pt>
                <c:pt idx="2">
                  <c:v>A</c:v>
                </c:pt>
                <c:pt idx="3">
                  <c:v>BBB et &lt; BBB</c:v>
                </c:pt>
                <c:pt idx="4">
                  <c:v>NR</c:v>
                </c:pt>
              </c:strCache>
            </c:strRef>
          </c:cat>
          <c:val>
            <c:numRef>
              <c:f>'actifs obligataires'!$C$57:$C$61</c:f>
              <c:numCache>
                <c:formatCode>0%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</c:v>
                </c:pt>
              </c:numCache>
            </c:numRef>
          </c:val>
        </c:ser>
      </c:pie3DChart>
      <c:spPr>
        <a:noFill/>
        <a:ln w="25400">
          <a:noFill/>
        </a:ln>
      </c:spPr>
    </c:plotArea>
    <c:plotVisOnly val="1"/>
    <c:dispBlanksAs val="zero"/>
  </c:chart>
  <c:printSettings>
    <c:headerFooter/>
    <c:pageMargins b="0.98425196899999956" l="0.78740157499999996" r="0.78740157499999996" t="0.98425196899999956" header="0.492125984500002" footer="0.4921259845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view3D>
      <c:rotX val="30"/>
      <c:perspective val="30"/>
    </c:view3D>
    <c:plotArea>
      <c:layout>
        <c:manualLayout>
          <c:layoutTarget val="inner"/>
          <c:xMode val="edge"/>
          <c:yMode val="edge"/>
          <c:x val="0.29860247242946741"/>
          <c:y val="0.18685152676850167"/>
          <c:w val="0.34561647872687168"/>
          <c:h val="0.58823628797490635"/>
        </c:manualLayout>
      </c:layout>
      <c:pie3DChart>
        <c:varyColors val="1"/>
        <c:ser>
          <c:idx val="0"/>
          <c:order val="0"/>
          <c:explosion val="25"/>
          <c:dLbls>
            <c:dLbl>
              <c:idx val="0"/>
              <c:layout>
                <c:manualLayout>
                  <c:x val="0.24464851268591425"/>
                  <c:y val="6.1342592592592587E-2"/>
                </c:manualLayout>
              </c:layout>
              <c:dLblPos val="bestFit"/>
              <c:showVal val="1"/>
              <c:showCatName val="1"/>
              <c:separator>
</c:separator>
            </c:dLbl>
            <c:dLbl>
              <c:idx val="1"/>
              <c:layout>
                <c:manualLayout>
                  <c:x val="-3.3239827308180002E-2"/>
                  <c:y val="-5.559200933216732E-4"/>
                </c:manualLayout>
              </c:layout>
              <c:dLblPos val="bestFit"/>
              <c:showVal val="1"/>
              <c:showCatName val="1"/>
              <c:separator>
</c:separator>
            </c:dLbl>
            <c:dLbl>
              <c:idx val="2"/>
              <c:layout>
                <c:manualLayout>
                  <c:x val="2.0903324584427238E-3"/>
                  <c:y val="-0.10439413823272092"/>
                </c:manualLayout>
              </c:layout>
              <c:dLblPos val="bestFit"/>
              <c:showVal val="1"/>
              <c:showCatName val="1"/>
              <c:separator>
</c:separator>
            </c:dLbl>
            <c:dLbl>
              <c:idx val="3"/>
              <c:layout>
                <c:manualLayout>
                  <c:x val="-4.7268591426071933E-2"/>
                  <c:y val="-9.4359142607174165E-2"/>
                </c:manualLayout>
              </c:layout>
              <c:dLblPos val="bestFit"/>
              <c:showVal val="1"/>
              <c:showCatName val="1"/>
              <c:separator>
</c:separator>
            </c:dLbl>
            <c:dLbl>
              <c:idx val="4"/>
              <c:layout>
                <c:manualLayout>
                  <c:x val="-4.8688429571303586E-2"/>
                  <c:y val="-7.4591717701953927E-2"/>
                </c:manualLayout>
              </c:layout>
              <c:dLblPos val="bestFit"/>
              <c:showVal val="1"/>
              <c:showCatName val="1"/>
              <c:separator>
</c:separator>
            </c:dLbl>
            <c:dLbl>
              <c:idx val="5"/>
              <c:layout>
                <c:manualLayout>
                  <c:x val="3.6312226596675413E-2"/>
                  <c:y val="-7.7318460192476526E-2"/>
                </c:manualLayout>
              </c:layout>
              <c:dLblPos val="bestFit"/>
              <c:showVal val="1"/>
              <c:showCatName val="1"/>
              <c:separator>
</c:separator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b="1"/>
                </a:pPr>
                <a:endParaRPr lang="fr-FR"/>
              </a:p>
            </c:txPr>
            <c:showVal val="1"/>
            <c:showCatName val="1"/>
            <c:separator>
</c:separator>
            <c:showLeaderLines val="1"/>
          </c:dLbls>
          <c:cat>
            <c:strRef>
              <c:f>'actifs obligataires'!$A$79:$A$84</c:f>
              <c:strCache>
                <c:ptCount val="6"/>
                <c:pt idx="0">
                  <c:v>Banques</c:v>
                </c:pt>
                <c:pt idx="1">
                  <c:v>Corporates non financières</c:v>
                </c:pt>
                <c:pt idx="2">
                  <c:v>Agences non garanties</c:v>
                </c:pt>
                <c:pt idx="3">
                  <c:v>Obligations foncières</c:v>
                </c:pt>
                <c:pt idx="4">
                  <c:v>Assurances</c:v>
                </c:pt>
                <c:pt idx="5">
                  <c:v>Services financiers</c:v>
                </c:pt>
              </c:strCache>
            </c:strRef>
          </c:cat>
          <c:val>
            <c:numRef>
              <c:f>'actifs obligataires'!$C$79:$C$84</c:f>
              <c:numCache>
                <c:formatCode>0%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</c:ser>
      </c:pie3DChart>
      <c:spPr>
        <a:noFill/>
        <a:ln w="25400">
          <a:noFill/>
        </a:ln>
      </c:spPr>
    </c:plotArea>
    <c:plotVisOnly val="1"/>
    <c:dispBlanksAs val="zero"/>
  </c:chart>
  <c:printSettings>
    <c:headerFooter/>
    <c:pageMargins b="0.98425196899999956" l="0.78740157499999996" r="0.78740157499999996" t="0.98425196899999956" header="0.492125984500002" footer="0.4921259845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view3D>
      <c:rotX val="30"/>
      <c:rotY val="20"/>
      <c:perspective val="30"/>
    </c:view3D>
    <c:plotArea>
      <c:layout>
        <c:manualLayout>
          <c:layoutTarget val="inner"/>
          <c:xMode val="edge"/>
          <c:yMode val="edge"/>
          <c:x val="0.23761132912472274"/>
          <c:y val="0.18072289156626709"/>
          <c:w val="0.52477796218454864"/>
          <c:h val="0.77710843373494065"/>
        </c:manualLayout>
      </c:layout>
      <c:pie3DChart>
        <c:varyColors val="1"/>
        <c:ser>
          <c:idx val="0"/>
          <c:order val="0"/>
          <c:explosion val="24"/>
          <c:dPt>
            <c:idx val="0"/>
            <c:explosion val="12"/>
          </c:dPt>
          <c:dPt>
            <c:idx val="1"/>
            <c:explosion val="18"/>
          </c:dPt>
          <c:dLbls>
            <c:dLbl>
              <c:idx val="0"/>
              <c:layout>
                <c:manualLayout>
                  <c:x val="-1.7989023453012561E-2"/>
                  <c:y val="0.2250212981536426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/>
                  </a:pPr>
                  <a:endParaRPr lang="fr-FR"/>
                </a:p>
              </c:txPr>
              <c:dLblPos val="bestFit"/>
              <c:showVal val="1"/>
              <c:showCatName val="1"/>
              <c:separator>
</c:separator>
            </c:dLbl>
            <c:dLbl>
              <c:idx val="1"/>
              <c:layout>
                <c:manualLayout>
                  <c:x val="3.3416663603534201E-2"/>
                  <c:y val="0.1471365778072932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/>
                  </a:pPr>
                  <a:endParaRPr lang="fr-FR"/>
                </a:p>
              </c:txPr>
              <c:dLblPos val="bestFit"/>
              <c:showVal val="1"/>
              <c:showCatName val="1"/>
              <c:separator>
</c:separator>
            </c:dLbl>
            <c:dLbl>
              <c:idx val="2"/>
              <c:layout>
                <c:manualLayout>
                  <c:x val="-3.8418695828927395E-2"/>
                  <c:y val="0.1089915567782953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/>
                  </a:pPr>
                  <a:endParaRPr lang="fr-FR"/>
                </a:p>
              </c:txPr>
              <c:dLblPos val="bestFit"/>
              <c:showVal val="1"/>
              <c:showCatName val="1"/>
              <c:separator>
</c:separator>
            </c:dLbl>
            <c:dLbl>
              <c:idx val="3"/>
              <c:layout>
                <c:manualLayout>
                  <c:x val="-0.11668873900476787"/>
                  <c:y val="4.3734939759036869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/>
                  </a:pPr>
                  <a:endParaRPr lang="fr-FR"/>
                </a:p>
              </c:txPr>
              <c:dLblPos val="bestFit"/>
              <c:showVal val="1"/>
              <c:showCatName val="1"/>
              <c:separator>
</c:separator>
            </c:dLbl>
            <c:dLbl>
              <c:idx val="4"/>
              <c:layout>
                <c:manualLayout>
                  <c:x val="-0.11055558430553218"/>
                  <c:y val="-3.9950668817000261E-2"/>
                </c:manualLayout>
              </c:layout>
              <c:dLblPos val="bestFit"/>
              <c:showVal val="1"/>
              <c:showCatName val="1"/>
              <c:separator>
</c:separator>
            </c:dLbl>
            <c:dLbl>
              <c:idx val="5"/>
              <c:layout>
                <c:manualLayout>
                  <c:x val="-5.0372974867128738E-2"/>
                  <c:y val="-8.213578724346203E-2"/>
                </c:manualLayout>
              </c:layout>
              <c:dLblPos val="bestFit"/>
              <c:showVal val="1"/>
              <c:showCatName val="1"/>
              <c:separator>
</c:separator>
            </c:dLbl>
            <c:dLbl>
              <c:idx val="6"/>
              <c:layout>
                <c:manualLayout>
                  <c:x val="-1.1459763295481802E-4"/>
                  <c:y val="-5.7652025424532814E-2"/>
                </c:manualLayout>
              </c:layout>
              <c:dLblPos val="bestFit"/>
              <c:showVal val="1"/>
              <c:showCatName val="1"/>
              <c:separator>
</c:separator>
            </c:dLbl>
            <c:dLbl>
              <c:idx val="7"/>
              <c:layout>
                <c:manualLayout>
                  <c:x val="3.6462620023527792E-2"/>
                  <c:y val="-9.0784555545014745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/>
                  </a:pPr>
                  <a:endParaRPr lang="fr-FR"/>
                </a:p>
              </c:txPr>
              <c:dLblPos val="bestFit"/>
              <c:showVal val="1"/>
              <c:showCatName val="1"/>
              <c:separator>
</c:separator>
            </c:dLbl>
            <c:dLbl>
              <c:idx val="8"/>
              <c:layout>
                <c:manualLayout>
                  <c:x val="0.11802481626484275"/>
                  <c:y val="-6.9700218195617114E-2"/>
                </c:manualLayout>
              </c:layout>
              <c:dLblPos val="bestFit"/>
              <c:showVal val="1"/>
              <c:showCatName val="1"/>
              <c:separator>
</c:separator>
            </c:dLbl>
            <c:dLbl>
              <c:idx val="9"/>
              <c:layout>
                <c:manualLayout>
                  <c:x val="0.16807188179028856"/>
                  <c:y val="-2.3279258767352876E-2"/>
                </c:manualLayout>
              </c:layout>
              <c:dLblPos val="bestFit"/>
              <c:showVal val="1"/>
              <c:showCatName val="1"/>
              <c:separator>
</c:separator>
            </c:dLbl>
            <c:dLbl>
              <c:idx val="10"/>
              <c:layout>
                <c:manualLayout>
                  <c:x val="0.1615068207625617"/>
                  <c:y val="0.17786800746292442"/>
                </c:manualLayout>
              </c:layout>
              <c:dLblPos val="bestFit"/>
              <c:showVal val="1"/>
              <c:showCatName val="1"/>
              <c:separator>
</c:separator>
            </c:dLbl>
            <c:spPr>
              <a:noFill/>
              <a:ln w="25400">
                <a:noFill/>
              </a:ln>
            </c:spPr>
            <c:showVal val="1"/>
            <c:showCatName val="1"/>
            <c:separator>
</c:separator>
            <c:showLeaderLines val="1"/>
          </c:dLbls>
          <c:cat>
            <c:strRef>
              <c:f>'actifs obligataires'!$A$102:$A$116</c:f>
              <c:strCache>
                <c:ptCount val="15"/>
                <c:pt idx="0">
                  <c:v>France</c:v>
                </c:pt>
                <c:pt idx="1">
                  <c:v>Italie</c:v>
                </c:pt>
                <c:pt idx="2">
                  <c:v>Belgique</c:v>
                </c:pt>
                <c:pt idx="3">
                  <c:v>Grèce</c:v>
                </c:pt>
                <c:pt idx="4">
                  <c:v>Autriche</c:v>
                </c:pt>
                <c:pt idx="5">
                  <c:v>Supranational</c:v>
                </c:pt>
                <c:pt idx="6">
                  <c:v>Irlande</c:v>
                </c:pt>
                <c:pt idx="7">
                  <c:v>Pays bas</c:v>
                </c:pt>
                <c:pt idx="8">
                  <c:v>Portugal</c:v>
                </c:pt>
                <c:pt idx="9">
                  <c:v>Allemagne</c:v>
                </c:pt>
                <c:pt idx="10">
                  <c:v>Canada</c:v>
                </c:pt>
                <c:pt idx="11">
                  <c:v>Luxembourg</c:v>
                </c:pt>
                <c:pt idx="12">
                  <c:v>Espagne</c:v>
                </c:pt>
                <c:pt idx="13">
                  <c:v>Finlande</c:v>
                </c:pt>
                <c:pt idx="14">
                  <c:v>Etats-Unis</c:v>
                </c:pt>
              </c:strCache>
            </c:strRef>
          </c:cat>
          <c:val>
            <c:numRef>
              <c:f>'actifs obligataires'!$C$102:$C$116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</c:pie3DChart>
      <c:spPr>
        <a:noFill/>
        <a:ln w="25400">
          <a:noFill/>
        </a:ln>
      </c:spPr>
    </c:plotArea>
    <c:plotVisOnly val="1"/>
    <c:dispBlanksAs val="zero"/>
  </c:chart>
  <c:printSettings>
    <c:headerFooter/>
    <c:pageMargins b="0.98425196899999956" l="0.78740157499999996" r="0.78740157499999996" t="0.98425196899999956" header="0.492125984500002" footer="0.4921259845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view3D>
      <c:rotX val="30"/>
      <c:perspective val="30"/>
    </c:view3D>
    <c:plotArea>
      <c:layout>
        <c:manualLayout>
          <c:layoutTarget val="inner"/>
          <c:xMode val="edge"/>
          <c:yMode val="edge"/>
          <c:x val="0.15441190330227619"/>
          <c:y val="0.18149466192170821"/>
          <c:w val="0.66911824764319783"/>
          <c:h val="0.80782918149466187"/>
        </c:manualLayout>
      </c:layout>
      <c:pie3DChart>
        <c:varyColors val="1"/>
        <c:ser>
          <c:idx val="0"/>
          <c:order val="0"/>
          <c:explosion val="12"/>
          <c:dPt>
            <c:idx val="0"/>
            <c:explosion val="0"/>
          </c:dPt>
          <c:dLbls>
            <c:dLbl>
              <c:idx val="0"/>
              <c:layout>
                <c:manualLayout>
                  <c:x val="1.9593722659667748E-2"/>
                  <c:y val="5.3330052493438321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/>
                  </a:pPr>
                  <a:endParaRPr lang="fr-FR"/>
                </a:p>
              </c:txPr>
              <c:dLblPos val="bestFit"/>
              <c:showCatName val="1"/>
              <c:showPercent val="1"/>
            </c:dLbl>
            <c:dLbl>
              <c:idx val="4"/>
              <c:layout>
                <c:manualLayout>
                  <c:x val="6.739457567804033E-2"/>
                  <c:y val="8.6824525995624208E-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/>
                  </a:pPr>
                  <a:endParaRPr lang="fr-FR"/>
                </a:p>
              </c:txPr>
              <c:dLblPos val="bestFit"/>
              <c:showCatName val="1"/>
              <c:showPercent val="1"/>
            </c:dLbl>
            <c:dLbl>
              <c:idx val="5"/>
              <c:layout>
                <c:manualLayout>
                  <c:x val="0.40146456692913618"/>
                  <c:y val="9.1117996532021947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/>
                  </a:pPr>
                  <a:endParaRPr lang="fr-FR"/>
                </a:p>
              </c:txPr>
              <c:dLblPos val="bestFit"/>
              <c:showCatName val="1"/>
              <c:showPercent val="1"/>
            </c:dLbl>
            <c:spPr>
              <a:noFill/>
              <a:ln w="25400">
                <a:noFill/>
              </a:ln>
            </c:spPr>
            <c:showCatName val="1"/>
            <c:showPercent val="1"/>
            <c:showLeaderLines val="1"/>
          </c:dLbls>
          <c:cat>
            <c:strRef>
              <c:f>'actifs actions'!$A$18:$A$23</c:f>
              <c:strCache>
                <c:ptCount val="6"/>
                <c:pt idx="0">
                  <c:v>Euro</c:v>
                </c:pt>
                <c:pt idx="1">
                  <c:v>Ex Euro</c:v>
                </c:pt>
                <c:pt idx="2">
                  <c:v>Amérique</c:v>
                </c:pt>
                <c:pt idx="3">
                  <c:v>Asie</c:v>
                </c:pt>
                <c:pt idx="4">
                  <c:v>Emergents</c:v>
                </c:pt>
                <c:pt idx="5">
                  <c:v>Autres (dont tréso)</c:v>
                </c:pt>
              </c:strCache>
            </c:strRef>
          </c:cat>
          <c:val>
            <c:numRef>
              <c:f>'actifs actions'!$C$18:$C$23</c:f>
              <c:numCache>
                <c:formatCode>0%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</c:ser>
      </c:pie3DChart>
      <c:spPr>
        <a:noFill/>
        <a:ln w="25400">
          <a:noFill/>
        </a:ln>
      </c:spPr>
    </c:plotArea>
    <c:plotVisOnly val="1"/>
    <c:dispBlanksAs val="zero"/>
  </c:chart>
  <c:printSettings>
    <c:headerFooter/>
    <c:pageMargins b="0.98425196899999956" l="0.78740157499999996" r="0.78740157499999996" t="0.98425196899999956" header="0.492125984500002" footer="0.4921259845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>
        <c:manualLayout>
          <c:layoutTarget val="inner"/>
          <c:xMode val="edge"/>
          <c:yMode val="edge"/>
          <c:x val="0.29110840438490004"/>
          <c:y val="0.10514018691588822"/>
          <c:w val="0.36540803897686047"/>
          <c:h val="0.7009345794392523"/>
        </c:manualLayout>
      </c:layout>
      <c:doughnutChart>
        <c:varyColors val="1"/>
        <c:ser>
          <c:idx val="0"/>
          <c:order val="0"/>
          <c:dLbls>
            <c:dLbl>
              <c:idx val="0"/>
              <c:layout>
                <c:manualLayout>
                  <c:x val="5.4828085587961713E-2"/>
                  <c:y val="-0.1746640665243958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/>
                  </a:pPr>
                  <a:endParaRPr lang="fr-FR"/>
                </a:p>
              </c:txPr>
              <c:showVal val="1"/>
              <c:showCatName val="1"/>
              <c:separator>
</c:separator>
            </c:dLbl>
            <c:dLbl>
              <c:idx val="1"/>
              <c:layout>
                <c:manualLayout>
                  <c:x val="8.8670944146598568E-2"/>
                  <c:y val="-8.1522555007726843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/>
                  </a:pPr>
                  <a:endParaRPr lang="fr-FR"/>
                </a:p>
              </c:txPr>
              <c:showVal val="1"/>
              <c:showCatName val="1"/>
              <c:separator>
</c:separator>
            </c:dLbl>
            <c:dLbl>
              <c:idx val="2"/>
              <c:layout>
                <c:manualLayout>
                  <c:x val="0.11210961601785198"/>
                  <c:y val="5.5814506831506308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/>
                  </a:pPr>
                  <a:endParaRPr lang="fr-FR"/>
                </a:p>
              </c:txPr>
              <c:showVal val="1"/>
              <c:showCatName val="1"/>
              <c:separator>
</c:separator>
            </c:dLbl>
            <c:dLbl>
              <c:idx val="3"/>
              <c:layout>
                <c:manualLayout>
                  <c:x val="0.10986243650116199"/>
                  <c:y val="0.1669254544116562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/>
                  </a:pPr>
                  <a:endParaRPr lang="fr-FR"/>
                </a:p>
              </c:txPr>
              <c:showVal val="1"/>
              <c:showCatName val="1"/>
              <c:separator>
</c:separator>
            </c:dLbl>
            <c:dLbl>
              <c:idx val="4"/>
              <c:layout>
                <c:manualLayout>
                  <c:x val="2.4750560260357237E-2"/>
                  <c:y val="0.15744818112689538"/>
                </c:manualLayout>
              </c:layout>
              <c:showVal val="1"/>
              <c:showCatName val="1"/>
              <c:separator>
</c:separator>
            </c:dLbl>
            <c:dLbl>
              <c:idx val="5"/>
              <c:layout>
                <c:manualLayout>
                  <c:x val="-2.1047375168237892E-2"/>
                  <c:y val="0.17090612505212696"/>
                </c:manualLayout>
              </c:layout>
              <c:showVal val="1"/>
              <c:showCatName val="1"/>
              <c:separator>
</c:separator>
            </c:dLbl>
            <c:dLbl>
              <c:idx val="6"/>
              <c:layout>
                <c:manualLayout>
                  <c:x val="-7.2763833875212153E-2"/>
                  <c:y val="0.13742634974366524"/>
                </c:manualLayout>
              </c:layout>
              <c:showVal val="1"/>
              <c:showCatName val="1"/>
              <c:separator>
</c:separator>
            </c:dLbl>
            <c:dLbl>
              <c:idx val="7"/>
              <c:layout>
                <c:manualLayout>
                  <c:x val="-0.1268955022522307"/>
                  <c:y val="3.9415949174577587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/>
                  </a:pPr>
                  <a:endParaRPr lang="fr-FR"/>
                </a:p>
              </c:txPr>
              <c:showVal val="1"/>
              <c:showCatName val="1"/>
              <c:separator>
</c:separator>
            </c:dLbl>
            <c:dLbl>
              <c:idx val="8"/>
              <c:layout>
                <c:manualLayout>
                  <c:x val="-0.12916122390913068"/>
                  <c:y val="-8.7298550298035196E-2"/>
                </c:manualLayout>
              </c:layout>
              <c:showVal val="1"/>
              <c:showCatName val="1"/>
              <c:separator>
</c:separator>
            </c:dLbl>
            <c:dLbl>
              <c:idx val="9"/>
              <c:layout/>
              <c:showVal val="1"/>
              <c:showCatName val="1"/>
              <c:showSerName val="1"/>
              <c:separator>
</c:separator>
            </c:dLbl>
            <c:dLbl>
              <c:idx val="10"/>
              <c:layout>
                <c:manualLayout>
                  <c:xMode val="edge"/>
                  <c:yMode val="edge"/>
                  <c:x val="0.72350791717418383"/>
                  <c:y val="0.25934579439252337"/>
                </c:manualLayout>
              </c:layout>
              <c:showVal val="1"/>
              <c:showCatName val="1"/>
              <c:separator>
</c:separator>
            </c:dLbl>
            <c:spPr>
              <a:noFill/>
              <a:ln w="25400">
                <a:noFill/>
              </a:ln>
            </c:spPr>
            <c:showVal val="1"/>
            <c:showCatName val="1"/>
            <c:separator>
</c:separator>
          </c:dLbls>
          <c:cat>
            <c:strRef>
              <c:f>'actifs actions'!$A$37:$A$46</c:f>
              <c:strCache>
                <c:ptCount val="10"/>
                <c:pt idx="0">
                  <c:v>Industrie</c:v>
                </c:pt>
                <c:pt idx="1">
                  <c:v>Energie</c:v>
                </c:pt>
                <c:pt idx="2">
                  <c:v>Industrie de base</c:v>
                </c:pt>
                <c:pt idx="3">
                  <c:v>Services aux collectivités</c:v>
                </c:pt>
                <c:pt idx="4">
                  <c:v>Santé</c:v>
                </c:pt>
                <c:pt idx="5">
                  <c:v>Services aux consommateurs</c:v>
                </c:pt>
                <c:pt idx="6">
                  <c:v>Technologie</c:v>
                </c:pt>
                <c:pt idx="7">
                  <c:v>Télécom</c:v>
                </c:pt>
                <c:pt idx="8">
                  <c:v>Biens de consommation</c:v>
                </c:pt>
                <c:pt idx="9">
                  <c:v>Sociétés financières</c:v>
                </c:pt>
              </c:strCache>
            </c:strRef>
          </c:cat>
          <c:val>
            <c:numRef>
              <c:f>'actifs actions'!$C$37:$C$46</c:f>
              <c:numCache>
                <c:formatCode>0%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</c:ser>
        <c:firstSliceAng val="20"/>
        <c:holeSize val="50"/>
      </c:doughnutChart>
      <c:spPr>
        <a:noFill/>
        <a:ln w="25400">
          <a:noFill/>
        </a:ln>
      </c:spPr>
    </c:plotArea>
    <c:plotVisOnly val="1"/>
    <c:dispBlanksAs val="zero"/>
  </c:chart>
  <c:printSettings>
    <c:headerFooter/>
    <c:pageMargins b="0.98425196899999956" l="0.78740157499999996" r="0.78740157499999996" t="0.98425196899999956" header="0.492125984500002" footer="0.49212598450000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15</xdr:row>
      <xdr:rowOff>19050</xdr:rowOff>
    </xdr:from>
    <xdr:to>
      <xdr:col>14</xdr:col>
      <xdr:colOff>352425</xdr:colOff>
      <xdr:row>31</xdr:row>
      <xdr:rowOff>114300</xdr:rowOff>
    </xdr:to>
    <xdr:graphicFrame macro="">
      <xdr:nvGraphicFramePr>
        <xdr:cNvPr id="127180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</xdr:colOff>
      <xdr:row>34</xdr:row>
      <xdr:rowOff>28575</xdr:rowOff>
    </xdr:from>
    <xdr:to>
      <xdr:col>14</xdr:col>
      <xdr:colOff>371475</xdr:colOff>
      <xdr:row>51</xdr:row>
      <xdr:rowOff>28575</xdr:rowOff>
    </xdr:to>
    <xdr:graphicFrame macro="">
      <xdr:nvGraphicFramePr>
        <xdr:cNvPr id="127181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55</xdr:row>
      <xdr:rowOff>0</xdr:rowOff>
    </xdr:from>
    <xdr:to>
      <xdr:col>14</xdr:col>
      <xdr:colOff>352425</xdr:colOff>
      <xdr:row>73</xdr:row>
      <xdr:rowOff>142875</xdr:rowOff>
    </xdr:to>
    <xdr:graphicFrame macro="">
      <xdr:nvGraphicFramePr>
        <xdr:cNvPr id="127181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78</xdr:row>
      <xdr:rowOff>0</xdr:rowOff>
    </xdr:from>
    <xdr:to>
      <xdr:col>14</xdr:col>
      <xdr:colOff>361950</xdr:colOff>
      <xdr:row>96</xdr:row>
      <xdr:rowOff>0</xdr:rowOff>
    </xdr:to>
    <xdr:graphicFrame macro="">
      <xdr:nvGraphicFramePr>
        <xdr:cNvPr id="127181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98</xdr:row>
      <xdr:rowOff>9525</xdr:rowOff>
    </xdr:from>
    <xdr:to>
      <xdr:col>14</xdr:col>
      <xdr:colOff>361950</xdr:colOff>
      <xdr:row>121</xdr:row>
      <xdr:rowOff>95250</xdr:rowOff>
    </xdr:to>
    <xdr:graphicFrame macro="">
      <xdr:nvGraphicFramePr>
        <xdr:cNvPr id="1271813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14</xdr:row>
      <xdr:rowOff>19050</xdr:rowOff>
    </xdr:from>
    <xdr:to>
      <xdr:col>10</xdr:col>
      <xdr:colOff>247650</xdr:colOff>
      <xdr:row>30</xdr:row>
      <xdr:rowOff>104775</xdr:rowOff>
    </xdr:to>
    <xdr:graphicFrame macro="">
      <xdr:nvGraphicFramePr>
        <xdr:cNvPr id="127385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742950</xdr:colOff>
      <xdr:row>35</xdr:row>
      <xdr:rowOff>9525</xdr:rowOff>
    </xdr:from>
    <xdr:to>
      <xdr:col>13</xdr:col>
      <xdr:colOff>352425</xdr:colOff>
      <xdr:row>60</xdr:row>
      <xdr:rowOff>38100</xdr:rowOff>
    </xdr:to>
    <xdr:graphicFrame macro="">
      <xdr:nvGraphicFramePr>
        <xdr:cNvPr id="127385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0.31058</cdr:x>
      <cdr:y>0.02338</cdr:y>
    </cdr:from>
    <cdr:to>
      <cdr:x>0.45407</cdr:x>
      <cdr:y>0.10713</cdr:y>
    </cdr:to>
    <cdr:sp macro="" textlink="">
      <cdr:nvSpPr>
        <cdr:cNvPr id="127488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434898" y="98692"/>
          <a:ext cx="1123407" cy="3422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1">
            <a:defRPr sz="1000"/>
          </a:pPr>
          <a:r>
            <a:rPr lang="fr-FR" sz="1000" b="0" i="0" strike="noStrike">
              <a:solidFill>
                <a:srgbClr val="000000"/>
              </a:solidFill>
              <a:latin typeface="Calibri"/>
            </a:rPr>
            <a:t>Sociétés financières</a:t>
          </a:r>
        </a:p>
        <a:p xmlns:a="http://schemas.openxmlformats.org/drawingml/2006/main">
          <a:pPr algn="ctr" rtl="1">
            <a:defRPr sz="1000"/>
          </a:pPr>
          <a:r>
            <a:rPr lang="fr-FR" sz="1000" b="0" i="0" strike="noStrike">
              <a:solidFill>
                <a:srgbClr val="000000"/>
              </a:solidFill>
              <a:latin typeface="Calibri"/>
            </a:rPr>
            <a:t>18%</a:t>
          </a:r>
        </a:p>
      </cdr:txBody>
    </cdr:sp>
  </cdr:relSizeAnchor>
</c:userShape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opLeftCell="A100" workbookViewId="0">
      <selection activeCell="C18" sqref="C18"/>
    </sheetView>
  </sheetViews>
  <sheetFormatPr baseColWidth="10" defaultRowHeight="12.75"/>
  <cols>
    <col min="1" max="1" width="33.28515625" customWidth="1"/>
    <col min="2" max="2" width="16" customWidth="1"/>
    <col min="3" max="6" width="15.5703125" customWidth="1"/>
    <col min="7" max="7" width="16.28515625" customWidth="1"/>
  </cols>
  <sheetData>
    <row r="1" spans="1:6" ht="20.25">
      <c r="A1" s="11" t="s">
        <v>53</v>
      </c>
      <c r="B1" s="12"/>
      <c r="C1" s="13">
        <v>41121</v>
      </c>
    </row>
    <row r="3" spans="1:6">
      <c r="A3" s="6"/>
    </row>
    <row r="4" spans="1:6" ht="13.5" thickBot="1"/>
    <row r="5" spans="1:6" ht="15.75" customHeight="1">
      <c r="A5" s="47" t="s">
        <v>55</v>
      </c>
      <c r="B5" s="48">
        <v>40178</v>
      </c>
      <c r="C5" s="48">
        <v>40543</v>
      </c>
      <c r="D5" s="48">
        <v>40908</v>
      </c>
      <c r="E5" s="48">
        <v>40999</v>
      </c>
      <c r="F5" s="67">
        <v>41121</v>
      </c>
    </row>
    <row r="6" spans="1:6" ht="15.75" customHeight="1">
      <c r="A6" s="49" t="s">
        <v>104</v>
      </c>
      <c r="B6" s="2">
        <v>3728.5</v>
      </c>
      <c r="C6" s="51">
        <v>4046</v>
      </c>
      <c r="D6" s="2">
        <v>4005.2</v>
      </c>
      <c r="E6" s="2">
        <v>4290.1000000000004</v>
      </c>
      <c r="F6" s="52"/>
    </row>
    <row r="7" spans="1:6" ht="15.75" customHeight="1">
      <c r="A7" s="49" t="s">
        <v>101</v>
      </c>
      <c r="B7" s="2">
        <v>101.6</v>
      </c>
      <c r="C7" s="2">
        <v>61.1</v>
      </c>
      <c r="D7" s="51">
        <v>0</v>
      </c>
      <c r="E7" s="51">
        <v>0</v>
      </c>
      <c r="F7" s="52"/>
    </row>
    <row r="8" spans="1:6" ht="15.75" customHeight="1">
      <c r="A8" s="49" t="s">
        <v>102</v>
      </c>
      <c r="B8" s="2">
        <v>314.2</v>
      </c>
      <c r="C8" s="2">
        <v>133.80000000000001</v>
      </c>
      <c r="D8" s="2">
        <v>241.8</v>
      </c>
      <c r="E8" s="2">
        <v>273.8</v>
      </c>
      <c r="F8" s="52"/>
    </row>
    <row r="9" spans="1:6" ht="15.75" customHeight="1">
      <c r="A9" s="50" t="s">
        <v>103</v>
      </c>
      <c r="B9" s="53">
        <f>SUM(B6:B8)</f>
        <v>4144.3</v>
      </c>
      <c r="C9" s="53">
        <f>SUM(C6:C8)</f>
        <v>4240.9000000000005</v>
      </c>
      <c r="D9" s="53">
        <f>SUM(D6:D8)</f>
        <v>4247</v>
      </c>
      <c r="E9" s="53">
        <f>SUM(E6:E8)</f>
        <v>4563.9000000000005</v>
      </c>
      <c r="F9" s="54">
        <f>SUM(F6:F8)</f>
        <v>0</v>
      </c>
    </row>
    <row r="10" spans="1:6" ht="15.75" customHeight="1">
      <c r="A10" s="55" t="s">
        <v>26</v>
      </c>
      <c r="B10" s="2">
        <v>6.9</v>
      </c>
      <c r="C10" s="2">
        <v>7.2</v>
      </c>
      <c r="D10" s="58">
        <v>7.76</v>
      </c>
      <c r="E10" s="58">
        <v>7.93</v>
      </c>
      <c r="F10" s="63"/>
    </row>
    <row r="11" spans="1:6" ht="15.75" customHeight="1">
      <c r="A11" s="57" t="s">
        <v>27</v>
      </c>
      <c r="B11" s="10">
        <v>4.5499999999999999E-2</v>
      </c>
      <c r="C11" s="10">
        <v>4.5600000000000002E-2</v>
      </c>
      <c r="D11" s="60">
        <v>4.6199999999999998E-2</v>
      </c>
      <c r="E11" s="60">
        <v>4.6199999999999998E-2</v>
      </c>
      <c r="F11" s="64"/>
    </row>
    <row r="12" spans="1:6" ht="15.75" customHeight="1">
      <c r="A12" s="55" t="s">
        <v>28</v>
      </c>
      <c r="B12" s="10" t="s">
        <v>3</v>
      </c>
      <c r="C12" s="10" t="s">
        <v>29</v>
      </c>
      <c r="D12" s="59" t="s">
        <v>29</v>
      </c>
      <c r="E12" s="59" t="s">
        <v>29</v>
      </c>
      <c r="F12" s="65"/>
    </row>
    <row r="13" spans="1:6" ht="15.75" customHeight="1" thickBot="1">
      <c r="A13" s="56" t="s">
        <v>56</v>
      </c>
      <c r="B13" s="61">
        <v>0.11600000000000001</v>
      </c>
      <c r="C13" s="61">
        <v>4.0800000000000003E-2</v>
      </c>
      <c r="D13" s="62">
        <v>8.9999999999999998E-4</v>
      </c>
      <c r="E13" s="62">
        <v>6.0600000000000001E-2</v>
      </c>
      <c r="F13" s="66"/>
    </row>
    <row r="16" spans="1:6" ht="16.5" customHeight="1">
      <c r="A16" s="132" t="s">
        <v>30</v>
      </c>
      <c r="B16" s="132"/>
    </row>
    <row r="18" spans="1:3">
      <c r="B18" s="16">
        <v>40908</v>
      </c>
      <c r="C18" t="e">
        <f>VLOOKUP("date",Feuil1!A:B,2,0)</f>
        <v>#N/A</v>
      </c>
    </row>
    <row r="19" spans="1:3">
      <c r="A19" s="1" t="s">
        <v>151</v>
      </c>
      <c r="B19" s="7">
        <v>0.45600000000000002</v>
      </c>
      <c r="C19" s="8" t="e">
        <f>VLOOKUP("Souverain",Feuil1!A:C,3,0)</f>
        <v>#N/A</v>
      </c>
    </row>
    <row r="20" spans="1:3">
      <c r="A20" s="1" t="s">
        <v>1</v>
      </c>
      <c r="B20" s="7">
        <v>0.41</v>
      </c>
      <c r="C20" s="8" t="e">
        <f>VLOOKUP("crédit prive",Feuil1!A:C,3,0)</f>
        <v>#N/A</v>
      </c>
    </row>
    <row r="21" spans="1:3">
      <c r="A21" s="1" t="s">
        <v>152</v>
      </c>
      <c r="B21" s="7">
        <v>7.3999999999999996E-2</v>
      </c>
      <c r="C21" s="8" t="e">
        <f>VLOOKUP("crédit AGENCIES NG",Feuil1!A:C,3,0)</f>
        <v>#N/A</v>
      </c>
    </row>
    <row r="22" spans="1:3">
      <c r="A22" s="1" t="s">
        <v>6</v>
      </c>
      <c r="B22" s="7">
        <v>0.06</v>
      </c>
      <c r="C22" s="8" t="e">
        <f>VLOOKUP("Monétaire",Feuil1!A:C,3,0)</f>
        <v>#N/A</v>
      </c>
    </row>
    <row r="23" spans="1:3">
      <c r="B23" s="9">
        <f>SUM(B19:B22)</f>
        <v>1</v>
      </c>
      <c r="C23" s="9" t="e">
        <f>SUM(C19:C22)</f>
        <v>#N/A</v>
      </c>
    </row>
    <row r="35" spans="1:3">
      <c r="A35" s="132" t="s">
        <v>31</v>
      </c>
      <c r="B35" s="132"/>
    </row>
    <row r="36" spans="1:3">
      <c r="B36" s="16">
        <v>40908</v>
      </c>
      <c r="C36" s="123" t="e">
        <f>VLOOKUP("date",Feuil1!A:B,2,0)</f>
        <v>#N/A</v>
      </c>
    </row>
    <row r="37" spans="1:3">
      <c r="A37" s="1" t="s">
        <v>17</v>
      </c>
      <c r="B37" s="7">
        <v>0.84</v>
      </c>
      <c r="C37" s="84" t="e">
        <f>VLOOKUP("Fixe",Feuil1!A:C,3,0)</f>
        <v>#N/A</v>
      </c>
    </row>
    <row r="38" spans="1:3">
      <c r="A38" s="1" t="s">
        <v>0</v>
      </c>
      <c r="B38" s="7">
        <v>0.08</v>
      </c>
      <c r="C38" s="84" t="e">
        <f>VLOOKUP("Indexé",Feuil1!A:C,3,0)</f>
        <v>#N/A</v>
      </c>
    </row>
    <row r="39" spans="1:3">
      <c r="A39" s="1" t="s">
        <v>6</v>
      </c>
      <c r="B39" s="7">
        <v>0.06</v>
      </c>
      <c r="C39" s="84" t="e">
        <f>VLOOKUP("Monétaire",Feuil1!A:C,3,0)</f>
        <v>#N/A</v>
      </c>
    </row>
    <row r="40" spans="1:3">
      <c r="A40" s="1" t="s">
        <v>18</v>
      </c>
      <c r="B40" s="7">
        <v>0.02</v>
      </c>
      <c r="C40" s="84" t="e">
        <f>VLOOKUP("Variable",Feuil1!A:C,3,0)</f>
        <v>#N/A</v>
      </c>
    </row>
    <row r="41" spans="1:3">
      <c r="B41" s="9">
        <f>SUM(B37:B40)</f>
        <v>1</v>
      </c>
      <c r="C41" s="84" t="e">
        <f>SUM(C37:C40)</f>
        <v>#N/A</v>
      </c>
    </row>
    <row r="54" spans="1:3">
      <c r="A54" s="6" t="s">
        <v>32</v>
      </c>
    </row>
    <row r="55" spans="1:3">
      <c r="A55" t="s">
        <v>150</v>
      </c>
    </row>
    <row r="56" spans="1:3">
      <c r="B56" s="16">
        <v>40908</v>
      </c>
      <c r="C56" t="e">
        <f>VLOOKUP("date",Feuil1!A:B,2,0)</f>
        <v>#N/A</v>
      </c>
    </row>
    <row r="57" spans="1:3">
      <c r="A57" t="s">
        <v>2</v>
      </c>
      <c r="B57" s="9">
        <v>0.08</v>
      </c>
      <c r="C57" s="84" t="e">
        <f>VLOOKUP("AAA",Feuil1!A:C,3,0)</f>
        <v>#N/A</v>
      </c>
    </row>
    <row r="58" spans="1:3">
      <c r="A58" t="s">
        <v>3</v>
      </c>
      <c r="B58" s="9">
        <v>0.05</v>
      </c>
      <c r="C58" s="84" t="e">
        <f>VLOOKUP("AA",Feuil1!A:C,3,0)</f>
        <v>#N/A</v>
      </c>
    </row>
    <row r="59" spans="1:3">
      <c r="A59" t="s">
        <v>4</v>
      </c>
      <c r="B59" s="9">
        <v>0.16</v>
      </c>
      <c r="C59" s="84" t="e">
        <f>VLOOKUP("A",Feuil1!A:C,3,0)</f>
        <v>#N/A</v>
      </c>
    </row>
    <row r="60" spans="1:3">
      <c r="A60" t="s">
        <v>25</v>
      </c>
      <c r="B60" s="9">
        <v>0.12</v>
      </c>
      <c r="C60" s="84" t="e">
        <f>VLOOKUP("BBB",Feuil1!A:C,3,0)+VLOOKUP("BB",Feuil1!A:C,3,0)+VLOOKUP("B",Feuil1!A:C,3,0)+VLOOKUP("CCC",Feuil1!A:C,3,0)+VLOOKUP("CD",Feuil1!A:C,3,0)</f>
        <v>#N/A</v>
      </c>
    </row>
    <row r="61" spans="1:3">
      <c r="A61" t="s">
        <v>5</v>
      </c>
      <c r="B61" s="9">
        <v>0</v>
      </c>
      <c r="C61" s="84">
        <f>IF(ISNA(VLOOKUP("NR",Feuil1!A:C,3,0)),0,VLOOKUP("NR",Feuil1!A:C,3,0))</f>
        <v>0</v>
      </c>
    </row>
    <row r="62" spans="1:3">
      <c r="B62" s="9">
        <f>SUM(B57:B61)</f>
        <v>0.41000000000000003</v>
      </c>
      <c r="C62" s="84" t="e">
        <f>SUM(C57:C61)</f>
        <v>#N/A</v>
      </c>
    </row>
    <row r="76" spans="1:3">
      <c r="A76" s="6" t="s">
        <v>33</v>
      </c>
    </row>
    <row r="77" spans="1:3">
      <c r="A77" t="s">
        <v>150</v>
      </c>
    </row>
    <row r="78" spans="1:3">
      <c r="B78" s="16">
        <v>40908</v>
      </c>
      <c r="C78" t="e">
        <f>VLOOKUP("date",Feuil1!A:B,2,0)</f>
        <v>#N/A</v>
      </c>
    </row>
    <row r="79" spans="1:3">
      <c r="A79" s="5" t="s">
        <v>20</v>
      </c>
      <c r="B79" s="7">
        <v>0.13</v>
      </c>
      <c r="C79" s="84" t="e">
        <f>VLOOKUP("CORPORATES FINANCIERES BANQUES",Feuil1!A:C,3,0)</f>
        <v>#N/A</v>
      </c>
    </row>
    <row r="80" spans="1:3">
      <c r="A80" s="1" t="s">
        <v>22</v>
      </c>
      <c r="B80" s="7">
        <v>0.12</v>
      </c>
      <c r="C80" s="84" t="e">
        <f>VLOOKUP("CORPORATES NON FINANCIERES",Feuil1!A:C,3,0)</f>
        <v>#N/A</v>
      </c>
    </row>
    <row r="81" spans="1:3">
      <c r="A81" s="1" t="s">
        <v>149</v>
      </c>
      <c r="B81" s="7"/>
      <c r="C81" s="84">
        <f>IF(ISNA(VLOOKUP("AGENCIES",Feuil1!A:C,3,0)),0,VLOOKUP("AGENCIES",Feuil1!A:C,3,0))</f>
        <v>0</v>
      </c>
    </row>
    <row r="82" spans="1:3">
      <c r="A82" s="1" t="s">
        <v>23</v>
      </c>
      <c r="B82" s="7">
        <v>0.1</v>
      </c>
      <c r="C82" s="84" t="e">
        <f>VLOOKUP("EMPRUNTS FONCIERS ET HYPOTHECAIRES",Feuil1!A:C,3,0)</f>
        <v>#N/A</v>
      </c>
    </row>
    <row r="83" spans="1:3">
      <c r="A83" s="1" t="s">
        <v>19</v>
      </c>
      <c r="B83" s="7">
        <v>0.04</v>
      </c>
      <c r="C83" s="84" t="e">
        <f>VLOOKUP("CORPORATES FINANCIERES ASSURANCES",Feuil1!A:C,3,0)</f>
        <v>#N/A</v>
      </c>
    </row>
    <row r="84" spans="1:3">
      <c r="A84" s="1" t="s">
        <v>21</v>
      </c>
      <c r="B84" s="7">
        <v>0.02</v>
      </c>
      <c r="C84" s="84" t="e">
        <f>VLOOKUP("CORPORATES FINANCIERES SERVICES FINANCIERS",Feuil1!A:C,3,0)</f>
        <v>#N/A</v>
      </c>
    </row>
    <row r="85" spans="1:3">
      <c r="B85" s="9">
        <f>SUM(B79:B84)</f>
        <v>0.41</v>
      </c>
      <c r="C85" s="84" t="e">
        <f>SUM(C79:C84)</f>
        <v>#N/A</v>
      </c>
    </row>
    <row r="99" spans="1:3">
      <c r="A99" s="6" t="s">
        <v>34</v>
      </c>
    </row>
    <row r="100" spans="1:3">
      <c r="A100" s="6"/>
    </row>
    <row r="101" spans="1:3">
      <c r="B101" s="16">
        <v>40908</v>
      </c>
      <c r="C101" t="e">
        <f>VLOOKUP("date",Feuil1!A:B,2,0)</f>
        <v>#N/A</v>
      </c>
    </row>
    <row r="102" spans="1:3">
      <c r="A102" s="3" t="s">
        <v>11</v>
      </c>
      <c r="B102" s="15">
        <v>0.25</v>
      </c>
      <c r="C102" s="15">
        <f>IF(ISNA(VLOOKUP(A102,Feuil1!A:C,3,0)),0,VLOOKUP(A102,Feuil1!A:C,3,0))</f>
        <v>0</v>
      </c>
    </row>
    <row r="103" spans="1:3">
      <c r="A103" s="3" t="s">
        <v>14</v>
      </c>
      <c r="B103" s="15">
        <v>0.06</v>
      </c>
      <c r="C103" s="15">
        <f>IF(ISNA(VLOOKUP(A103,Feuil1!A:C,3,0)),0,VLOOKUP(A103,Feuil1!A:C,3,0))</f>
        <v>0</v>
      </c>
    </row>
    <row r="104" spans="1:3">
      <c r="A104" s="3" t="s">
        <v>9</v>
      </c>
      <c r="B104" s="15">
        <v>0.06</v>
      </c>
      <c r="C104" s="15">
        <f>IF(ISNA(VLOOKUP(A104,Feuil1!A:C,3,0)),0,VLOOKUP(A104,Feuil1!A:C,3,0))</f>
        <v>0</v>
      </c>
    </row>
    <row r="105" spans="1:3">
      <c r="A105" s="3" t="s">
        <v>12</v>
      </c>
      <c r="B105" s="15">
        <v>0.01</v>
      </c>
      <c r="C105" s="15">
        <f>IF(ISNA(VLOOKUP(A105,Feuil1!A:C,3,0)),0,VLOOKUP(A105,Feuil1!A:C,3,0))</f>
        <v>0</v>
      </c>
    </row>
    <row r="106" spans="1:3">
      <c r="A106" s="3" t="s">
        <v>8</v>
      </c>
      <c r="B106" s="15">
        <v>0.03</v>
      </c>
      <c r="C106" s="15">
        <f>IF(ISNA(VLOOKUP(A106,Feuil1!A:C,3,0)),0,VLOOKUP(A106,Feuil1!A:C,3,0))</f>
        <v>0</v>
      </c>
    </row>
    <row r="107" spans="1:3">
      <c r="A107" s="14" t="s">
        <v>24</v>
      </c>
      <c r="B107" s="15">
        <v>8.9999999999999993E-3</v>
      </c>
      <c r="C107" s="15">
        <f>IF(ISNA(VLOOKUP(A107,Feuil1!A:C,3,0)),0,VLOOKUP(A107,Feuil1!A:C,3,0))</f>
        <v>0</v>
      </c>
    </row>
    <row r="108" spans="1:3">
      <c r="A108" s="3" t="s">
        <v>13</v>
      </c>
      <c r="B108" s="15">
        <v>5.0000000000000001E-3</v>
      </c>
      <c r="C108" s="15">
        <f>IF(ISNA(VLOOKUP(A108,Feuil1!A:C,3,0)),0,VLOOKUP(A108,Feuil1!A:C,3,0))</f>
        <v>0</v>
      </c>
    </row>
    <row r="109" spans="1:3">
      <c r="A109" s="3" t="s">
        <v>15</v>
      </c>
      <c r="B109" s="15">
        <v>2E-3</v>
      </c>
      <c r="C109" s="15">
        <f>IF(ISNA(VLOOKUP("Pays-Bas",Feuil1!A:C,3,0)),0,VLOOKUP("Pays-Bas",Feuil1!A:C,3,0))</f>
        <v>0</v>
      </c>
    </row>
    <row r="110" spans="1:3">
      <c r="A110" s="3" t="s">
        <v>16</v>
      </c>
      <c r="B110" s="15">
        <v>5.0000000000000001E-3</v>
      </c>
      <c r="C110" s="15">
        <f>IF(ISNA(VLOOKUP(A110,Feuil1!A:C,3,0)),0,VLOOKUP(A110,Feuil1!A:C,3,0))</f>
        <v>0</v>
      </c>
    </row>
    <row r="111" spans="1:3">
      <c r="A111" s="3" t="s">
        <v>7</v>
      </c>
      <c r="B111" s="15">
        <v>0.02</v>
      </c>
      <c r="C111" s="15">
        <f>IF(ISNA(VLOOKUP(A111,Feuil1!A:C,3,0)),0,VLOOKUP(A111,Feuil1!A:C,3,0))</f>
        <v>0</v>
      </c>
    </row>
    <row r="112" spans="1:3">
      <c r="A112" s="3" t="s">
        <v>145</v>
      </c>
      <c r="B112" s="15"/>
      <c r="C112" s="15">
        <f>IF(ISNA(VLOOKUP(A112,Feuil1!A:C,3,0)),0,VLOOKUP(A112,Feuil1!A:C,3,0))</f>
        <v>0</v>
      </c>
    </row>
    <row r="113" spans="1:3">
      <c r="A113" s="3" t="s">
        <v>146</v>
      </c>
      <c r="B113" s="15"/>
      <c r="C113" s="15">
        <f>IF(ISNA(VLOOKUP(A113,Feuil1!A:C,3,0)),0,VLOOKUP(A113,Feuil1!A:C,3,0))</f>
        <v>0</v>
      </c>
    </row>
    <row r="114" spans="1:3">
      <c r="A114" s="3" t="s">
        <v>10</v>
      </c>
      <c r="B114" s="15">
        <v>5.0000000000000001E-3</v>
      </c>
      <c r="C114" s="15">
        <f>IF(ISNA(VLOOKUP(A114,Feuil1!A:C,3,0)),0,VLOOKUP(A114,Feuil1!A:C,3,0))</f>
        <v>0</v>
      </c>
    </row>
    <row r="115" spans="1:3">
      <c r="A115" s="3" t="s">
        <v>148</v>
      </c>
      <c r="B115" s="15"/>
      <c r="C115" s="15">
        <f>IF(ISNA(VLOOKUP(A115,Feuil1!A:C,3,0)),0,VLOOKUP(A115,Feuil1!A:C,3,0))</f>
        <v>0</v>
      </c>
    </row>
    <row r="116" spans="1:3">
      <c r="A116" s="3" t="s">
        <v>147</v>
      </c>
      <c r="B116" s="15"/>
      <c r="C116" s="15">
        <f>IF(ISNA(VLOOKUP(A116,Feuil1!A:C,3,0)),0,VLOOKUP(A116,Feuil1!A:C,3,0))</f>
        <v>0</v>
      </c>
    </row>
    <row r="117" spans="1:3">
      <c r="A117" s="14"/>
      <c r="B117" s="4">
        <f>SUM(B102:B114)</f>
        <v>0.45600000000000007</v>
      </c>
      <c r="C117" s="15">
        <f>SUM(C102:C116)</f>
        <v>0</v>
      </c>
    </row>
    <row r="129" spans="1:7">
      <c r="A129" s="6" t="s">
        <v>139</v>
      </c>
    </row>
    <row r="131" spans="1:7">
      <c r="A131" s="68" t="s">
        <v>105</v>
      </c>
      <c r="B131" s="82">
        <v>40908</v>
      </c>
      <c r="E131" s="133" t="s">
        <v>105</v>
      </c>
      <c r="F131" s="133"/>
      <c r="G131" s="121" t="e">
        <f>VLOOKUP("date",Feuil1!A:B,2,0)</f>
        <v>#N/A</v>
      </c>
    </row>
    <row r="132" spans="1:7">
      <c r="A132" s="68" t="s">
        <v>106</v>
      </c>
      <c r="B132" s="69" t="s">
        <v>103</v>
      </c>
      <c r="E132" s="133" t="s">
        <v>106</v>
      </c>
      <c r="F132" s="133"/>
      <c r="G132" s="94" t="s">
        <v>103</v>
      </c>
    </row>
    <row r="133" spans="1:7">
      <c r="A133" s="73" t="s">
        <v>109</v>
      </c>
      <c r="B133" s="74">
        <v>0.24926304527162507</v>
      </c>
      <c r="E133" s="134" t="e">
        <f ca="1">INDIRECT("Feuil1!A"&amp;MATCH("emetteur",Feuil1!A:A,0)+1)</f>
        <v>#N/A</v>
      </c>
      <c r="F133" s="134"/>
      <c r="G133" s="74" t="e">
        <f ca="1">INDIRECT("Feuil1!C"&amp;MATCH("emetteur",Feuil1!A:A,0)+1)</f>
        <v>#N/A</v>
      </c>
    </row>
    <row r="134" spans="1:7">
      <c r="A134" s="73" t="s">
        <v>111</v>
      </c>
      <c r="B134" s="74">
        <v>6.2169023492811337E-2</v>
      </c>
      <c r="E134" s="134" t="e">
        <f ca="1">INDIRECT("Feuil1!A"&amp;MATCH("emetteur",Feuil1!A:A,0)+2)</f>
        <v>#N/A</v>
      </c>
      <c r="F134" s="134"/>
      <c r="G134" s="74" t="e">
        <f ca="1">INDIRECT("Feuil1!C"&amp;MATCH("emetteur",Feuil1!A:A,0)+2)</f>
        <v>#N/A</v>
      </c>
    </row>
    <row r="135" spans="1:7">
      <c r="A135" s="73" t="s">
        <v>113</v>
      </c>
      <c r="B135" s="74">
        <v>5.9437551701387502E-2</v>
      </c>
      <c r="E135" s="134" t="e">
        <f ca="1">INDIRECT("Feuil1!A"&amp;MATCH("emetteur",Feuil1!A:A,0)+3)</f>
        <v>#N/A</v>
      </c>
      <c r="F135" s="134"/>
      <c r="G135" s="74" t="e">
        <f ca="1">INDIRECT("Feuil1!C"&amp;MATCH("emetteur",Feuil1!A:A,0)+3)</f>
        <v>#N/A</v>
      </c>
    </row>
    <row r="136" spans="1:7">
      <c r="A136" s="73" t="s">
        <v>115</v>
      </c>
      <c r="B136" s="74">
        <v>3.1013555673454308E-2</v>
      </c>
      <c r="E136" s="134" t="e">
        <f ca="1">INDIRECT("Feuil1!A"&amp;MATCH("emetteur",Feuil1!A:A,0)+4)</f>
        <v>#N/A</v>
      </c>
      <c r="F136" s="134"/>
      <c r="G136" s="74" t="e">
        <f ca="1">INDIRECT("Feuil1!C"&amp;MATCH("emetteur",Feuil1!A:A,0)+4)</f>
        <v>#N/A</v>
      </c>
    </row>
    <row r="137" spans="1:7">
      <c r="A137" s="73" t="s">
        <v>117</v>
      </c>
      <c r="B137" s="74">
        <v>2.8125811810010122E-2</v>
      </c>
      <c r="E137" s="134" t="e">
        <f ca="1">INDIRECT("Feuil1!A"&amp;MATCH("emetteur",Feuil1!A:A,0)+5)</f>
        <v>#N/A</v>
      </c>
      <c r="F137" s="134"/>
      <c r="G137" s="74" t="e">
        <f ca="1">INDIRECT("Feuil1!C"&amp;MATCH("emetteur",Feuil1!A:A,0)+5)</f>
        <v>#N/A</v>
      </c>
    </row>
    <row r="138" spans="1:7">
      <c r="A138" s="73" t="s">
        <v>119</v>
      </c>
      <c r="B138" s="74">
        <v>2.3561285657624033E-2</v>
      </c>
      <c r="E138" s="134" t="e">
        <f ca="1">INDIRECT("Feuil1!A"&amp;MATCH("emetteur",Feuil1!A:A,0)+6)</f>
        <v>#N/A</v>
      </c>
      <c r="F138" s="134"/>
      <c r="G138" s="74" t="e">
        <f ca="1">INDIRECT("Feuil1!C"&amp;MATCH("emetteur",Feuil1!A:A,0)+6)</f>
        <v>#N/A</v>
      </c>
    </row>
    <row r="139" spans="1:7">
      <c r="A139" s="73" t="s">
        <v>121</v>
      </c>
      <c r="B139" s="74">
        <v>2.2245149225785452E-2</v>
      </c>
      <c r="E139" s="134" t="e">
        <f ca="1">INDIRECT("Feuil1!A"&amp;MATCH("emetteur",Feuil1!A:A,0)+7)</f>
        <v>#N/A</v>
      </c>
      <c r="F139" s="134"/>
      <c r="G139" s="74" t="e">
        <f ca="1">INDIRECT("Feuil1!C"&amp;MATCH("emetteur",Feuil1!A:A,0)+7)</f>
        <v>#N/A</v>
      </c>
    </row>
    <row r="140" spans="1:7">
      <c r="A140" s="73" t="s">
        <v>123</v>
      </c>
      <c r="B140" s="74">
        <v>1.9383045655836813E-2</v>
      </c>
      <c r="E140" s="134" t="e">
        <f ca="1">INDIRECT("Feuil1!A"&amp;MATCH("emetteur",Feuil1!A:A,0)+8)</f>
        <v>#N/A</v>
      </c>
      <c r="F140" s="134"/>
      <c r="G140" s="74" t="e">
        <f ca="1">INDIRECT("Feuil1!C"&amp;MATCH("emetteur",Feuil1!A:A,0)+8)</f>
        <v>#N/A</v>
      </c>
    </row>
    <row r="141" spans="1:7">
      <c r="A141" s="73" t="s">
        <v>125</v>
      </c>
      <c r="B141" s="74">
        <v>1.6635242187541831E-2</v>
      </c>
      <c r="E141" s="134" t="e">
        <f ca="1">INDIRECT("Feuil1!A"&amp;MATCH("emetteur",Feuil1!A:A,0)+9)</f>
        <v>#N/A</v>
      </c>
      <c r="F141" s="134"/>
      <c r="G141" s="74" t="e">
        <f ca="1">INDIRECT("Feuil1!C"&amp;MATCH("emetteur",Feuil1!A:A,0)+9)</f>
        <v>#N/A</v>
      </c>
    </row>
    <row r="142" spans="1:7">
      <c r="A142" s="73" t="s">
        <v>127</v>
      </c>
      <c r="B142" s="74">
        <v>1.6308397253155419E-2</v>
      </c>
      <c r="E142" s="134" t="e">
        <f ca="1">INDIRECT("Feuil1!A"&amp;MATCH("emetteur",Feuil1!A:A,0)+10)</f>
        <v>#N/A</v>
      </c>
      <c r="F142" s="134"/>
      <c r="G142" s="74" t="e">
        <f ca="1">INDIRECT("Feuil1!C"&amp;MATCH("emetteur",Feuil1!A:A,0)+10)</f>
        <v>#N/A</v>
      </c>
    </row>
    <row r="143" spans="1:7">
      <c r="A143" s="73" t="s">
        <v>129</v>
      </c>
      <c r="B143" s="74">
        <v>1.4879522226953136E-2</v>
      </c>
      <c r="E143" s="134" t="e">
        <f ca="1">INDIRECT("Feuil1!A"&amp;MATCH("emetteur",Feuil1!A:A,0)+11)</f>
        <v>#N/A</v>
      </c>
      <c r="F143" s="134"/>
      <c r="G143" s="74" t="e">
        <f ca="1">INDIRECT("Feuil1!C"&amp;MATCH("emetteur",Feuil1!A:A,0)+11)</f>
        <v>#N/A</v>
      </c>
    </row>
    <row r="144" spans="1:7">
      <c r="A144" s="73" t="s">
        <v>131</v>
      </c>
      <c r="B144" s="74">
        <v>1.4561893418353107E-2</v>
      </c>
      <c r="E144" s="134" t="e">
        <f ca="1">INDIRECT("Feuil1!A"&amp;MATCH("emetteur",Feuil1!A:A,0)+12)</f>
        <v>#N/A</v>
      </c>
      <c r="F144" s="134"/>
      <c r="G144" s="74" t="e">
        <f ca="1">INDIRECT("Feuil1!C"&amp;MATCH("emetteur",Feuil1!A:A,0)+12)</f>
        <v>#N/A</v>
      </c>
    </row>
    <row r="145" spans="1:8">
      <c r="A145" s="73" t="s">
        <v>133</v>
      </c>
      <c r="B145" s="74">
        <v>1.3370164387217796E-2</v>
      </c>
      <c r="E145" s="134" t="e">
        <f ca="1">INDIRECT("Feuil1!A"&amp;MATCH("emetteur",Feuil1!A:A,0)+13)</f>
        <v>#N/A</v>
      </c>
      <c r="F145" s="134"/>
      <c r="G145" s="74" t="e">
        <f ca="1">INDIRECT("Feuil1!C"&amp;MATCH("emetteur",Feuil1!A:A,0)+13)</f>
        <v>#N/A</v>
      </c>
    </row>
    <row r="146" spans="1:8">
      <c r="A146" s="73" t="s">
        <v>135</v>
      </c>
      <c r="B146" s="74">
        <v>1.2807850223329718E-2</v>
      </c>
      <c r="E146" s="134" t="e">
        <f ca="1">INDIRECT("Feuil1!A"&amp;MATCH("emetteur",Feuil1!A:A,0)+14)</f>
        <v>#N/A</v>
      </c>
      <c r="F146" s="134"/>
      <c r="G146" s="74" t="e">
        <f ca="1">INDIRECT("Feuil1!C"&amp;MATCH("emetteur",Feuil1!A:A,0)+14)</f>
        <v>#N/A</v>
      </c>
    </row>
    <row r="147" spans="1:8">
      <c r="A147" s="73" t="s">
        <v>137</v>
      </c>
      <c r="B147" s="74">
        <v>1.2120354083550307E-2</v>
      </c>
      <c r="E147" s="134" t="e">
        <f ca="1">INDIRECT("Feuil1!A"&amp;MATCH("emetteur",Feuil1!A:A,0)+15)</f>
        <v>#N/A</v>
      </c>
      <c r="F147" s="134"/>
      <c r="G147" s="74" t="e">
        <f ca="1">INDIRECT("Feuil1!C"&amp;MATCH("emetteur",Feuil1!A:A,0)+15)</f>
        <v>#N/A</v>
      </c>
    </row>
    <row r="150" spans="1:8">
      <c r="A150" s="6" t="s">
        <v>140</v>
      </c>
    </row>
    <row r="152" spans="1:8">
      <c r="A152" s="70" t="s">
        <v>105</v>
      </c>
      <c r="B152" s="71"/>
      <c r="C152" s="122">
        <v>40908</v>
      </c>
      <c r="E152" s="131" t="s">
        <v>105</v>
      </c>
      <c r="F152" s="131"/>
      <c r="G152" s="131"/>
      <c r="H152" s="120" t="e">
        <f>VLOOKUP("date",Feuil1!A:B,2,0)</f>
        <v>#N/A</v>
      </c>
    </row>
    <row r="153" spans="1:8">
      <c r="A153" s="70" t="s">
        <v>107</v>
      </c>
      <c r="B153" s="70" t="s">
        <v>108</v>
      </c>
      <c r="C153" s="72" t="s">
        <v>103</v>
      </c>
      <c r="E153" s="105" t="s">
        <v>107</v>
      </c>
      <c r="F153" s="116" t="s">
        <v>108</v>
      </c>
      <c r="G153" s="116"/>
      <c r="H153" s="68" t="s">
        <v>103</v>
      </c>
    </row>
    <row r="154" spans="1:8">
      <c r="A154" s="75" t="s">
        <v>10</v>
      </c>
      <c r="B154" s="75" t="s">
        <v>110</v>
      </c>
      <c r="C154" s="76">
        <v>3.3203065725920765E-3</v>
      </c>
      <c r="D154" s="101">
        <v>0</v>
      </c>
      <c r="E154" s="95" t="s">
        <v>10</v>
      </c>
      <c r="F154" s="126" t="e">
        <f ca="1">IF(INDIRECT("Feuil1!A"&amp;MATCH("Esp",Feuil1!A:A,0)+D154)="Esp",INDIRECT("Feuil1!B"&amp;MATCH("Esp",Feuil1!A:A,0)+D154),"")</f>
        <v>#N/A</v>
      </c>
      <c r="G154" s="127"/>
      <c r="H154" s="100" t="e">
        <f ca="1">IF(INDIRECT("Feuil1!A"&amp;MATCH("Esp",Feuil1!A:A,0)+D154)="Esp",INDIRECT("Feuil1!D"&amp;MATCH("Esp",Feuil1!A:A,0)+D154),"")</f>
        <v>#N/A</v>
      </c>
    </row>
    <row r="155" spans="1:8">
      <c r="A155" s="77"/>
      <c r="B155" s="75" t="s">
        <v>112</v>
      </c>
      <c r="C155" s="76">
        <v>7.7856268911697627E-4</v>
      </c>
      <c r="D155" s="101">
        <v>1</v>
      </c>
      <c r="E155" s="96"/>
      <c r="F155" s="126" t="e">
        <f ca="1">IF(INDIRECT("Feuil1!A"&amp;MATCH("Esp",Feuil1!A:A,0)+D155)="Esp",INDIRECT("Feuil1!B"&amp;MATCH("Esp",Feuil1!A:A,0)+D155),"")</f>
        <v>#N/A</v>
      </c>
      <c r="G155" s="127"/>
      <c r="H155" s="100" t="e">
        <f ca="1">IF(INDIRECT("Feuil1!A"&amp;MATCH("Esp",Feuil1!A:A,0)+D155)="Esp",INDIRECT("Feuil1!D"&amp;MATCH("Esp",Feuil1!A:A,0)+D155),"")</f>
        <v>#N/A</v>
      </c>
    </row>
    <row r="156" spans="1:8">
      <c r="A156" s="77"/>
      <c r="B156" s="75" t="s">
        <v>114</v>
      </c>
      <c r="C156" s="76">
        <v>3.1093887301378237E-3</v>
      </c>
      <c r="D156" s="101">
        <v>2</v>
      </c>
      <c r="E156" s="96"/>
      <c r="F156" s="126" t="e">
        <f ca="1">IF(INDIRECT("Feuil1!A"&amp;MATCH("Esp",Feuil1!A:A,0)+D156)="Esp",INDIRECT("Feuil1!B"&amp;MATCH("Esp",Feuil1!A:A,0)+D156),"")</f>
        <v>#N/A</v>
      </c>
      <c r="G156" s="127"/>
      <c r="H156" s="100" t="e">
        <f ca="1">IF(INDIRECT("Feuil1!A"&amp;MATCH("Esp",Feuil1!A:A,0)+D156)="Esp",INDIRECT("Feuil1!D"&amp;MATCH("Esp",Feuil1!A:A,0)+D156),"")</f>
        <v>#N/A</v>
      </c>
    </row>
    <row r="157" spans="1:8">
      <c r="A157" s="77"/>
      <c r="B157" s="75" t="s">
        <v>116</v>
      </c>
      <c r="C157" s="76">
        <v>2.8850612869991809E-3</v>
      </c>
      <c r="D157" s="101">
        <v>3</v>
      </c>
      <c r="E157" s="96"/>
      <c r="F157" s="126" t="e">
        <f ca="1">IF(INDIRECT("Feuil1!A"&amp;MATCH("Esp",Feuil1!A:A,0)+D157)="Esp",INDIRECT("Feuil1!B"&amp;MATCH("Esp",Feuil1!A:A,0)+D157),"")</f>
        <v>#N/A</v>
      </c>
      <c r="G157" s="127"/>
      <c r="H157" s="100" t="e">
        <f ca="1">IF(INDIRECT("Feuil1!A"&amp;MATCH("Esp",Feuil1!A:A,0)+D157)="Esp",INDIRECT("Feuil1!D"&amp;MATCH("Esp",Feuil1!A:A,0)+D157),"")</f>
        <v>#N/A</v>
      </c>
    </row>
    <row r="158" spans="1:8">
      <c r="A158" s="77"/>
      <c r="B158" s="75" t="s">
        <v>118</v>
      </c>
      <c r="C158" s="76">
        <v>9.8089993948617844E-4</v>
      </c>
      <c r="D158" s="101">
        <v>4</v>
      </c>
      <c r="E158" s="96"/>
      <c r="F158" s="126" t="e">
        <f ca="1">IF(INDIRECT("Feuil1!A"&amp;MATCH("Esp",Feuil1!A:A,0)+D158)="Esp",INDIRECT("Feuil1!B"&amp;MATCH("Esp",Feuil1!A:A,0)+D158),"")</f>
        <v>#N/A</v>
      </c>
      <c r="G158" s="127"/>
      <c r="H158" s="100" t="e">
        <f ca="1">IF(INDIRECT("Feuil1!A"&amp;MATCH("Esp",Feuil1!A:A,0)+D158)="Esp",INDIRECT("Feuil1!D"&amp;MATCH("Esp",Feuil1!A:A,0)+D158),"")</f>
        <v>#N/A</v>
      </c>
    </row>
    <row r="159" spans="1:8">
      <c r="A159" s="77"/>
      <c r="B159" s="75" t="s">
        <v>120</v>
      </c>
      <c r="C159" s="76">
        <v>8.5025126882484498E-4</v>
      </c>
      <c r="D159" s="101">
        <v>5</v>
      </c>
      <c r="E159" s="96"/>
      <c r="F159" s="126" t="e">
        <f ca="1">IF(INDIRECT("Feuil1!A"&amp;MATCH("Esp",Feuil1!A:A,0)+D159)="Esp",INDIRECT("Feuil1!B"&amp;MATCH("Esp",Feuil1!A:A,0)+D159),"")</f>
        <v>#N/A</v>
      </c>
      <c r="G159" s="127"/>
      <c r="H159" s="100" t="e">
        <f ca="1">IF(INDIRECT("Feuil1!A"&amp;MATCH("Esp",Feuil1!A:A,0)+D159)="Esp",INDIRECT("Feuil1!D"&amp;MATCH("Esp",Feuil1!A:A,0)+D159),"")</f>
        <v>#N/A</v>
      </c>
    </row>
    <row r="160" spans="1:8">
      <c r="A160" s="77"/>
      <c r="B160" s="75" t="s">
        <v>122</v>
      </c>
      <c r="C160" s="76">
        <v>7.2326365233785278E-3</v>
      </c>
      <c r="D160" s="101">
        <v>6</v>
      </c>
      <c r="E160" s="96"/>
      <c r="F160" s="126" t="e">
        <f ca="1">IF(INDIRECT("Feuil1!A"&amp;MATCH("Esp",Feuil1!A:A,0)+D160)="Esp",INDIRECT("Feuil1!B"&amp;MATCH("Esp",Feuil1!A:A,0)+D160),"")</f>
        <v>#N/A</v>
      </c>
      <c r="G160" s="127"/>
      <c r="H160" s="100" t="e">
        <f ca="1">IF(INDIRECT("Feuil1!A"&amp;MATCH("Esp",Feuil1!A:A,0)+D160)="Esp",INDIRECT("Feuil1!D"&amp;MATCH("Esp",Feuil1!A:A,0)+D160),"")</f>
        <v>#N/A</v>
      </c>
    </row>
    <row r="161" spans="1:9">
      <c r="A161" s="77"/>
      <c r="B161" s="75" t="s">
        <v>124</v>
      </c>
      <c r="C161" s="76">
        <v>7.5570434383117875E-4</v>
      </c>
      <c r="D161" s="101">
        <v>7</v>
      </c>
      <c r="E161" s="96"/>
      <c r="F161" s="126" t="e">
        <f ca="1">IF(INDIRECT("Feuil1!A"&amp;MATCH("Esp",Feuil1!A:A,0)+D161)="Esp",INDIRECT("Feuil1!B"&amp;MATCH("Esp",Feuil1!A:A,0)+D161),"")</f>
        <v>#N/A</v>
      </c>
      <c r="G161" s="127"/>
      <c r="H161" s="100" t="e">
        <f ca="1">IF(INDIRECT("Feuil1!A"&amp;MATCH("Esp",Feuil1!A:A,0)+D161)="Esp",INDIRECT("Feuil1!D"&amp;MATCH("Esp",Feuil1!A:A,0)+D161),"")</f>
        <v>#N/A</v>
      </c>
    </row>
    <row r="162" spans="1:9">
      <c r="A162" s="77"/>
      <c r="B162" s="75" t="s">
        <v>126</v>
      </c>
      <c r="C162" s="76">
        <v>1.7814627972058007E-3</v>
      </c>
      <c r="D162" s="101">
        <v>8</v>
      </c>
      <c r="E162" s="96"/>
      <c r="F162" s="126" t="e">
        <f ca="1">IF(INDIRECT("Feuil1!A"&amp;MATCH("Esp",Feuil1!A:A,0)+D162)="Esp",INDIRECT("Feuil1!B"&amp;MATCH("Esp",Feuil1!A:A,0)+D162),"")</f>
        <v>#N/A</v>
      </c>
      <c r="G162" s="127"/>
      <c r="H162" s="100" t="e">
        <f ca="1">IF(INDIRECT("Feuil1!A"&amp;MATCH("Esp",Feuil1!A:A,0)+D162)="Esp",INDIRECT("Feuil1!D"&amp;MATCH("Esp",Feuil1!A:A,0)+D162),"")</f>
        <v>#N/A</v>
      </c>
    </row>
    <row r="163" spans="1:9">
      <c r="A163" s="77"/>
      <c r="B163" s="75" t="s">
        <v>128</v>
      </c>
      <c r="C163" s="76">
        <v>1.2544453499855804E-4</v>
      </c>
      <c r="D163" s="101">
        <v>9</v>
      </c>
      <c r="E163" s="96"/>
      <c r="F163" s="126" t="e">
        <f ca="1">IF(INDIRECT("Feuil1!A"&amp;MATCH("Esp",Feuil1!A:A,0)+D163)="Esp",INDIRECT("Feuil1!B"&amp;MATCH("Esp",Feuil1!A:A,0)+D163),"")</f>
        <v>#N/A</v>
      </c>
      <c r="G163" s="127"/>
      <c r="H163" s="100" t="e">
        <f ca="1">IF(INDIRECT("Feuil1!A"&amp;MATCH("Esp",Feuil1!A:A,0)+D163)="Esp",INDIRECT("Feuil1!D"&amp;MATCH("Esp",Feuil1!A:A,0)+D163),"")</f>
        <v>#N/A</v>
      </c>
    </row>
    <row r="164" spans="1:9">
      <c r="A164" s="77"/>
      <c r="B164" s="75" t="s">
        <v>130</v>
      </c>
      <c r="C164" s="76">
        <v>6.920048930478636E-4</v>
      </c>
      <c r="D164" s="101">
        <v>10</v>
      </c>
      <c r="E164" s="96"/>
      <c r="F164" s="126" t="e">
        <f ca="1">IF(INDIRECT("Feuil1!A"&amp;MATCH("Esp",Feuil1!A:A,0)+D164)="Esp",INDIRECT("Feuil1!B"&amp;MATCH("Esp",Feuil1!A:A,0)+D164),"")</f>
        <v>#N/A</v>
      </c>
      <c r="G164" s="127"/>
      <c r="H164" s="100" t="e">
        <f ca="1">IF(INDIRECT("Feuil1!A"&amp;MATCH("Esp",Feuil1!A:A,0)+D164)="Esp",INDIRECT("Feuil1!D"&amp;MATCH("Esp",Feuil1!A:A,0)+D164),"")</f>
        <v>#N/A</v>
      </c>
    </row>
    <row r="165" spans="1:9">
      <c r="A165" s="102" t="s">
        <v>132</v>
      </c>
      <c r="B165" s="103"/>
      <c r="C165" s="104">
        <v>2.251172357961901E-2</v>
      </c>
      <c r="D165" s="101">
        <v>11</v>
      </c>
      <c r="E165" s="96"/>
      <c r="F165" s="126" t="e">
        <f ca="1">IF(INDIRECT("Feuil1!A"&amp;MATCH("Esp",Feuil1!A:A,0)+D165)="Esp",INDIRECT("Feuil1!B"&amp;MATCH("Esp",Feuil1!A:A,0)+D165),"")</f>
        <v>#N/A</v>
      </c>
      <c r="G165" s="127"/>
      <c r="H165" s="100" t="e">
        <f ca="1">IF(INDIRECT("Feuil1!A"&amp;MATCH("Esp",Feuil1!A:A,0)+D165)="Esp",INDIRECT("Feuil1!D"&amp;MATCH("Esp",Feuil1!A:A,0)+D165),"")</f>
        <v>#N/A</v>
      </c>
    </row>
    <row r="166" spans="1:9">
      <c r="D166" s="101">
        <v>12</v>
      </c>
      <c r="E166" s="96"/>
      <c r="F166" s="126" t="e">
        <f ca="1">IF(INDIRECT("Feuil1!A"&amp;MATCH("Esp",Feuil1!A:A,0)+D166)="Esp",INDIRECT("Feuil1!B"&amp;MATCH("Esp",Feuil1!A:A,0)+D166),"")</f>
        <v>#N/A</v>
      </c>
      <c r="G166" s="127"/>
      <c r="H166" s="100" t="e">
        <f ca="1">IF(INDIRECT("Feuil1!A"&amp;MATCH("Esp",Feuil1!A:A,0)+D166)="Esp",INDIRECT("Feuil1!D"&amp;MATCH("Esp",Feuil1!A:A,0)+D166),"")</f>
        <v>#N/A</v>
      </c>
    </row>
    <row r="167" spans="1:9">
      <c r="D167" s="101">
        <v>13</v>
      </c>
      <c r="E167" s="96"/>
      <c r="F167" s="126" t="e">
        <f ca="1">IF(INDIRECT("Feuil1!A"&amp;MATCH("Esp",Feuil1!A:A,0)+D167)="Esp",INDIRECT("Feuil1!B"&amp;MATCH("Esp",Feuil1!A:A,0)+D167),"")</f>
        <v>#N/A</v>
      </c>
      <c r="G167" s="127"/>
      <c r="H167" s="100" t="e">
        <f ca="1">IF(INDIRECT("Feuil1!A"&amp;MATCH("Esp",Feuil1!A:A,0)+D167)="Esp",INDIRECT("Feuil1!D"&amp;MATCH("Esp",Feuil1!A:A,0)+D167),"")</f>
        <v>#N/A</v>
      </c>
    </row>
    <row r="168" spans="1:9">
      <c r="D168" s="101">
        <v>14</v>
      </c>
      <c r="E168" s="96"/>
      <c r="F168" s="126" t="e">
        <f ca="1">IF(INDIRECT("Feuil1!A"&amp;MATCH("Esp",Feuil1!A:A,0)+D168)="Esp",INDIRECT("Feuil1!B"&amp;MATCH("Esp",Feuil1!A:A,0)+D168),"")</f>
        <v>#N/A</v>
      </c>
      <c r="G168" s="127"/>
      <c r="H168" s="100" t="e">
        <f ca="1">IF(INDIRECT("Feuil1!A"&amp;MATCH("Esp",Feuil1!A:A,0)+D168)="Esp",INDIRECT("Feuil1!D"&amp;MATCH("Esp",Feuil1!A:A,0)+D168),"")</f>
        <v>#N/A</v>
      </c>
    </row>
    <row r="169" spans="1:9">
      <c r="D169" s="101">
        <v>15</v>
      </c>
      <c r="E169" s="96"/>
      <c r="F169" s="126" t="e">
        <f ca="1">IF(INDIRECT("Feuil1!A"&amp;MATCH("Esp",Feuil1!A:A,0)+D169)="Esp",INDIRECT("Feuil1!B"&amp;MATCH("Esp",Feuil1!A:A,0)+D169),"")</f>
        <v>#N/A</v>
      </c>
      <c r="G169" s="127"/>
      <c r="H169" s="100" t="e">
        <f ca="1">IF(INDIRECT("Feuil1!A"&amp;MATCH("Esp",Feuil1!A:A,0)+D169)="Esp",INDIRECT("Feuil1!D"&amp;MATCH("Esp",Feuil1!A:A,0)+D169),"")</f>
        <v>#N/A</v>
      </c>
    </row>
    <row r="170" spans="1:9">
      <c r="D170" s="101">
        <v>16</v>
      </c>
      <c r="E170" s="97"/>
      <c r="F170" s="126" t="e">
        <f ca="1">IF(INDIRECT("Feuil1!A"&amp;MATCH("Esp",Feuil1!A:A,0)+D170)="Esp",INDIRECT("Feuil1!B"&amp;MATCH("Esp",Feuil1!A:A,0)+D170),"")</f>
        <v>#N/A</v>
      </c>
      <c r="G170" s="127"/>
      <c r="H170" s="100" t="e">
        <f ca="1">IF(INDIRECT("Feuil1!A"&amp;MATCH("Esp",Feuil1!A:A,0)+D170)="Esp",INDIRECT("Feuil1!D"&amp;MATCH("Esp",Feuil1!A:A,0)+D170),"")</f>
        <v>#N/A</v>
      </c>
    </row>
    <row r="171" spans="1:9">
      <c r="E171" s="135" t="s">
        <v>132</v>
      </c>
      <c r="F171" s="136"/>
      <c r="G171" s="137"/>
      <c r="H171" s="74" t="e">
        <f ca="1">SUM(H154:H170)</f>
        <v>#N/A</v>
      </c>
    </row>
    <row r="175" spans="1:9">
      <c r="A175" s="70" t="s">
        <v>105</v>
      </c>
      <c r="B175" s="68"/>
      <c r="C175" s="106"/>
      <c r="E175" s="131" t="s">
        <v>105</v>
      </c>
      <c r="F175" s="131"/>
      <c r="G175" s="131"/>
      <c r="H175" s="120" t="e">
        <f>VLOOKUP("date",Feuil1!A:B,2,0)</f>
        <v>#N/A</v>
      </c>
    </row>
    <row r="176" spans="1:9">
      <c r="A176" s="70" t="s">
        <v>107</v>
      </c>
      <c r="B176" s="107" t="s">
        <v>108</v>
      </c>
      <c r="C176" s="68" t="s">
        <v>103</v>
      </c>
      <c r="E176" s="105" t="s">
        <v>107</v>
      </c>
      <c r="F176" s="131" t="s">
        <v>108</v>
      </c>
      <c r="G176" s="131"/>
      <c r="H176" s="68" t="s">
        <v>103</v>
      </c>
      <c r="I176" s="110"/>
    </row>
    <row r="177" spans="1:9">
      <c r="A177" s="75" t="s">
        <v>16</v>
      </c>
      <c r="B177" s="75" t="s">
        <v>134</v>
      </c>
      <c r="C177" s="108">
        <v>1.7952018705286676E-3</v>
      </c>
      <c r="D177" s="101">
        <v>0</v>
      </c>
      <c r="E177" s="111" t="s">
        <v>16</v>
      </c>
      <c r="F177" s="124" t="e">
        <f ca="1">IF(INDIRECT("Feuil1!A"&amp;MATCH("Por",Feuil1!A:A,0)+D177)="Por",INDIRECT("Feuil1!B"&amp;MATCH("Por",Feuil1!A:A,0)+D177),"")</f>
        <v>#N/A</v>
      </c>
      <c r="G177" s="125"/>
      <c r="H177" s="117" t="e">
        <f ca="1">IF(INDIRECT("Feuil1!A"&amp;MATCH("Por",Feuil1!A:A,0)+D177)="Por",INDIRECT("Feuil1!D"&amp;MATCH("Por",Feuil1!A:A,0)+D177),"")</f>
        <v>#N/A</v>
      </c>
      <c r="I177" s="109"/>
    </row>
    <row r="178" spans="1:9">
      <c r="A178" s="77"/>
      <c r="B178" s="75" t="s">
        <v>136</v>
      </c>
      <c r="C178" s="76">
        <v>2.5421313431868218E-3</v>
      </c>
      <c r="D178" s="114">
        <v>1</v>
      </c>
      <c r="E178" s="112"/>
      <c r="F178" s="124" t="e">
        <f ca="1">IF(INDIRECT("Feuil1!A"&amp;MATCH("Por",Feuil1!A:A,0)+D178)="Por",INDIRECT("Feuil1!B"&amp;MATCH("Por",Feuil1!A:A,0)+D178),"")</f>
        <v>#N/A</v>
      </c>
      <c r="G178" s="125"/>
      <c r="H178" s="117" t="e">
        <f ca="1">IF(INDIRECT("Feuil1!A"&amp;MATCH("Por",Feuil1!A:A,0)+D178)="Por",INDIRECT("Feuil1!D"&amp;MATCH("Por",Feuil1!A:A,0)+D178),"")</f>
        <v>#N/A</v>
      </c>
    </row>
    <row r="179" spans="1:9">
      <c r="A179" s="75" t="s">
        <v>138</v>
      </c>
      <c r="B179" s="78"/>
      <c r="C179" s="76">
        <v>4.3373332137154894E-3</v>
      </c>
      <c r="D179" s="114">
        <v>2</v>
      </c>
      <c r="E179" s="112"/>
      <c r="F179" s="124" t="e">
        <f ca="1">IF(INDIRECT("Feuil1!A"&amp;MATCH("Por",Feuil1!A:A,0)+D179)="Por",INDIRECT("Feuil1!B"&amp;MATCH("Por",Feuil1!A:A,0)+D179),"")</f>
        <v>#N/A</v>
      </c>
      <c r="G179" s="125"/>
      <c r="H179" s="117" t="e">
        <f ca="1">IF(INDIRECT("Feuil1!A"&amp;MATCH("Por",Feuil1!A:A,0)+D179)="Por",INDIRECT("Feuil1!D"&amp;MATCH("Por",Feuil1!A:A,0)+D179),"")</f>
        <v>#N/A</v>
      </c>
    </row>
    <row r="180" spans="1:9">
      <c r="A180" s="79" t="s">
        <v>103</v>
      </c>
      <c r="B180" s="80"/>
      <c r="C180" s="81">
        <v>2.6849056793334498E-2</v>
      </c>
      <c r="D180" s="115">
        <v>3</v>
      </c>
      <c r="E180" s="112"/>
      <c r="F180" s="124" t="e">
        <f ca="1">IF(INDIRECT("Feuil1!A"&amp;MATCH("Por",Feuil1!A:A,0)+D180)="Por",INDIRECT("Feuil1!B"&amp;MATCH("Por",Feuil1!A:A,0)+D180),"")</f>
        <v>#N/A</v>
      </c>
      <c r="G180" s="125"/>
      <c r="H180" s="117" t="e">
        <f ca="1">IF(INDIRECT("Feuil1!A"&amp;MATCH("Por",Feuil1!A:A,0)+D180)="Por",INDIRECT("Feuil1!D"&amp;MATCH("Por",Feuil1!A:A,0)+D180),"")</f>
        <v>#N/A</v>
      </c>
    </row>
    <row r="181" spans="1:9">
      <c r="A181" s="99"/>
      <c r="B181" s="98"/>
      <c r="C181" s="98"/>
      <c r="D181" s="115">
        <v>4</v>
      </c>
      <c r="E181" s="112"/>
      <c r="F181" s="124" t="e">
        <f ca="1">IF(INDIRECT("Feuil1!A"&amp;MATCH("Por",Feuil1!A:A,0)+D181)="Por",INDIRECT("Feuil1!B"&amp;MATCH("Por",Feuil1!A:A,0)+D181),"")</f>
        <v>#N/A</v>
      </c>
      <c r="G181" s="125"/>
      <c r="H181" s="117" t="e">
        <f ca="1">IF(INDIRECT("Feuil1!A"&amp;MATCH("Por",Feuil1!A:A,0)+D181)="Por",INDIRECT("Feuil1!D"&amp;MATCH("Por",Feuil1!A:A,0)+D181),"")</f>
        <v>#N/A</v>
      </c>
    </row>
    <row r="182" spans="1:9">
      <c r="A182" s="99"/>
      <c r="B182" s="98"/>
      <c r="C182" s="98"/>
      <c r="D182" s="115">
        <v>5</v>
      </c>
      <c r="E182" s="113"/>
      <c r="F182" s="126" t="e">
        <f ca="1">IF(INDIRECT("Feuil1!A"&amp;MATCH("Por",Feuil1!A:A,0)+D182)="Por",INDIRECT("Feuil1!B"&amp;MATCH("Por",Feuil1!A:A,0)+D182),"")</f>
        <v>#N/A</v>
      </c>
      <c r="G182" s="127"/>
      <c r="H182" s="118" t="e">
        <f ca="1">IF(INDIRECT("Feuil1!A"&amp;MATCH("Por",Feuil1!A:A,0)+D182)="Por",INDIRECT("Feuil1!D"&amp;MATCH("Por",Feuil1!A:A,0)+D182),"")</f>
        <v>#N/A</v>
      </c>
    </row>
    <row r="183" spans="1:9">
      <c r="A183" s="99"/>
      <c r="B183" s="98"/>
      <c r="C183" s="98"/>
      <c r="D183" s="98"/>
      <c r="E183" s="128" t="s">
        <v>138</v>
      </c>
      <c r="F183" s="129"/>
      <c r="G183" s="130"/>
      <c r="H183" s="119" t="e">
        <f ca="1">SUM(H177:H182)</f>
        <v>#N/A</v>
      </c>
    </row>
    <row r="184" spans="1:9">
      <c r="A184" s="99"/>
      <c r="B184" s="98"/>
      <c r="C184" s="98"/>
      <c r="D184" s="98"/>
      <c r="E184" s="98"/>
      <c r="F184" s="98"/>
    </row>
    <row r="185" spans="1:9">
      <c r="A185" s="99"/>
      <c r="B185" s="98"/>
      <c r="C185" s="98"/>
      <c r="D185" s="98"/>
      <c r="E185" s="128" t="s">
        <v>103</v>
      </c>
      <c r="F185" s="129"/>
      <c r="G185" s="130"/>
      <c r="H185" s="74" t="e">
        <f ca="1">H183+H171</f>
        <v>#N/A</v>
      </c>
    </row>
    <row r="186" spans="1:9">
      <c r="A186" s="99"/>
      <c r="B186" s="98"/>
      <c r="C186" s="98"/>
      <c r="D186" s="98"/>
      <c r="E186" s="98"/>
      <c r="F186" s="98"/>
    </row>
    <row r="187" spans="1:9">
      <c r="A187" s="99"/>
      <c r="B187" s="98"/>
      <c r="C187" s="98"/>
      <c r="D187" s="98"/>
      <c r="E187" s="98"/>
      <c r="F187" s="98"/>
    </row>
    <row r="188" spans="1:9">
      <c r="A188" s="99"/>
      <c r="B188" s="98"/>
      <c r="C188" s="98"/>
      <c r="D188" s="98"/>
      <c r="E188" s="98"/>
      <c r="F188" s="98"/>
    </row>
    <row r="189" spans="1:9">
      <c r="A189" s="99"/>
      <c r="B189" s="98"/>
      <c r="C189" s="98"/>
      <c r="D189" s="98"/>
      <c r="E189" s="98"/>
      <c r="F189" s="98"/>
    </row>
    <row r="190" spans="1:9">
      <c r="A190" s="99"/>
      <c r="B190" s="98"/>
      <c r="C190" s="98"/>
      <c r="D190" s="98"/>
      <c r="E190" s="98"/>
      <c r="F190" s="98"/>
    </row>
    <row r="191" spans="1:9">
      <c r="A191" s="99"/>
      <c r="B191" s="98"/>
      <c r="C191" s="98"/>
      <c r="D191" s="98"/>
      <c r="E191" s="98"/>
      <c r="F191" s="98"/>
    </row>
    <row r="192" spans="1:9">
      <c r="A192" s="98"/>
      <c r="B192" s="98"/>
      <c r="C192" s="98"/>
      <c r="D192" s="98"/>
      <c r="E192" s="98"/>
      <c r="F192" s="98"/>
    </row>
    <row r="193" spans="1:6">
      <c r="A193" s="98"/>
      <c r="B193" s="98"/>
      <c r="C193" s="98"/>
      <c r="D193" s="98"/>
      <c r="E193" s="98"/>
      <c r="F193" s="98"/>
    </row>
    <row r="194" spans="1:6">
      <c r="A194" s="98"/>
      <c r="B194" s="98"/>
      <c r="C194" s="98"/>
      <c r="D194" s="98"/>
      <c r="E194" s="98"/>
      <c r="F194" s="98"/>
    </row>
    <row r="195" spans="1:6">
      <c r="A195" s="98"/>
      <c r="B195" s="98"/>
      <c r="C195" s="98"/>
      <c r="D195" s="98"/>
      <c r="E195" s="98"/>
      <c r="F195" s="98"/>
    </row>
    <row r="196" spans="1:6">
      <c r="A196" s="98"/>
      <c r="B196" s="98"/>
      <c r="C196" s="98"/>
      <c r="D196" s="98"/>
      <c r="E196" s="98"/>
      <c r="F196" s="98"/>
    </row>
    <row r="197" spans="1:6">
      <c r="A197" s="98"/>
      <c r="B197" s="98"/>
      <c r="C197" s="98"/>
      <c r="D197" s="98"/>
      <c r="E197" s="98"/>
      <c r="F197" s="98"/>
    </row>
  </sheetData>
  <mergeCells count="48">
    <mergeCell ref="F166:G166"/>
    <mergeCell ref="F167:G167"/>
    <mergeCell ref="F168:G168"/>
    <mergeCell ref="F178:G178"/>
    <mergeCell ref="F177:G177"/>
    <mergeCell ref="E171:G171"/>
    <mergeCell ref="F169:G169"/>
    <mergeCell ref="F170:G170"/>
    <mergeCell ref="E144:F144"/>
    <mergeCell ref="E145:F145"/>
    <mergeCell ref="E146:F146"/>
    <mergeCell ref="E147:F147"/>
    <mergeCell ref="E139:F139"/>
    <mergeCell ref="E141:F141"/>
    <mergeCell ref="E140:F140"/>
    <mergeCell ref="E142:F142"/>
    <mergeCell ref="E143:F143"/>
    <mergeCell ref="E134:F134"/>
    <mergeCell ref="E135:F135"/>
    <mergeCell ref="E136:F136"/>
    <mergeCell ref="E137:F137"/>
    <mergeCell ref="E138:F138"/>
    <mergeCell ref="A16:B16"/>
    <mergeCell ref="A35:B35"/>
    <mergeCell ref="E131:F131"/>
    <mergeCell ref="E133:F133"/>
    <mergeCell ref="E132:F132"/>
    <mergeCell ref="E185:G185"/>
    <mergeCell ref="E152:G152"/>
    <mergeCell ref="E175:G175"/>
    <mergeCell ref="F176:G176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81:G181"/>
    <mergeCell ref="F182:G182"/>
    <mergeCell ref="F179:G179"/>
    <mergeCell ref="F180:G180"/>
    <mergeCell ref="E183:G183"/>
  </mergeCells>
  <phoneticPr fontId="5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tabSelected="1" topLeftCell="A31" workbookViewId="0">
      <selection activeCell="B55" sqref="B55"/>
    </sheetView>
  </sheetViews>
  <sheetFormatPr baseColWidth="10" defaultRowHeight="12.75"/>
  <cols>
    <col min="1" max="1" width="26" customWidth="1"/>
    <col min="2" max="2" width="38.85546875" customWidth="1"/>
    <col min="3" max="3" width="15.140625" customWidth="1"/>
    <col min="4" max="4" width="14.7109375" customWidth="1"/>
    <col min="7" max="7" width="17" customWidth="1"/>
  </cols>
  <sheetData>
    <row r="1" spans="1:7" ht="20.25">
      <c r="A1" s="11" t="s">
        <v>53</v>
      </c>
      <c r="B1" s="12"/>
      <c r="C1" s="13">
        <v>41121</v>
      </c>
    </row>
    <row r="4" spans="1:7" ht="13.5" thickBot="1">
      <c r="A4" s="6" t="s">
        <v>54</v>
      </c>
    </row>
    <row r="5" spans="1:7" ht="27" customHeight="1">
      <c r="C5" s="23">
        <v>40178</v>
      </c>
      <c r="D5" s="24">
        <v>40543</v>
      </c>
      <c r="E5" s="24">
        <v>40908</v>
      </c>
      <c r="F5" s="24">
        <v>40999</v>
      </c>
      <c r="G5" s="26">
        <v>41121</v>
      </c>
    </row>
    <row r="6" spans="1:7" ht="27" customHeight="1">
      <c r="B6" s="25" t="s">
        <v>55</v>
      </c>
      <c r="C6" s="17">
        <v>607.1</v>
      </c>
      <c r="D6" s="18">
        <v>641.4</v>
      </c>
      <c r="E6" s="18">
        <v>526.4</v>
      </c>
      <c r="F6" s="18">
        <v>443.8</v>
      </c>
      <c r="G6" s="19"/>
    </row>
    <row r="7" spans="1:7" ht="27" customHeight="1" thickBot="1">
      <c r="B7" s="25" t="s">
        <v>56</v>
      </c>
      <c r="C7" s="20">
        <v>0.1782</v>
      </c>
      <c r="D7" s="21">
        <v>7.2499999999999995E-2</v>
      </c>
      <c r="E7" s="21">
        <v>-0.1346</v>
      </c>
      <c r="F7" s="21">
        <v>9.7500000000000003E-2</v>
      </c>
      <c r="G7" s="22"/>
    </row>
    <row r="15" spans="1:7">
      <c r="A15" s="6" t="s">
        <v>35</v>
      </c>
    </row>
    <row r="17" spans="1:3">
      <c r="B17" s="16">
        <v>40908</v>
      </c>
      <c r="C17" t="e">
        <f>VLOOKUP("date",Feuil1!A:B,2,0)</f>
        <v>#N/A</v>
      </c>
    </row>
    <row r="18" spans="1:3">
      <c r="A18" t="s">
        <v>36</v>
      </c>
      <c r="B18" s="9">
        <v>0.64</v>
      </c>
      <c r="C18" s="84" t="e">
        <f>VLOOKUP("Zone Euro",Feuil1!A:B,2,0)</f>
        <v>#N/A</v>
      </c>
    </row>
    <row r="19" spans="1:3">
      <c r="A19" t="s">
        <v>37</v>
      </c>
      <c r="B19" s="9">
        <v>0.1</v>
      </c>
      <c r="C19" s="84" t="e">
        <f>VLOOKUP("Europe Ex Euro",Feuil1!A:B,2,0)</f>
        <v>#N/A</v>
      </c>
    </row>
    <row r="20" spans="1:3">
      <c r="A20" t="s">
        <v>38</v>
      </c>
      <c r="B20" s="9">
        <v>0.16</v>
      </c>
      <c r="C20" s="84" t="e">
        <f>VLOOKUP("Amérique du nord",Feuil1!A:B,2,0)</f>
        <v>#N/A</v>
      </c>
    </row>
    <row r="21" spans="1:3">
      <c r="A21" t="s">
        <v>39</v>
      </c>
      <c r="B21" s="9">
        <v>0.06</v>
      </c>
      <c r="C21" s="84" t="e">
        <f>VLOOKUP("Asie",Feuil1!A:B,2,0)</f>
        <v>#N/A</v>
      </c>
    </row>
    <row r="22" spans="1:3">
      <c r="A22" t="s">
        <v>40</v>
      </c>
      <c r="B22" s="9">
        <v>0.03</v>
      </c>
      <c r="C22" s="84" t="e">
        <f>VLOOKUP("Emergents",Feuil1!A:B,2,0)</f>
        <v>#N/A</v>
      </c>
    </row>
    <row r="23" spans="1:3">
      <c r="A23" t="s">
        <v>41</v>
      </c>
      <c r="B23" s="9">
        <v>0.01</v>
      </c>
      <c r="C23" s="84" t="e">
        <f>VLOOKUP("Europe",Feuil1!A:B,2,0)</f>
        <v>#N/A</v>
      </c>
    </row>
    <row r="24" spans="1:3">
      <c r="B24" s="9">
        <f>SUM(B18:B23)</f>
        <v>1</v>
      </c>
      <c r="C24" s="9" t="e">
        <f>SUM(C18:C23)</f>
        <v>#N/A</v>
      </c>
    </row>
    <row r="34" spans="1:3">
      <c r="A34" s="6" t="s">
        <v>42</v>
      </c>
    </row>
    <row r="35" spans="1:3">
      <c r="A35" s="6"/>
    </row>
    <row r="36" spans="1:3">
      <c r="B36" s="16">
        <v>40908</v>
      </c>
      <c r="C36" t="e">
        <f>VLOOKUP("date",Feuil1!A:B,2,0)</f>
        <v>#N/A</v>
      </c>
    </row>
    <row r="37" spans="1:3">
      <c r="A37" t="s">
        <v>43</v>
      </c>
      <c r="B37" s="9">
        <v>8.9099999999999999E-2</v>
      </c>
      <c r="C37" s="84" t="e">
        <f>VLOOKUP("INDUSTRIES",Feuil1!A:B,2,0)</f>
        <v>#N/A</v>
      </c>
    </row>
    <row r="38" spans="1:3">
      <c r="A38" t="s">
        <v>44</v>
      </c>
      <c r="B38" s="9">
        <v>9.8500000000000004E-2</v>
      </c>
      <c r="C38" s="84" t="e">
        <f>VLOOKUP("PETROLE ET GAZ",Feuil1!A:B,2,0)</f>
        <v>#N/A</v>
      </c>
    </row>
    <row r="39" spans="1:3">
      <c r="A39" t="s">
        <v>45</v>
      </c>
      <c r="B39" s="9">
        <v>0.1336</v>
      </c>
      <c r="C39" s="84" t="e">
        <f>VLOOKUP("MATERIAUX DE BASE",Feuil1!A:B,2,0)</f>
        <v>#N/A</v>
      </c>
    </row>
    <row r="40" spans="1:3">
      <c r="A40" t="s">
        <v>46</v>
      </c>
      <c r="B40" s="9">
        <v>4.5600000000000002E-2</v>
      </c>
      <c r="C40" s="84" t="e">
        <f>VLOOKUP("SERVICES AUX COLLECTIVITES",Feuil1!A:B,2,0)</f>
        <v>#N/A</v>
      </c>
    </row>
    <row r="41" spans="1:3">
      <c r="A41" t="s">
        <v>47</v>
      </c>
      <c r="B41" s="9">
        <v>0.1013</v>
      </c>
      <c r="C41" s="84" t="e">
        <f>VLOOKUP("SANTE",Feuil1!A:B,2,0)</f>
        <v>#N/A</v>
      </c>
    </row>
    <row r="42" spans="1:3">
      <c r="A42" t="s">
        <v>48</v>
      </c>
      <c r="B42" s="9">
        <v>5.0200000000000002E-2</v>
      </c>
      <c r="C42" s="84" t="e">
        <f>VLOOKUP("SERVICES AUX CONSOMMATEURS",Feuil1!A:B,2,0)</f>
        <v>#N/A</v>
      </c>
    </row>
    <row r="43" spans="1:3">
      <c r="A43" t="s">
        <v>49</v>
      </c>
      <c r="B43" s="9">
        <v>8.2000000000000003E-2</v>
      </c>
      <c r="C43" s="84" t="e">
        <f>VLOOKUP("TECHNOLOGIE",Feuil1!A:B,2,0)</f>
        <v>#N/A</v>
      </c>
    </row>
    <row r="44" spans="1:3">
      <c r="A44" t="s">
        <v>50</v>
      </c>
      <c r="B44" s="9">
        <v>7.7399999999999997E-2</v>
      </c>
      <c r="C44" s="84" t="e">
        <f>VLOOKUP("TELECOMMUNICATIONS",Feuil1!A:B,2,0)</f>
        <v>#N/A</v>
      </c>
    </row>
    <row r="45" spans="1:3">
      <c r="A45" t="s">
        <v>51</v>
      </c>
      <c r="B45" s="9">
        <v>0.1656</v>
      </c>
      <c r="C45" s="84" t="e">
        <f>VLOOKUP("BIENS DE CONSOMMATION",Feuil1!A:B,2,0)</f>
        <v>#N/A</v>
      </c>
    </row>
    <row r="46" spans="1:3">
      <c r="A46" t="s">
        <v>52</v>
      </c>
      <c r="B46" s="9">
        <v>0.15670000000000001</v>
      </c>
      <c r="C46" s="84" t="e">
        <f>VLOOKUP("SOCIETES FINANCIERES",Feuil1!A:B,2,0)</f>
        <v>#N/A</v>
      </c>
    </row>
    <row r="47" spans="1:3">
      <c r="B47" s="9">
        <f>SUM(B37:B46)</f>
        <v>1</v>
      </c>
      <c r="C47" s="9" t="e">
        <f>SUM(C37:C46)</f>
        <v>#N/A</v>
      </c>
    </row>
    <row r="48" spans="1:3">
      <c r="A48" s="6" t="s">
        <v>156</v>
      </c>
    </row>
    <row r="49" spans="1:3">
      <c r="A49" t="s">
        <v>153</v>
      </c>
      <c r="C49" s="84" t="e">
        <f>VLOOKUP("FONDS ACTIONS",Feuil1!A:B,2,0)</f>
        <v>#N/A</v>
      </c>
    </row>
    <row r="50" spans="1:3">
      <c r="A50" t="s">
        <v>154</v>
      </c>
      <c r="C50" s="84" t="e">
        <f>VLOOKUP("FONDS TRESORERIE",Feuil1!A:B,2,0)</f>
        <v>#N/A</v>
      </c>
    </row>
    <row r="51" spans="1:3">
      <c r="A51" t="s">
        <v>155</v>
      </c>
      <c r="C51" s="84" t="e">
        <f>VLOOKUP("Liquidité",Feuil1!A:B,2,0)</f>
        <v>#N/A</v>
      </c>
    </row>
    <row r="65" spans="1:11">
      <c r="C65" s="138">
        <v>40908</v>
      </c>
      <c r="D65" s="138"/>
      <c r="E65" s="138"/>
      <c r="F65" s="139">
        <v>40999</v>
      </c>
      <c r="G65" s="139"/>
      <c r="H65" s="139"/>
      <c r="I65" s="140" t="e">
        <f>VLOOKUP("date",Feuil1!A:B,2,0)</f>
        <v>#N/A</v>
      </c>
      <c r="J65" s="141"/>
      <c r="K65" s="142"/>
    </row>
    <row r="66" spans="1:11" ht="38.25">
      <c r="B66" s="83" t="s">
        <v>141</v>
      </c>
      <c r="C66" s="44" t="s">
        <v>99</v>
      </c>
      <c r="D66" s="45" t="s">
        <v>100</v>
      </c>
      <c r="E66" s="46" t="s">
        <v>57</v>
      </c>
      <c r="F66" s="44" t="s">
        <v>99</v>
      </c>
      <c r="G66" s="45" t="s">
        <v>100</v>
      </c>
      <c r="H66" s="46" t="s">
        <v>57</v>
      </c>
      <c r="I66" s="91" t="s">
        <v>142</v>
      </c>
      <c r="J66" s="92" t="s">
        <v>143</v>
      </c>
      <c r="K66" s="93" t="s">
        <v>144</v>
      </c>
    </row>
    <row r="67" spans="1:11">
      <c r="A67" s="27" t="s">
        <v>58</v>
      </c>
      <c r="B67" s="41" t="s">
        <v>59</v>
      </c>
      <c r="C67" s="35">
        <v>44.059863360000001</v>
      </c>
      <c r="D67" s="36">
        <v>-0.2071956400000019</v>
      </c>
      <c r="E67" s="28">
        <v>9.8256605335318312E-2</v>
      </c>
      <c r="F67" s="40" t="s">
        <v>98</v>
      </c>
      <c r="G67" s="39" t="s">
        <v>98</v>
      </c>
      <c r="H67" s="85">
        <v>0</v>
      </c>
      <c r="I67" s="88" t="e">
        <f>VLOOKUP(A67,Feuil1!A:E,3,0)</f>
        <v>#N/A</v>
      </c>
      <c r="J67" s="88" t="e">
        <f>VLOOKUP(A67,Feuil1!A:E,4,0)</f>
        <v>#N/A</v>
      </c>
      <c r="K67" s="28" t="e">
        <f>VLOOKUP(A67,Feuil1!A:E,5,0)</f>
        <v>#N/A</v>
      </c>
    </row>
    <row r="68" spans="1:11">
      <c r="A68" s="29" t="s">
        <v>60</v>
      </c>
      <c r="B68" s="42" t="s">
        <v>61</v>
      </c>
      <c r="C68" s="30">
        <v>68.823999999999998</v>
      </c>
      <c r="D68" s="37">
        <v>-12.607246330000009</v>
      </c>
      <c r="E68" s="31">
        <v>0.15348237806241685</v>
      </c>
      <c r="F68" s="30">
        <v>75.703040000000001</v>
      </c>
      <c r="G68" s="37">
        <v>-5.7282063299999999</v>
      </c>
      <c r="H68" s="86">
        <v>0.1705658540862654</v>
      </c>
      <c r="I68" s="89" t="e">
        <f>VLOOKUP(A68,Feuil1!A:E,3,0)</f>
        <v>#N/A</v>
      </c>
      <c r="J68" s="89" t="e">
        <f>VLOOKUP(A68,Feuil1!A:E,4,0)</f>
        <v>#N/A</v>
      </c>
      <c r="K68" s="31" t="e">
        <f>VLOOKUP(A68,Feuil1!A:E,5,0)</f>
        <v>#N/A</v>
      </c>
    </row>
    <row r="69" spans="1:11">
      <c r="A69" s="29" t="s">
        <v>62</v>
      </c>
      <c r="B69" s="42" t="s">
        <v>63</v>
      </c>
      <c r="C69" s="30">
        <v>31.982831399999998</v>
      </c>
      <c r="D69" s="37">
        <v>-6.734330400000001</v>
      </c>
      <c r="E69" s="31">
        <v>7.1323971586094048E-2</v>
      </c>
      <c r="F69" s="30">
        <v>67.219808760000006</v>
      </c>
      <c r="G69" s="37">
        <v>-3.8487120799999999</v>
      </c>
      <c r="H69" s="86">
        <v>0.15145236033671602</v>
      </c>
      <c r="I69" s="89" t="e">
        <f>VLOOKUP(A69,Feuil1!A:E,3,0)</f>
        <v>#N/A</v>
      </c>
      <c r="J69" s="89" t="e">
        <f>VLOOKUP(A69,Feuil1!A:E,4,0)</f>
        <v>#N/A</v>
      </c>
      <c r="K69" s="31" t="e">
        <f>VLOOKUP(A69,Feuil1!A:E,5,0)</f>
        <v>#N/A</v>
      </c>
    </row>
    <row r="70" spans="1:11">
      <c r="A70" s="29" t="s">
        <v>64</v>
      </c>
      <c r="B70" s="42" t="s">
        <v>65</v>
      </c>
      <c r="C70" s="30">
        <v>20.3939685</v>
      </c>
      <c r="D70" s="37">
        <v>-4.7181394999999995</v>
      </c>
      <c r="E70" s="31">
        <v>4.5479989298936714E-2</v>
      </c>
      <c r="F70" s="30">
        <v>27.674718500000001</v>
      </c>
      <c r="G70" s="37">
        <v>-2.6035495000000002</v>
      </c>
      <c r="H70" s="86">
        <v>6.2353665025202024E-2</v>
      </c>
      <c r="I70" s="89" t="e">
        <f>VLOOKUP(A70,Feuil1!A:E,3,0)</f>
        <v>#N/A</v>
      </c>
      <c r="J70" s="89" t="e">
        <f>VLOOKUP(A70,Feuil1!A:E,4,0)</f>
        <v>#N/A</v>
      </c>
      <c r="K70" s="31" t="e">
        <f>VLOOKUP(A70,Feuil1!A:E,5,0)</f>
        <v>#N/A</v>
      </c>
    </row>
    <row r="71" spans="1:11">
      <c r="A71" s="29" t="s">
        <v>66</v>
      </c>
      <c r="B71" s="42" t="s">
        <v>67</v>
      </c>
      <c r="C71" s="30">
        <v>19.4804204</v>
      </c>
      <c r="D71" s="37">
        <v>-4.1096064999999982</v>
      </c>
      <c r="E71" s="31">
        <v>4.3442712551546227E-2</v>
      </c>
      <c r="F71" s="30">
        <v>27.096883500000001</v>
      </c>
      <c r="G71" s="37">
        <v>-2.8353405999999999</v>
      </c>
      <c r="H71" s="86">
        <v>6.1051750065169545E-2</v>
      </c>
      <c r="I71" s="89" t="e">
        <f>VLOOKUP(A71,Feuil1!A:E,3,0)</f>
        <v>#N/A</v>
      </c>
      <c r="J71" s="89" t="e">
        <f>VLOOKUP(A71,Feuil1!A:E,4,0)</f>
        <v>#N/A</v>
      </c>
      <c r="K71" s="31" t="e">
        <f>VLOOKUP(A71,Feuil1!A:E,5,0)</f>
        <v>#N/A</v>
      </c>
    </row>
    <row r="72" spans="1:11">
      <c r="A72" s="29" t="s">
        <v>68</v>
      </c>
      <c r="B72" s="42" t="s">
        <v>69</v>
      </c>
      <c r="C72" s="30">
        <v>23.26</v>
      </c>
      <c r="D72" s="37">
        <v>-5.8081795499999984</v>
      </c>
      <c r="E72" s="31">
        <v>5.187144184778298E-2</v>
      </c>
      <c r="F72" s="30">
        <v>25.55</v>
      </c>
      <c r="G72" s="37">
        <v>-3.5181795499999997</v>
      </c>
      <c r="H72" s="86">
        <v>5.7566480446545887E-2</v>
      </c>
      <c r="I72" s="89" t="e">
        <f>VLOOKUP(A72,Feuil1!A:E,3,0)</f>
        <v>#N/A</v>
      </c>
      <c r="J72" s="89" t="e">
        <f>VLOOKUP(A72,Feuil1!A:E,4,0)</f>
        <v>#N/A</v>
      </c>
      <c r="K72" s="31" t="e">
        <f>VLOOKUP(A72,Feuil1!A:E,5,0)</f>
        <v>#N/A</v>
      </c>
    </row>
    <row r="73" spans="1:11">
      <c r="A73" s="29" t="s">
        <v>70</v>
      </c>
      <c r="B73" s="42" t="s">
        <v>71</v>
      </c>
      <c r="C73" s="30">
        <v>22.028644</v>
      </c>
      <c r="D73" s="37">
        <v>-3.5528204999999993</v>
      </c>
      <c r="E73" s="31">
        <v>4.9125431050366014E-2</v>
      </c>
      <c r="F73" s="30">
        <v>25.34169</v>
      </c>
      <c r="G73" s="37">
        <v>-0.2397745</v>
      </c>
      <c r="H73" s="86">
        <v>5.7097139016337665E-2</v>
      </c>
      <c r="I73" s="89" t="e">
        <f>VLOOKUP(A73,Feuil1!A:E,3,0)</f>
        <v>#N/A</v>
      </c>
      <c r="J73" s="89" t="e">
        <f>VLOOKUP(A73,Feuil1!A:E,4,0)</f>
        <v>#N/A</v>
      </c>
      <c r="K73" s="31" t="e">
        <f>VLOOKUP(A73,Feuil1!A:E,5,0)</f>
        <v>#N/A</v>
      </c>
    </row>
    <row r="74" spans="1:11">
      <c r="A74" s="29" t="s">
        <v>72</v>
      </c>
      <c r="B74" s="42" t="s">
        <v>73</v>
      </c>
      <c r="C74" s="30">
        <v>20.453109000000001</v>
      </c>
      <c r="D74" s="37">
        <v>-1.0798375</v>
      </c>
      <c r="E74" s="31">
        <v>4.5611876788472346E-2</v>
      </c>
      <c r="F74" s="30">
        <v>22.505058600000002</v>
      </c>
      <c r="G74" s="37">
        <v>0.57996290000000006</v>
      </c>
      <c r="H74" s="86">
        <v>5.070594973954088E-2</v>
      </c>
      <c r="I74" s="89" t="e">
        <f>VLOOKUP(A74,Feuil1!A:E,3,0)</f>
        <v>#N/A</v>
      </c>
      <c r="J74" s="89" t="e">
        <f>VLOOKUP(A74,Feuil1!A:E,4,0)</f>
        <v>#N/A</v>
      </c>
      <c r="K74" s="31" t="e">
        <f>VLOOKUP(A74,Feuil1!A:E,5,0)</f>
        <v>#N/A</v>
      </c>
    </row>
    <row r="75" spans="1:11">
      <c r="A75" s="29" t="s">
        <v>74</v>
      </c>
      <c r="B75" s="42" t="s">
        <v>75</v>
      </c>
      <c r="C75" s="30">
        <v>17.5391838</v>
      </c>
      <c r="D75" s="37">
        <v>-5.0445641300000013</v>
      </c>
      <c r="E75" s="31">
        <v>3.9113617907965491E-2</v>
      </c>
      <c r="F75" s="30">
        <v>21.9745043</v>
      </c>
      <c r="G75" s="37">
        <v>-3.83653763</v>
      </c>
      <c r="H75" s="86">
        <v>4.9510562509138496E-2</v>
      </c>
      <c r="I75" s="89" t="e">
        <f>VLOOKUP(A75,Feuil1!A:E,3,0)</f>
        <v>#N/A</v>
      </c>
      <c r="J75" s="89" t="e">
        <f>VLOOKUP(A75,Feuil1!A:E,4,0)</f>
        <v>#N/A</v>
      </c>
      <c r="K75" s="31" t="e">
        <f>VLOOKUP(A75,Feuil1!A:E,5,0)</f>
        <v>#N/A</v>
      </c>
    </row>
    <row r="76" spans="1:11">
      <c r="A76" s="29" t="s">
        <v>76</v>
      </c>
      <c r="B76" s="42" t="s">
        <v>77</v>
      </c>
      <c r="C76" s="30">
        <v>41.9640208</v>
      </c>
      <c r="D76" s="37">
        <v>0.11374473000000052</v>
      </c>
      <c r="E76" s="31">
        <v>9.3582728487805467E-2</v>
      </c>
      <c r="F76" s="30">
        <v>21.955214399999999</v>
      </c>
      <c r="G76" s="37">
        <v>0.37213679999999999</v>
      </c>
      <c r="H76" s="86">
        <v>4.9467100604983272E-2</v>
      </c>
      <c r="I76" s="89" t="e">
        <f>VLOOKUP(A76,Feuil1!A:E,3,0)</f>
        <v>#N/A</v>
      </c>
      <c r="J76" s="89" t="e">
        <f>VLOOKUP(A76,Feuil1!A:E,4,0)</f>
        <v>#N/A</v>
      </c>
      <c r="K76" s="31" t="e">
        <f>VLOOKUP(A76,Feuil1!A:E,5,0)</f>
        <v>#N/A</v>
      </c>
    </row>
    <row r="77" spans="1:11">
      <c r="A77" s="29" t="s">
        <v>78</v>
      </c>
      <c r="B77" s="42" t="s">
        <v>79</v>
      </c>
      <c r="C77" s="30">
        <v>18.425127066803999</v>
      </c>
      <c r="D77" s="37">
        <v>-9.5325221931960016</v>
      </c>
      <c r="E77" s="31">
        <v>4.1089333928793458E-2</v>
      </c>
      <c r="F77" s="30">
        <v>20.098342342833</v>
      </c>
      <c r="G77" s="37">
        <v>-7.8593070571670003</v>
      </c>
      <c r="H77" s="86">
        <v>4.5283398492629398E-2</v>
      </c>
      <c r="I77" s="89" t="e">
        <f>VLOOKUP(A77,Feuil1!A:E,3,0)</f>
        <v>#N/A</v>
      </c>
      <c r="J77" s="89" t="e">
        <f>VLOOKUP(A77,Feuil1!A:E,4,0)</f>
        <v>#N/A</v>
      </c>
      <c r="K77" s="31" t="e">
        <f>VLOOKUP(A77,Feuil1!A:E,5,0)</f>
        <v>#N/A</v>
      </c>
    </row>
    <row r="78" spans="1:11">
      <c r="A78" s="29" t="s">
        <v>80</v>
      </c>
      <c r="B78" s="42" t="s">
        <v>81</v>
      </c>
      <c r="C78" s="30">
        <v>15.002280000000001</v>
      </c>
      <c r="D78" s="37">
        <v>-5.6657781799999984</v>
      </c>
      <c r="E78" s="31">
        <v>3.345614336217359E-2</v>
      </c>
      <c r="F78" s="30">
        <v>16.546679999999999</v>
      </c>
      <c r="G78" s="37">
        <v>-4.1213781799999998</v>
      </c>
      <c r="H78" s="86">
        <v>3.7281179282788721E-2</v>
      </c>
      <c r="I78" s="89" t="e">
        <f>VLOOKUP(A78,Feuil1!A:E,3,0)</f>
        <v>#N/A</v>
      </c>
      <c r="J78" s="89" t="e">
        <f>VLOOKUP(A78,Feuil1!A:E,4,0)</f>
        <v>#N/A</v>
      </c>
      <c r="K78" s="31" t="e">
        <f>VLOOKUP(A78,Feuil1!A:E,5,0)</f>
        <v>#N/A</v>
      </c>
    </row>
    <row r="79" spans="1:11">
      <c r="A79" s="29" t="s">
        <v>82</v>
      </c>
      <c r="B79" s="42" t="s">
        <v>83</v>
      </c>
      <c r="C79" s="30">
        <v>13.068425699999999</v>
      </c>
      <c r="D79" s="37">
        <v>8.9260399999998796E-2</v>
      </c>
      <c r="E79" s="31">
        <v>2.9143511768685407E-2</v>
      </c>
      <c r="F79" s="30">
        <v>14.1939984</v>
      </c>
      <c r="G79" s="37">
        <v>2.5847999999999999E-2</v>
      </c>
      <c r="H79" s="86">
        <v>3.1980373047041238E-2</v>
      </c>
      <c r="I79" s="89" t="e">
        <f>VLOOKUP(A79,Feuil1!A:E,3,0)</f>
        <v>#N/A</v>
      </c>
      <c r="J79" s="89" t="e">
        <f>VLOOKUP(A79,Feuil1!A:E,4,0)</f>
        <v>#N/A</v>
      </c>
      <c r="K79" s="31" t="e">
        <f>VLOOKUP(A79,Feuil1!A:E,5,0)</f>
        <v>#N/A</v>
      </c>
    </row>
    <row r="80" spans="1:11">
      <c r="A80" s="29" t="s">
        <v>84</v>
      </c>
      <c r="B80" s="42" t="s">
        <v>85</v>
      </c>
      <c r="C80" s="30">
        <v>12.96358504</v>
      </c>
      <c r="D80" s="37">
        <v>-6.4111462799999988</v>
      </c>
      <c r="E80" s="31">
        <v>2.8909709696524049E-2</v>
      </c>
      <c r="F80" s="30">
        <v>14.0409402</v>
      </c>
      <c r="G80" s="37">
        <v>-5.3337911199999999</v>
      </c>
      <c r="H80" s="86">
        <v>3.1635518961816829E-2</v>
      </c>
      <c r="I80" s="89" t="e">
        <f>VLOOKUP(A80,Feuil1!A:E,3,0)</f>
        <v>#N/A</v>
      </c>
      <c r="J80" s="89" t="e">
        <f>VLOOKUP(A80,Feuil1!A:E,4,0)</f>
        <v>#N/A</v>
      </c>
      <c r="K80" s="31" t="e">
        <f>VLOOKUP(A80,Feuil1!A:E,5,0)</f>
        <v>#N/A</v>
      </c>
    </row>
    <row r="81" spans="1:11">
      <c r="A81" s="29" t="s">
        <v>86</v>
      </c>
      <c r="B81" s="42" t="s">
        <v>87</v>
      </c>
      <c r="C81" s="30">
        <v>10.595559</v>
      </c>
      <c r="D81" s="37">
        <v>-1.2544409999999999</v>
      </c>
      <c r="E81" s="31">
        <v>2.3628844476064212E-2</v>
      </c>
      <c r="F81" s="30">
        <v>11.732211</v>
      </c>
      <c r="G81" s="37">
        <v>-0.117789</v>
      </c>
      <c r="H81" s="86">
        <v>2.6433741492221156E-2</v>
      </c>
      <c r="I81" s="89" t="e">
        <f>VLOOKUP(A81,Feuil1!A:E,3,0)</f>
        <v>#N/A</v>
      </c>
      <c r="J81" s="89" t="e">
        <f>VLOOKUP(A81,Feuil1!A:E,4,0)</f>
        <v>#N/A</v>
      </c>
      <c r="K81" s="31" t="e">
        <f>VLOOKUP(A81,Feuil1!A:E,5,0)</f>
        <v>#N/A</v>
      </c>
    </row>
    <row r="82" spans="1:11">
      <c r="A82" s="29" t="s">
        <v>88</v>
      </c>
      <c r="B82" s="42" t="s">
        <v>89</v>
      </c>
      <c r="C82" s="30">
        <v>20.144108600000003</v>
      </c>
      <c r="D82" s="37">
        <v>-0.73369999999999536</v>
      </c>
      <c r="E82" s="31">
        <v>4.4922784085138653E-2</v>
      </c>
      <c r="F82" s="30">
        <v>11.7275808</v>
      </c>
      <c r="G82" s="37">
        <v>-3.2135999999999998E-2</v>
      </c>
      <c r="H82" s="86">
        <v>2.6423309229294992E-2</v>
      </c>
      <c r="I82" s="89" t="e">
        <f>VLOOKUP(A82,Feuil1!A:E,3,0)</f>
        <v>#N/A</v>
      </c>
      <c r="J82" s="89" t="e">
        <f>VLOOKUP(A82,Feuil1!A:E,4,0)</f>
        <v>#N/A</v>
      </c>
      <c r="K82" s="31" t="e">
        <f>VLOOKUP(A82,Feuil1!A:E,5,0)</f>
        <v>#N/A</v>
      </c>
    </row>
    <row r="83" spans="1:11">
      <c r="A83" s="29" t="s">
        <v>90</v>
      </c>
      <c r="B83" s="42" t="s">
        <v>91</v>
      </c>
      <c r="C83" s="30">
        <v>9.6125875999999995</v>
      </c>
      <c r="D83" s="37">
        <v>0.2983115999999999</v>
      </c>
      <c r="E83" s="31">
        <v>2.1436748869308672E-2</v>
      </c>
      <c r="F83" s="30">
        <v>10.926139999999998</v>
      </c>
      <c r="G83" s="37">
        <v>0.18031</v>
      </c>
      <c r="H83" s="86">
        <v>2.4617590006505784E-2</v>
      </c>
      <c r="I83" s="89" t="e">
        <f>VLOOKUP(A83,Feuil1!A:E,3,0)</f>
        <v>#N/A</v>
      </c>
      <c r="J83" s="89" t="e">
        <f>VLOOKUP(A83,Feuil1!A:E,4,0)</f>
        <v>#N/A</v>
      </c>
      <c r="K83" s="31" t="e">
        <f>VLOOKUP(A83,Feuil1!A:E,5,0)</f>
        <v>#N/A</v>
      </c>
    </row>
    <row r="84" spans="1:11">
      <c r="A84" s="29" t="s">
        <v>92</v>
      </c>
      <c r="B84" s="42" t="s">
        <v>93</v>
      </c>
      <c r="C84" s="30">
        <v>8.9646760000000008</v>
      </c>
      <c r="D84" s="37">
        <v>-1.9733089999999986</v>
      </c>
      <c r="E84" s="31">
        <v>1.9991860267335158E-2</v>
      </c>
      <c r="F84" s="30">
        <v>10.892580600000001</v>
      </c>
      <c r="G84" s="37">
        <v>-0.99773900000000004</v>
      </c>
      <c r="H84" s="86">
        <v>2.4541977617312135E-2</v>
      </c>
      <c r="I84" s="89" t="e">
        <f>VLOOKUP(A84,Feuil1!A:E,3,0)</f>
        <v>#N/A</v>
      </c>
      <c r="J84" s="89" t="e">
        <f>VLOOKUP(A84,Feuil1!A:E,4,0)</f>
        <v>#N/A</v>
      </c>
      <c r="K84" s="31" t="e">
        <f>VLOOKUP(A84,Feuil1!A:E,5,0)</f>
        <v>#N/A</v>
      </c>
    </row>
    <row r="85" spans="1:11">
      <c r="A85" s="29" t="s">
        <v>94</v>
      </c>
      <c r="B85" s="42" t="s">
        <v>95</v>
      </c>
      <c r="C85" s="30">
        <v>6.3581171209300003</v>
      </c>
      <c r="D85" s="37">
        <v>-2.1495947190700004</v>
      </c>
      <c r="E85" s="31">
        <v>1.4179049978491568E-2</v>
      </c>
      <c r="F85" s="30">
        <v>6.8178495106400003</v>
      </c>
      <c r="G85" s="37">
        <v>-1.6898623293600001</v>
      </c>
      <c r="H85" s="86">
        <v>1.5361236811810175E-2</v>
      </c>
      <c r="I85" s="89" t="e">
        <f>VLOOKUP(A85,Feuil1!A:E,3,0)</f>
        <v>#N/A</v>
      </c>
      <c r="J85" s="89" t="e">
        <f>VLOOKUP(A85,Feuil1!A:E,4,0)</f>
        <v>#N/A</v>
      </c>
      <c r="K85" s="31" t="e">
        <f>VLOOKUP(A85,Feuil1!A:E,5,0)</f>
        <v>#N/A</v>
      </c>
    </row>
    <row r="86" spans="1:11">
      <c r="A86" s="32" t="s">
        <v>96</v>
      </c>
      <c r="B86" s="43" t="s">
        <v>97</v>
      </c>
      <c r="C86" s="33">
        <v>15.534803999999999</v>
      </c>
      <c r="D86" s="38">
        <v>-0.72488180000000035</v>
      </c>
      <c r="E86" s="34">
        <v>3.464370947131154E-2</v>
      </c>
      <c r="F86" s="33">
        <v>5.9136899999999999</v>
      </c>
      <c r="G86" s="38">
        <v>-5.1990000000000001E-2</v>
      </c>
      <c r="H86" s="87">
        <v>1.3324082964850643E-2</v>
      </c>
      <c r="I86" s="90" t="e">
        <f>VLOOKUP(A86,Feuil1!A:E,3,0)</f>
        <v>#N/A</v>
      </c>
      <c r="J86" s="90" t="e">
        <f>VLOOKUP(A86,Feuil1!A:E,4,0)</f>
        <v>#N/A</v>
      </c>
      <c r="K86" s="34" t="e">
        <f>VLOOKUP(A86,Feuil1!A:E,5,0)</f>
        <v>#N/A</v>
      </c>
    </row>
  </sheetData>
  <mergeCells count="3">
    <mergeCell ref="C65:E65"/>
    <mergeCell ref="F65:H65"/>
    <mergeCell ref="I65:K65"/>
  </mergeCells>
  <phoneticPr fontId="5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48" workbookViewId="0"/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actifs obligataires</vt:lpstr>
      <vt:lpstr>actifs actions</vt:lpstr>
      <vt:lpstr>Feuil1</vt:lpstr>
    </vt:vector>
  </TitlesOfParts>
  <Company>MMA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</dc:creator>
  <cp:lastModifiedBy>uzx</cp:lastModifiedBy>
  <cp:lastPrinted>2012-05-09T14:47:21Z</cp:lastPrinted>
  <dcterms:created xsi:type="dcterms:W3CDTF">2010-01-19T16:27:44Z</dcterms:created>
  <dcterms:modified xsi:type="dcterms:W3CDTF">2012-08-23T12:33:03Z</dcterms:modified>
</cp:coreProperties>
</file>