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8975" yWindow="-270" windowWidth="16755" windowHeight="12000" tabRatio="574"/>
  </bookViews>
  <sheets>
    <sheet name="Report PREV" sheetId="3" r:id="rId1"/>
    <sheet name="DataW" sheetId="12" r:id="rId2"/>
    <sheet name="Feuil1" sheetId="13" r:id="rId3"/>
  </sheets>
  <definedNames>
    <definedName name="_xlnm.Print_Area" localSheetId="0">'Report PREV'!$A$1:$AC$46</definedName>
  </definedNames>
  <calcPr calcId="125725" calcMode="manual"/>
</workbook>
</file>

<file path=xl/calcChain.xml><?xml version="1.0" encoding="utf-8"?>
<calcChain xmlns="http://schemas.openxmlformats.org/spreadsheetml/2006/main">
  <c r="C14" i="12"/>
  <c r="C35"/>
  <c r="E35" s="1"/>
  <c r="N18" i="3" s="1"/>
  <c r="C31" i="12"/>
  <c r="E31" s="1"/>
  <c r="N14" i="3" s="1"/>
  <c r="C32" i="12"/>
  <c r="E32" s="1"/>
  <c r="N15" i="3" s="1"/>
  <c r="C30" i="12"/>
  <c r="E30" s="1"/>
  <c r="N13" i="3" s="1"/>
  <c r="C17" i="12"/>
  <c r="B18" i="3" s="1"/>
  <c r="B37" s="1"/>
  <c r="C13" i="12"/>
  <c r="B10" i="3" s="1"/>
  <c r="B35" s="1"/>
  <c r="C16" i="12"/>
  <c r="B16" i="3" s="1"/>
  <c r="B12"/>
  <c r="B36" s="1"/>
  <c r="C12" i="12"/>
  <c r="B8" i="3" s="1"/>
  <c r="AB28" s="1"/>
  <c r="C11" i="12"/>
  <c r="B7" i="3" s="1"/>
  <c r="C7" i="12"/>
  <c r="AA36" i="3"/>
  <c r="AA40"/>
  <c r="AA35"/>
  <c r="AF2"/>
  <c r="AA42"/>
  <c r="AA41"/>
  <c r="AA45"/>
  <c r="AA44"/>
  <c r="AA43"/>
  <c r="AA39"/>
  <c r="AA38"/>
  <c r="AA37"/>
  <c r="AA34"/>
  <c r="AA33"/>
  <c r="AA30"/>
  <c r="AA28"/>
  <c r="AA27"/>
  <c r="W20"/>
  <c r="B38"/>
  <c r="E23" i="12" l="1"/>
  <c r="D23"/>
  <c r="C23"/>
  <c r="D22"/>
  <c r="E22"/>
  <c r="C22"/>
  <c r="L13" i="3"/>
  <c r="L12" s="1"/>
  <c r="G12" s="1"/>
  <c r="B22"/>
  <c r="B31"/>
  <c r="B24"/>
  <c r="AB27"/>
  <c r="L18"/>
  <c r="L17" s="1"/>
  <c r="L5" s="1"/>
  <c r="L8" s="1"/>
  <c r="M5" s="1"/>
  <c r="L15"/>
  <c r="L14"/>
  <c r="C29" i="12"/>
  <c r="C34"/>
  <c r="B40" i="3"/>
  <c r="C18" i="12"/>
  <c r="D16" s="1"/>
  <c r="AB46" i="3" l="1"/>
  <c r="AC27" s="1"/>
  <c r="AC46" s="1"/>
  <c r="G17"/>
  <c r="L20"/>
  <c r="B26" s="1"/>
  <c r="B28" s="1"/>
  <c r="C28" s="1"/>
  <c r="X17"/>
  <c r="Y17" s="1"/>
  <c r="W7"/>
  <c r="AD44" s="1"/>
  <c r="AC36"/>
  <c r="X19"/>
  <c r="Y19" s="1"/>
  <c r="AB30"/>
  <c r="L6"/>
  <c r="M6" s="1"/>
  <c r="AC42"/>
  <c r="D11" i="12"/>
  <c r="C37"/>
  <c r="D34" s="1"/>
  <c r="D13"/>
  <c r="D12"/>
  <c r="D14"/>
  <c r="AC35" i="3" l="1"/>
  <c r="C22"/>
  <c r="X16"/>
  <c r="M12"/>
  <c r="M20" s="1"/>
  <c r="AC44"/>
  <c r="AC45"/>
  <c r="AC34"/>
  <c r="AC37"/>
  <c r="AC38"/>
  <c r="W9"/>
  <c r="X9" s="1"/>
  <c r="AC40"/>
  <c r="AC33"/>
  <c r="X18"/>
  <c r="Y18" s="1"/>
  <c r="AC30"/>
  <c r="AC39"/>
  <c r="AC43"/>
  <c r="AC41"/>
  <c r="AC28"/>
  <c r="C24"/>
  <c r="X7"/>
  <c r="Z7" s="1"/>
  <c r="AH38" s="1"/>
  <c r="AI38" s="1"/>
  <c r="M17"/>
  <c r="C26"/>
  <c r="Q6"/>
  <c r="Q8" s="1"/>
  <c r="R5" s="1"/>
  <c r="D29" i="12"/>
  <c r="B32" i="3"/>
  <c r="B33" s="1"/>
  <c r="B20"/>
  <c r="C16" s="1"/>
  <c r="X20" l="1"/>
  <c r="Y16"/>
  <c r="Y20" s="1"/>
  <c r="R6"/>
  <c r="R8" s="1"/>
  <c r="B42"/>
  <c r="C40" s="1"/>
  <c r="C12"/>
  <c r="C18"/>
  <c r="C8"/>
  <c r="P52" s="1"/>
  <c r="C10"/>
  <c r="C20"/>
  <c r="C7"/>
  <c r="P51" s="1"/>
  <c r="C14"/>
  <c r="P53" l="1"/>
  <c r="C33"/>
</calcChain>
</file>

<file path=xl/comments1.xml><?xml version="1.0" encoding="utf-8"?>
<comments xmlns="http://schemas.openxmlformats.org/spreadsheetml/2006/main">
  <authors>
    <author>DYN</author>
    <author>MEDERIC</author>
  </authors>
  <commentList>
    <comment ref="A6" authorId="0">
      <text>
        <r>
          <rPr>
            <b/>
            <sz val="8"/>
            <color indexed="81"/>
            <rFont val="Tahoma"/>
            <family val="2"/>
          </rPr>
          <t>IRCEM Dynamique (PRO BTP):   actions : 61.7 %
    42.8 M€                                         taux     : 38.3 %    moy : 3.54 ans
ODDO IRCEM :   actions : xx.7 %
       29.7 M€       taux eonia :  xx3 %   sensi xx</t>
        </r>
      </text>
    </comment>
    <comment ref="B12" authorId="1">
      <text>
        <r>
          <rPr>
            <b/>
            <sz val="8"/>
            <color indexed="81"/>
            <rFont val="Tahoma"/>
            <family val="2"/>
          </rPr>
          <t>y compris EXANE PLEIADE</t>
        </r>
      </text>
    </comment>
  </commentList>
</comments>
</file>

<file path=xl/comments2.xml><?xml version="1.0" encoding="utf-8"?>
<comments xmlns="http://schemas.openxmlformats.org/spreadsheetml/2006/main">
  <authors>
    <author>DYN</author>
    <author>MEDERIC</author>
  </authors>
  <commentList>
    <comment ref="A10" authorId="0">
      <text>
        <r>
          <rPr>
            <b/>
            <sz val="8"/>
            <color indexed="81"/>
            <rFont val="Tahoma"/>
            <family val="2"/>
          </rPr>
          <t>IRCEM Dynamique (PRO BTP):   actions : 61.7 %
    42.8 M€                                         taux     : 38.3 %    moy : 3.54 ans
ODDO IRCEM :   actions : xx.7 %
       29.7 M€       taux eonia :  xx3 %   sensi xx</t>
        </r>
      </text>
    </comment>
    <comment ref="B14" authorId="1">
      <text>
        <r>
          <rPr>
            <b/>
            <sz val="8"/>
            <color indexed="81"/>
            <rFont val="Tahoma"/>
            <family val="2"/>
          </rPr>
          <t>MEDERIC:</t>
        </r>
        <r>
          <rPr>
            <sz val="8"/>
            <color indexed="81"/>
            <rFont val="Tahoma"/>
            <family val="2"/>
          </rPr>
          <t xml:space="preserve">
dont exane pleiade</t>
        </r>
      </text>
    </comment>
  </commentList>
</comments>
</file>

<file path=xl/sharedStrings.xml><?xml version="1.0" encoding="utf-8"?>
<sst xmlns="http://schemas.openxmlformats.org/spreadsheetml/2006/main" count="156" uniqueCount="115">
  <si>
    <t>Total Mandat</t>
  </si>
  <si>
    <t>Bloc 1 : Décomposition sans transparence</t>
  </si>
  <si>
    <t>Bloc 2 : Décomposition des dédiés en transparence</t>
  </si>
  <si>
    <t xml:space="preserve">Dénomination </t>
  </si>
  <si>
    <t xml:space="preserve">Fonds Actions </t>
  </si>
  <si>
    <t>Fonds Convertibles</t>
  </si>
  <si>
    <t>Monétaire</t>
  </si>
  <si>
    <t xml:space="preserve">Total Portefeuille </t>
  </si>
  <si>
    <t xml:space="preserve">valorisation au </t>
  </si>
  <si>
    <t>Fonds Dédiées diversifiés</t>
  </si>
  <si>
    <t>Fonds Obligations</t>
  </si>
  <si>
    <t>Fonds structurés</t>
  </si>
  <si>
    <t>TAUX</t>
  </si>
  <si>
    <t>non mobilisable</t>
  </si>
  <si>
    <t>mobilisable</t>
  </si>
  <si>
    <t>PREVOYANCE</t>
  </si>
  <si>
    <t>IRCEM</t>
  </si>
  <si>
    <t>M€</t>
  </si>
  <si>
    <t>%</t>
  </si>
  <si>
    <t xml:space="preserve">Garantie en capital </t>
  </si>
  <si>
    <t>Garanti</t>
  </si>
  <si>
    <t>NON Garanti</t>
  </si>
  <si>
    <t>E/BMTN</t>
  </si>
  <si>
    <t>structurés</t>
  </si>
  <si>
    <t>RISQUE :</t>
  </si>
  <si>
    <t xml:space="preserve">émetteur </t>
  </si>
  <si>
    <t>BNP Paribas</t>
  </si>
  <si>
    <t>Exane</t>
  </si>
  <si>
    <t>risque action (strat.d'options)</t>
  </si>
  <si>
    <t>si SX5E &lt;2000</t>
  </si>
  <si>
    <t>si SX5E &gt;2000</t>
  </si>
  <si>
    <t>G</t>
  </si>
  <si>
    <t>L/S market neutral Rdmt/SX5E</t>
  </si>
  <si>
    <t>Long Short - Carry trade</t>
  </si>
  <si>
    <t>ACTIONS (euro  L.Cap)</t>
  </si>
  <si>
    <t>long SX5E à 3000/levier 2 à 2000</t>
  </si>
  <si>
    <t xml:space="preserve">EMTN structurés </t>
  </si>
  <si>
    <t>Obligations et fonds Taux</t>
  </si>
  <si>
    <t xml:space="preserve">TAUX </t>
  </si>
  <si>
    <t>SENSI</t>
  </si>
  <si>
    <t>ACTION</t>
  </si>
  <si>
    <t>ODDO IRCEM</t>
  </si>
  <si>
    <t>IRCEM Dynamique (Pro BTP)</t>
  </si>
  <si>
    <t>Monétaire mandat FGA</t>
  </si>
  <si>
    <t>treso</t>
  </si>
  <si>
    <t>Exane Crescendo 9% 2013</t>
  </si>
  <si>
    <t>GRAPHE STRAT à l'échéance</t>
  </si>
  <si>
    <t>Exane crescendo SX5E best 10% 2015</t>
  </si>
  <si>
    <t>Exane 50 GVE gdes valeurs 8% 2015</t>
  </si>
  <si>
    <t>Exane  Crescendo SPREAD 2013</t>
  </si>
  <si>
    <t>valo</t>
  </si>
  <si>
    <t>b</t>
  </si>
  <si>
    <t>mandat FGA pour l' IRCEM</t>
  </si>
  <si>
    <t>mandat</t>
  </si>
  <si>
    <t>bench</t>
  </si>
  <si>
    <t>écart</t>
  </si>
  <si>
    <r>
      <t xml:space="preserve">Risque ACTION retraité (incluant le </t>
    </r>
    <r>
      <rPr>
        <b/>
        <sz val="10"/>
        <rFont val="Symbol"/>
        <family val="1"/>
        <charset val="2"/>
      </rPr>
      <t>b</t>
    </r>
    <r>
      <rPr>
        <b/>
        <sz val="10"/>
        <rFont val="Arial"/>
        <family val="2"/>
      </rPr>
      <t xml:space="preserve"> des structurés)  :</t>
    </r>
  </si>
  <si>
    <t>EURO</t>
  </si>
  <si>
    <t xml:space="preserve"> ex- EURO</t>
  </si>
  <si>
    <t>US (SP 500)</t>
  </si>
  <si>
    <t>ASIE (MSCI Asie Pacifique)</t>
  </si>
  <si>
    <t>ETF Lyxor stxx 50</t>
  </si>
  <si>
    <t xml:space="preserve">ex EURO </t>
  </si>
  <si>
    <t>SP 500</t>
  </si>
  <si>
    <t>ASIE</t>
  </si>
  <si>
    <t>ETF Amundi MSCI</t>
  </si>
  <si>
    <t>IRCEM dynamique</t>
  </si>
  <si>
    <t>mandat externes</t>
  </si>
  <si>
    <t xml:space="preserve">STRUCTURES </t>
  </si>
  <si>
    <t>opcvm</t>
  </si>
  <si>
    <t>ODDO valeurs moyennes</t>
  </si>
  <si>
    <t>ORSAY developpement</t>
  </si>
  <si>
    <t>ESSOR Europe</t>
  </si>
  <si>
    <t>Vanguard US</t>
  </si>
  <si>
    <t>Fed North America</t>
  </si>
  <si>
    <t>Fed Amérique</t>
  </si>
  <si>
    <t>DETAIL POSITION ACTION :</t>
  </si>
  <si>
    <t>COMPOSITION de la poche Actions</t>
  </si>
  <si>
    <t>date</t>
  </si>
  <si>
    <t>expo relative</t>
  </si>
  <si>
    <t>montant  (M€)</t>
  </si>
  <si>
    <t>Objectif alpha euro</t>
  </si>
  <si>
    <t>lazard micro cap</t>
  </si>
  <si>
    <t>poids    %</t>
  </si>
  <si>
    <t xml:space="preserve">couverture marge tactique </t>
  </si>
  <si>
    <t>par ETF</t>
  </si>
  <si>
    <t>Mandarine valeur</t>
  </si>
  <si>
    <t>Federis CAC 40</t>
  </si>
  <si>
    <t>OSSIAM Min Var</t>
  </si>
  <si>
    <t>simulation</t>
  </si>
  <si>
    <t xml:space="preserve">benchmark </t>
  </si>
  <si>
    <t>du fonds</t>
  </si>
  <si>
    <t>performance 2011</t>
  </si>
  <si>
    <t xml:space="preserve">fonds </t>
  </si>
  <si>
    <t>perf.</t>
  </si>
  <si>
    <t>mandat IRCEM</t>
  </si>
  <si>
    <t>commentaire :</t>
  </si>
  <si>
    <t xml:space="preserve">ces fonds disposent d'une marge tactique importante </t>
  </si>
  <si>
    <t>Les sur expositions affichées au cours du 1er semestre</t>
  </si>
  <si>
    <t xml:space="preserve">impact </t>
  </si>
  <si>
    <t xml:space="preserve">ont été maintenues, diluées dans la baisse des marchés, </t>
  </si>
  <si>
    <t>sans rebalancement jusqu'à fin 2011.</t>
  </si>
  <si>
    <t>nota   : les gerant exterieur ont fortement reduit leur exposition en 2011(effet marché) et n'ont pas rebalancé donc sous expo subie</t>
  </si>
  <si>
    <t>mars</t>
  </si>
  <si>
    <t>FR0010317784</t>
  </si>
  <si>
    <t>FR0007056742</t>
  </si>
  <si>
    <t>FR0010291211</t>
  </si>
  <si>
    <t>FR0010509992</t>
  </si>
  <si>
    <t>FR0010510008</t>
  </si>
  <si>
    <t>FR0010561787</t>
  </si>
  <si>
    <t>FR0010605907</t>
  </si>
  <si>
    <t>Obligations</t>
  </si>
  <si>
    <t>Actions</t>
  </si>
  <si>
    <t>Bloc Risque</t>
  </si>
  <si>
    <t>Valo</t>
  </si>
</sst>
</file>

<file path=xl/styles.xml><?xml version="1.0" encoding="utf-8"?>
<styleSheet xmlns="http://schemas.openxmlformats.org/spreadsheetml/2006/main">
  <numFmts count="9">
    <numFmt numFmtId="43" formatCode="_-* #,##0.00\ _€_-;\-* #,##0.00\ _€_-;_-* &quot;-&quot;??\ _€_-;_-@_-"/>
    <numFmt numFmtId="164" formatCode="#,##0.00,;[Red]\-#,##0.00"/>
    <numFmt numFmtId="165" formatCode="#,##0.00_ ;\-#,##0.00\ "/>
    <numFmt numFmtId="166" formatCode="0.0%"/>
    <numFmt numFmtId="167" formatCode="_-* #,##0\ _€_-;\-* #,##0\ _€_-;_-* &quot;-&quot;??\ _€_-;_-@_-"/>
    <numFmt numFmtId="168" formatCode="0.0"/>
    <numFmt numFmtId="169" formatCode="_-* #,##0.0000\ _€_-;\-* #,##0.0000\ _€_-;_-* &quot;-&quot;??\ _€_-;_-@_-"/>
    <numFmt numFmtId="170" formatCode="[$-40C]d\ mmmm\ yyyy;@"/>
    <numFmt numFmtId="171" formatCode="d/m/yy;@"/>
  </numFmts>
  <fonts count="36">
    <font>
      <sz val="10"/>
      <name val="Arial"/>
    </font>
    <font>
      <sz val="10"/>
      <name val="Arial"/>
      <family val="2"/>
    </font>
    <font>
      <i/>
      <sz val="20"/>
      <color indexed="10"/>
      <name val="Arial"/>
      <family val="2"/>
    </font>
    <font>
      <sz val="8"/>
      <color indexed="81"/>
      <name val="Tahoma"/>
      <family val="2"/>
    </font>
    <font>
      <sz val="7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10"/>
      <color indexed="10"/>
      <name val="Arial"/>
      <family val="2"/>
    </font>
    <font>
      <sz val="20"/>
      <color indexed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61"/>
      <name val="Arial"/>
      <family val="2"/>
    </font>
    <font>
      <b/>
      <sz val="8"/>
      <color indexed="61"/>
      <name val="Arial"/>
      <family val="2"/>
    </font>
    <font>
      <b/>
      <sz val="10"/>
      <name val="Symbol"/>
      <family val="1"/>
      <charset val="2"/>
    </font>
    <font>
      <sz val="10"/>
      <color indexed="10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10"/>
      <color indexed="20"/>
      <name val="Arial"/>
      <family val="2"/>
    </font>
    <font>
      <sz val="8"/>
      <color indexed="20"/>
      <name val="Arial"/>
      <family val="2"/>
    </font>
    <font>
      <sz val="10"/>
      <color indexed="8"/>
      <name val="Arial"/>
      <family val="2"/>
    </font>
    <font>
      <b/>
      <sz val="7"/>
      <color indexed="61"/>
      <name val="Broadway"/>
      <family val="5"/>
    </font>
    <font>
      <b/>
      <sz val="10"/>
      <color indexed="6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9">
    <xf numFmtId="0" fontId="0" fillId="0" borderId="0" xfId="0"/>
    <xf numFmtId="0" fontId="5" fillId="0" borderId="0" xfId="0" applyFont="1"/>
    <xf numFmtId="4" fontId="0" fillId="0" borderId="0" xfId="0" applyNumberFormat="1"/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2" xfId="0" applyFont="1" applyBorder="1"/>
    <xf numFmtId="0" fontId="8" fillId="0" borderId="2" xfId="0" applyFont="1" applyBorder="1"/>
    <xf numFmtId="0" fontId="7" fillId="0" borderId="0" xfId="0" applyFont="1"/>
    <xf numFmtId="0" fontId="6" fillId="0" borderId="3" xfId="0" applyFont="1" applyBorder="1"/>
    <xf numFmtId="0" fontId="0" fillId="0" borderId="4" xfId="0" applyBorder="1"/>
    <xf numFmtId="0" fontId="0" fillId="0" borderId="5" xfId="0" applyBorder="1"/>
    <xf numFmtId="4" fontId="0" fillId="0" borderId="0" xfId="0" applyNumberFormat="1" applyBorder="1"/>
    <xf numFmtId="0" fontId="0" fillId="0" borderId="6" xfId="0" applyBorder="1"/>
    <xf numFmtId="0" fontId="9" fillId="0" borderId="4" xfId="0" applyFont="1" applyBorder="1"/>
    <xf numFmtId="0" fontId="9" fillId="0" borderId="7" xfId="0" applyFont="1" applyBorder="1"/>
    <xf numFmtId="0" fontId="5" fillId="0" borderId="8" xfId="0" applyFont="1" applyBorder="1"/>
    <xf numFmtId="43" fontId="0" fillId="0" borderId="0" xfId="1" applyFont="1"/>
    <xf numFmtId="43" fontId="7" fillId="0" borderId="0" xfId="1" applyFont="1"/>
    <xf numFmtId="0" fontId="0" fillId="0" borderId="3" xfId="0" applyBorder="1"/>
    <xf numFmtId="0" fontId="7" fillId="0" borderId="0" xfId="0" applyFont="1" applyBorder="1"/>
    <xf numFmtId="0" fontId="10" fillId="0" borderId="0" xfId="0" applyFont="1"/>
    <xf numFmtId="4" fontId="12" fillId="0" borderId="9" xfId="0" applyNumberFormat="1" applyFont="1" applyBorder="1"/>
    <xf numFmtId="0" fontId="7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9" fontId="7" fillId="0" borderId="0" xfId="2" applyFont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10" xfId="0" applyBorder="1"/>
    <xf numFmtId="9" fontId="0" fillId="0" borderId="0" xfId="2" applyFont="1" applyBorder="1" applyAlignment="1">
      <alignment horizontal="center"/>
    </xf>
    <xf numFmtId="168" fontId="0" fillId="0" borderId="12" xfId="0" applyNumberFormat="1" applyBorder="1"/>
    <xf numFmtId="0" fontId="5" fillId="0" borderId="13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right" vertical="center" wrapText="1"/>
    </xf>
    <xf numFmtId="9" fontId="0" fillId="0" borderId="17" xfId="2" applyFont="1" applyBorder="1" applyAlignment="1">
      <alignment horizontal="center"/>
    </xf>
    <xf numFmtId="0" fontId="0" fillId="0" borderId="16" xfId="0" applyBorder="1" applyAlignment="1">
      <alignment horizontal="right"/>
    </xf>
    <xf numFmtId="0" fontId="0" fillId="0" borderId="16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7" xfId="0" applyBorder="1"/>
    <xf numFmtId="0" fontId="0" fillId="0" borderId="19" xfId="0" applyBorder="1"/>
    <xf numFmtId="9" fontId="0" fillId="0" borderId="17" xfId="2" applyFont="1" applyBorder="1"/>
    <xf numFmtId="168" fontId="0" fillId="0" borderId="21" xfId="0" applyNumberFormat="1" applyBorder="1"/>
    <xf numFmtId="9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9" fontId="0" fillId="0" borderId="0" xfId="2" applyFont="1" applyBorder="1"/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9" fontId="7" fillId="0" borderId="10" xfId="2" applyFont="1" applyBorder="1" applyAlignment="1">
      <alignment horizontal="center"/>
    </xf>
    <xf numFmtId="0" fontId="0" fillId="0" borderId="0" xfId="0" applyFill="1" applyBorder="1"/>
    <xf numFmtId="4" fontId="7" fillId="0" borderId="0" xfId="0" applyNumberFormat="1" applyFont="1" applyFill="1" applyBorder="1"/>
    <xf numFmtId="0" fontId="0" fillId="0" borderId="24" xfId="0" applyBorder="1" applyAlignment="1">
      <alignment horizontal="center"/>
    </xf>
    <xf numFmtId="0" fontId="7" fillId="0" borderId="17" xfId="0" applyFont="1" applyBorder="1"/>
    <xf numFmtId="0" fontId="7" fillId="0" borderId="16" xfId="0" applyFont="1" applyBorder="1"/>
    <xf numFmtId="9" fontId="5" fillId="0" borderId="23" xfId="0" applyNumberFormat="1" applyFont="1" applyBorder="1"/>
    <xf numFmtId="9" fontId="0" fillId="0" borderId="29" xfId="2" applyFont="1" applyBorder="1"/>
    <xf numFmtId="0" fontId="0" fillId="0" borderId="30" xfId="0" applyBorder="1"/>
    <xf numFmtId="43" fontId="0" fillId="0" borderId="0" xfId="1" applyFont="1" applyAlignment="1">
      <alignment horizontal="center" vertical="center" wrapText="1"/>
    </xf>
    <xf numFmtId="0" fontId="0" fillId="0" borderId="31" xfId="0" applyBorder="1"/>
    <xf numFmtId="0" fontId="7" fillId="0" borderId="0" xfId="0" applyFont="1" applyFill="1" applyBorder="1"/>
    <xf numFmtId="9" fontId="5" fillId="0" borderId="12" xfId="2" applyNumberFormat="1" applyFont="1" applyFill="1" applyBorder="1"/>
    <xf numFmtId="9" fontId="13" fillId="0" borderId="0" xfId="2" applyFont="1" applyFill="1"/>
    <xf numFmtId="9" fontId="13" fillId="0" borderId="10" xfId="2" applyFont="1" applyFill="1" applyBorder="1"/>
    <xf numFmtId="0" fontId="0" fillId="0" borderId="16" xfId="0" applyFill="1" applyBorder="1" applyAlignment="1">
      <alignment horizontal="right"/>
    </xf>
    <xf numFmtId="168" fontId="0" fillId="0" borderId="2" xfId="0" applyNumberFormat="1" applyFill="1" applyBorder="1" applyAlignment="1">
      <alignment horizontal="center"/>
    </xf>
    <xf numFmtId="4" fontId="13" fillId="0" borderId="2" xfId="0" applyNumberFormat="1" applyFont="1" applyFill="1" applyBorder="1"/>
    <xf numFmtId="9" fontId="5" fillId="0" borderId="12" xfId="0" applyNumberFormat="1" applyFont="1" applyFill="1" applyBorder="1"/>
    <xf numFmtId="0" fontId="0" fillId="0" borderId="18" xfId="0" applyFill="1" applyBorder="1"/>
    <xf numFmtId="168" fontId="0" fillId="0" borderId="21" xfId="0" applyNumberFormat="1" applyFill="1" applyBorder="1" applyAlignment="1">
      <alignment horizontal="center"/>
    </xf>
    <xf numFmtId="0" fontId="0" fillId="0" borderId="0" xfId="0" applyFill="1"/>
    <xf numFmtId="0" fontId="5" fillId="0" borderId="32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left"/>
    </xf>
    <xf numFmtId="0" fontId="0" fillId="0" borderId="24" xfId="0" applyFill="1" applyBorder="1"/>
    <xf numFmtId="0" fontId="13" fillId="0" borderId="0" xfId="0" applyFont="1" applyFill="1"/>
    <xf numFmtId="0" fontId="13" fillId="0" borderId="10" xfId="0" applyFont="1" applyFill="1" applyBorder="1"/>
    <xf numFmtId="0" fontId="6" fillId="0" borderId="33" xfId="0" applyFont="1" applyFill="1" applyBorder="1" applyAlignment="1">
      <alignment horizontal="left"/>
    </xf>
    <xf numFmtId="10" fontId="5" fillId="0" borderId="8" xfId="2" applyNumberFormat="1" applyFont="1" applyFill="1" applyBorder="1"/>
    <xf numFmtId="0" fontId="5" fillId="0" borderId="0" xfId="0" applyFont="1" applyFill="1"/>
    <xf numFmtId="0" fontId="0" fillId="0" borderId="10" xfId="0" applyFill="1" applyBorder="1"/>
    <xf numFmtId="9" fontId="5" fillId="0" borderId="11" xfId="2" applyFont="1" applyFill="1" applyBorder="1"/>
    <xf numFmtId="4" fontId="0" fillId="0" borderId="0" xfId="0" applyNumberFormat="1" applyFill="1" applyBorder="1"/>
    <xf numFmtId="9" fontId="5" fillId="0" borderId="12" xfId="2" applyFont="1" applyFill="1" applyBorder="1"/>
    <xf numFmtId="9" fontId="5" fillId="0" borderId="8" xfId="2" applyFont="1" applyFill="1" applyBorder="1"/>
    <xf numFmtId="0" fontId="5" fillId="0" borderId="11" xfId="0" applyFont="1" applyFill="1" applyBorder="1"/>
    <xf numFmtId="0" fontId="5" fillId="0" borderId="12" xfId="0" applyFont="1" applyFill="1" applyBorder="1"/>
    <xf numFmtId="0" fontId="13" fillId="0" borderId="0" xfId="0" applyFont="1" applyFill="1" applyBorder="1"/>
    <xf numFmtId="9" fontId="5" fillId="0" borderId="2" xfId="2" applyNumberFormat="1" applyFont="1" applyFill="1" applyBorder="1"/>
    <xf numFmtId="164" fontId="5" fillId="0" borderId="0" xfId="0" applyNumberFormat="1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/>
    <xf numFmtId="0" fontId="13" fillId="0" borderId="0" xfId="0" applyFont="1" applyBorder="1"/>
    <xf numFmtId="9" fontId="5" fillId="0" borderId="0" xfId="0" applyNumberFormat="1" applyFont="1" applyBorder="1"/>
    <xf numFmtId="9" fontId="5" fillId="0" borderId="0" xfId="2" applyNumberFormat="1" applyFont="1" applyFill="1" applyBorder="1"/>
    <xf numFmtId="9" fontId="5" fillId="0" borderId="0" xfId="0" applyNumberFormat="1" applyFont="1" applyFill="1" applyBorder="1"/>
    <xf numFmtId="10" fontId="5" fillId="0" borderId="0" xfId="2" applyNumberFormat="1" applyFont="1" applyFill="1" applyBorder="1"/>
    <xf numFmtId="9" fontId="5" fillId="0" borderId="0" xfId="2" applyFont="1" applyFill="1" applyBorder="1"/>
    <xf numFmtId="0" fontId="5" fillId="0" borderId="0" xfId="0" applyFont="1" applyFill="1" applyBorder="1"/>
    <xf numFmtId="4" fontId="13" fillId="0" borderId="1" xfId="0" applyNumberFormat="1" applyFont="1" applyFill="1" applyBorder="1"/>
    <xf numFmtId="0" fontId="7" fillId="0" borderId="2" xfId="0" applyFont="1" applyBorder="1" applyAlignment="1">
      <alignment horizontal="right"/>
    </xf>
    <xf numFmtId="2" fontId="0" fillId="0" borderId="0" xfId="2" applyNumberFormat="1" applyFont="1"/>
    <xf numFmtId="10" fontId="13" fillId="0" borderId="0" xfId="2" applyNumberFormat="1" applyFont="1" applyFill="1" applyBorder="1"/>
    <xf numFmtId="166" fontId="5" fillId="0" borderId="0" xfId="2" applyNumberFormat="1" applyFont="1" applyBorder="1" applyAlignment="1">
      <alignment horizontal="center"/>
    </xf>
    <xf numFmtId="4" fontId="13" fillId="0" borderId="0" xfId="0" applyNumberFormat="1" applyFont="1" applyFill="1" applyBorder="1"/>
    <xf numFmtId="43" fontId="0" fillId="0" borderId="2" xfId="1" applyFont="1" applyBorder="1" applyAlignment="1"/>
    <xf numFmtId="0" fontId="0" fillId="0" borderId="0" xfId="0" applyBorder="1" applyAlignment="1">
      <alignment horizontal="right"/>
    </xf>
    <xf numFmtId="0" fontId="13" fillId="0" borderId="16" xfId="0" applyFont="1" applyFill="1" applyBorder="1"/>
    <xf numFmtId="0" fontId="13" fillId="0" borderId="16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23" xfId="0" applyBorder="1" applyAlignment="1">
      <alignment horizontal="center"/>
    </xf>
    <xf numFmtId="168" fontId="0" fillId="0" borderId="0" xfId="0" applyNumberFormat="1" applyBorder="1"/>
    <xf numFmtId="4" fontId="0" fillId="0" borderId="0" xfId="0" applyNumberFormat="1" applyFill="1"/>
    <xf numFmtId="4" fontId="13" fillId="0" borderId="29" xfId="0" applyNumberFormat="1" applyFont="1" applyFill="1" applyBorder="1"/>
    <xf numFmtId="4" fontId="0" fillId="0" borderId="34" xfId="0" applyNumberFormat="1" applyFill="1" applyBorder="1"/>
    <xf numFmtId="4" fontId="5" fillId="0" borderId="0" xfId="0" applyNumberFormat="1" applyFont="1" applyFill="1" applyBorder="1"/>
    <xf numFmtId="43" fontId="5" fillId="0" borderId="0" xfId="1" applyFont="1" applyFill="1" applyBorder="1"/>
    <xf numFmtId="169" fontId="5" fillId="0" borderId="0" xfId="1" applyNumberFormat="1" applyFont="1" applyFill="1" applyBorder="1"/>
    <xf numFmtId="169" fontId="5" fillId="0" borderId="0" xfId="0" applyNumberFormat="1" applyFont="1" applyFill="1"/>
    <xf numFmtId="43" fontId="5" fillId="0" borderId="0" xfId="1" applyFont="1" applyFill="1"/>
    <xf numFmtId="4" fontId="5" fillId="0" borderId="23" xfId="0" applyNumberFormat="1" applyFont="1" applyFill="1" applyBorder="1"/>
    <xf numFmtId="10" fontId="5" fillId="0" borderId="0" xfId="1" applyNumberFormat="1" applyFont="1" applyFill="1" applyBorder="1"/>
    <xf numFmtId="4" fontId="5" fillId="0" borderId="3" xfId="0" applyNumberFormat="1" applyFont="1" applyFill="1" applyBorder="1"/>
    <xf numFmtId="165" fontId="5" fillId="0" borderId="9" xfId="1" applyNumberFormat="1" applyFont="1" applyFill="1" applyBorder="1"/>
    <xf numFmtId="0" fontId="6" fillId="0" borderId="2" xfId="0" applyFont="1" applyBorder="1" applyAlignment="1">
      <alignment horizontal="right"/>
    </xf>
    <xf numFmtId="170" fontId="7" fillId="0" borderId="3" xfId="0" applyNumberFormat="1" applyFont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7" fillId="0" borderId="18" xfId="0" applyFont="1" applyBorder="1"/>
    <xf numFmtId="0" fontId="7" fillId="0" borderId="23" xfId="0" applyFont="1" applyBorder="1"/>
    <xf numFmtId="0" fontId="7" fillId="0" borderId="19" xfId="0" applyFont="1" applyBorder="1"/>
    <xf numFmtId="0" fontId="18" fillId="0" borderId="24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10" fontId="19" fillId="2" borderId="35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9" fontId="5" fillId="0" borderId="0" xfId="2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0" xfId="0" applyFont="1" applyAlignment="1">
      <alignment horizontal="center"/>
    </xf>
    <xf numFmtId="0" fontId="22" fillId="0" borderId="36" xfId="0" applyFont="1" applyFill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10" fontId="7" fillId="0" borderId="0" xfId="0" applyNumberFormat="1" applyFont="1" applyBorder="1"/>
    <xf numFmtId="10" fontId="9" fillId="0" borderId="0" xfId="0" applyNumberFormat="1" applyFont="1" applyBorder="1"/>
    <xf numFmtId="166" fontId="5" fillId="0" borderId="17" xfId="2" applyNumberFormat="1" applyFont="1" applyBorder="1" applyAlignment="1">
      <alignment horizontal="center"/>
    </xf>
    <xf numFmtId="0" fontId="0" fillId="0" borderId="37" xfId="0" applyBorder="1"/>
    <xf numFmtId="166" fontId="21" fillId="2" borderId="35" xfId="2" applyNumberFormat="1" applyFont="1" applyFill="1" applyBorder="1" applyAlignment="1">
      <alignment horizontal="center"/>
    </xf>
    <xf numFmtId="10" fontId="19" fillId="2" borderId="29" xfId="0" applyNumberFormat="1" applyFont="1" applyFill="1" applyBorder="1" applyAlignment="1">
      <alignment horizontal="center"/>
    </xf>
    <xf numFmtId="10" fontId="19" fillId="2" borderId="36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10" fontId="17" fillId="0" borderId="0" xfId="0" applyNumberFormat="1" applyFont="1" applyBorder="1" applyAlignment="1">
      <alignment horizontal="center"/>
    </xf>
    <xf numFmtId="10" fontId="29" fillId="0" borderId="0" xfId="2" applyNumberFormat="1" applyFont="1" applyFill="1" applyBorder="1"/>
    <xf numFmtId="167" fontId="1" fillId="0" borderId="31" xfId="1" applyNumberFormat="1" applyFont="1" applyBorder="1" applyAlignment="1">
      <alignment horizontal="center"/>
    </xf>
    <xf numFmtId="0" fontId="9" fillId="0" borderId="24" xfId="0" applyFont="1" applyBorder="1"/>
    <xf numFmtId="43" fontId="17" fillId="0" borderId="24" xfId="1" applyFont="1" applyBorder="1"/>
    <xf numFmtId="0" fontId="17" fillId="0" borderId="16" xfId="0" applyFont="1" applyBorder="1" applyAlignment="1">
      <alignment horizontal="center"/>
    </xf>
    <xf numFmtId="9" fontId="17" fillId="0" borderId="0" xfId="2" applyFont="1" applyBorder="1"/>
    <xf numFmtId="10" fontId="17" fillId="0" borderId="16" xfId="2" applyNumberFormat="1" applyFont="1" applyBorder="1" applyAlignment="1">
      <alignment horizontal="center"/>
    </xf>
    <xf numFmtId="10" fontId="27" fillId="0" borderId="16" xfId="2" applyNumberFormat="1" applyFont="1" applyBorder="1" applyAlignment="1">
      <alignment horizontal="center"/>
    </xf>
    <xf numFmtId="0" fontId="17" fillId="0" borderId="16" xfId="0" applyFont="1" applyBorder="1" applyAlignment="1">
      <alignment horizontal="left"/>
    </xf>
    <xf numFmtId="9" fontId="28" fillId="0" borderId="0" xfId="2" applyFont="1" applyBorder="1" applyAlignment="1">
      <alignment horizontal="left"/>
    </xf>
    <xf numFmtId="10" fontId="17" fillId="0" borderId="16" xfId="0" applyNumberFormat="1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24" xfId="0" applyFont="1" applyFill="1" applyBorder="1" applyAlignment="1">
      <alignment horizontal="center"/>
    </xf>
    <xf numFmtId="0" fontId="13" fillId="0" borderId="24" xfId="0" applyFont="1" applyFill="1" applyBorder="1"/>
    <xf numFmtId="0" fontId="13" fillId="0" borderId="1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5" fillId="0" borderId="16" xfId="0" applyFont="1" applyBorder="1" applyAlignment="1">
      <alignment horizontal="left"/>
    </xf>
    <xf numFmtId="10" fontId="9" fillId="0" borderId="17" xfId="0" applyNumberFormat="1" applyFont="1" applyBorder="1"/>
    <xf numFmtId="166" fontId="13" fillId="0" borderId="0" xfId="0" applyNumberFormat="1" applyFont="1" applyBorder="1" applyAlignment="1">
      <alignment horizontal="center"/>
    </xf>
    <xf numFmtId="166" fontId="13" fillId="0" borderId="0" xfId="0" applyNumberFormat="1" applyFont="1" applyBorder="1" applyAlignment="1">
      <alignment horizontal="center" vertical="center" wrapText="1"/>
    </xf>
    <xf numFmtId="0" fontId="20" fillId="0" borderId="17" xfId="0" applyFont="1" applyBorder="1"/>
    <xf numFmtId="0" fontId="5" fillId="0" borderId="16" xfId="0" applyFont="1" applyBorder="1" applyAlignment="1">
      <alignment horizontal="left" vertical="center" wrapText="1"/>
    </xf>
    <xf numFmtId="10" fontId="26" fillId="0" borderId="17" xfId="0" applyNumberFormat="1" applyFont="1" applyBorder="1"/>
    <xf numFmtId="9" fontId="4" fillId="0" borderId="23" xfId="0" applyNumberFormat="1" applyFont="1" applyBorder="1" applyAlignment="1">
      <alignment horizontal="center"/>
    </xf>
    <xf numFmtId="10" fontId="26" fillId="0" borderId="19" xfId="0" applyNumberFormat="1" applyFont="1" applyBorder="1"/>
    <xf numFmtId="14" fontId="0" fillId="0" borderId="0" xfId="0" applyNumberFormat="1"/>
    <xf numFmtId="166" fontId="0" fillId="0" borderId="0" xfId="2" applyNumberFormat="1" applyFont="1"/>
    <xf numFmtId="171" fontId="0" fillId="0" borderId="0" xfId="0" applyNumberFormat="1"/>
    <xf numFmtId="9" fontId="0" fillId="0" borderId="0" xfId="0" applyNumberFormat="1"/>
    <xf numFmtId="0" fontId="0" fillId="0" borderId="38" xfId="0" applyBorder="1"/>
    <xf numFmtId="2" fontId="5" fillId="0" borderId="0" xfId="0" applyNumberFormat="1" applyFont="1" applyBorder="1"/>
    <xf numFmtId="0" fontId="0" fillId="0" borderId="17" xfId="0" applyBorder="1" applyAlignment="1">
      <alignment horizontal="center" vertical="center" wrapText="1"/>
    </xf>
    <xf numFmtId="166" fontId="0" fillId="0" borderId="17" xfId="2" applyNumberFormat="1" applyFont="1" applyBorder="1"/>
    <xf numFmtId="43" fontId="0" fillId="0" borderId="0" xfId="1" applyFont="1" applyBorder="1"/>
    <xf numFmtId="0" fontId="0" fillId="0" borderId="0" xfId="0" applyBorder="1" applyAlignment="1">
      <alignment horizontal="center" vertical="center" wrapText="1"/>
    </xf>
    <xf numFmtId="2" fontId="1" fillId="0" borderId="0" xfId="0" applyNumberFormat="1" applyFont="1" applyBorder="1"/>
    <xf numFmtId="4" fontId="29" fillId="0" borderId="2" xfId="0" applyNumberFormat="1" applyFont="1" applyFill="1" applyBorder="1"/>
    <xf numFmtId="4" fontId="30" fillId="0" borderId="2" xfId="0" applyNumberFormat="1" applyFont="1" applyFill="1" applyBorder="1"/>
    <xf numFmtId="4" fontId="32" fillId="0" borderId="0" xfId="0" applyNumberFormat="1" applyFont="1" applyFill="1" applyBorder="1"/>
    <xf numFmtId="2" fontId="0" fillId="0" borderId="0" xfId="0" applyNumberFormat="1"/>
    <xf numFmtId="0" fontId="21" fillId="0" borderId="0" xfId="0" applyFont="1"/>
    <xf numFmtId="10" fontId="31" fillId="0" borderId="0" xfId="0" applyNumberFormat="1" applyFont="1" applyFill="1" applyBorder="1"/>
    <xf numFmtId="10" fontId="31" fillId="0" borderId="0" xfId="0" applyNumberFormat="1" applyFont="1" applyBorder="1"/>
    <xf numFmtId="10" fontId="31" fillId="0" borderId="0" xfId="0" applyNumberFormat="1" applyFont="1" applyBorder="1" applyAlignment="1">
      <alignment horizontal="right"/>
    </xf>
    <xf numFmtId="9" fontId="1" fillId="0" borderId="0" xfId="2" applyFont="1" applyBorder="1" applyAlignment="1">
      <alignment horizontal="left"/>
    </xf>
    <xf numFmtId="0" fontId="0" fillId="0" borderId="29" xfId="0" applyBorder="1"/>
    <xf numFmtId="166" fontId="0" fillId="0" borderId="29" xfId="2" applyNumberFormat="1" applyFont="1" applyBorder="1"/>
    <xf numFmtId="0" fontId="1" fillId="0" borderId="0" xfId="0" applyFont="1"/>
    <xf numFmtId="10" fontId="31" fillId="0" borderId="0" xfId="2" applyNumberFormat="1" applyFont="1" applyBorder="1"/>
    <xf numFmtId="10" fontId="4" fillId="0" borderId="23" xfId="0" applyNumberFormat="1" applyFont="1" applyBorder="1" applyAlignment="1">
      <alignment horizontal="center"/>
    </xf>
    <xf numFmtId="170" fontId="5" fillId="0" borderId="36" xfId="0" applyNumberFormat="1" applyFont="1" applyBorder="1" applyAlignment="1">
      <alignment horizontal="center" vertical="center"/>
    </xf>
    <xf numFmtId="166" fontId="31" fillId="0" borderId="0" xfId="0" applyNumberFormat="1" applyFont="1" applyBorder="1" applyAlignment="1">
      <alignment horizontal="center"/>
    </xf>
    <xf numFmtId="166" fontId="31" fillId="0" borderId="0" xfId="0" applyNumberFormat="1" applyFont="1" applyBorder="1"/>
    <xf numFmtId="43" fontId="0" fillId="0" borderId="23" xfId="1" applyFont="1" applyBorder="1"/>
    <xf numFmtId="2" fontId="5" fillId="0" borderId="23" xfId="0" applyNumberFormat="1" applyFont="1" applyBorder="1"/>
    <xf numFmtId="166" fontId="0" fillId="0" borderId="19" xfId="2" applyNumberFormat="1" applyFont="1" applyBorder="1"/>
    <xf numFmtId="9" fontId="28" fillId="0" borderId="0" xfId="2" applyNumberFormat="1" applyFont="1" applyBorder="1" applyAlignment="1">
      <alignment horizontal="left"/>
    </xf>
    <xf numFmtId="164" fontId="5" fillId="0" borderId="0" xfId="0" applyNumberFormat="1" applyFont="1" applyFill="1" applyAlignment="1">
      <alignment vertical="center"/>
    </xf>
    <xf numFmtId="16" fontId="24" fillId="0" borderId="0" xfId="0" applyNumberFormat="1" applyFont="1" applyBorder="1" applyAlignment="1">
      <alignment horizontal="center"/>
    </xf>
    <xf numFmtId="0" fontId="33" fillId="0" borderId="0" xfId="0" applyFont="1"/>
    <xf numFmtId="0" fontId="0" fillId="0" borderId="34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0" fontId="7" fillId="0" borderId="39" xfId="0" applyFont="1" applyBorder="1" applyAlignment="1">
      <alignment horizontal="right"/>
    </xf>
    <xf numFmtId="0" fontId="0" fillId="0" borderId="9" xfId="0" applyFill="1" applyBorder="1" applyAlignment="1">
      <alignment horizontal="center"/>
    </xf>
    <xf numFmtId="2" fontId="19" fillId="0" borderId="0" xfId="0" applyNumberFormat="1" applyFont="1" applyBorder="1"/>
    <xf numFmtId="0" fontId="34" fillId="0" borderId="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Fill="1" applyBorder="1" applyAlignment="1">
      <alignment horizontal="center"/>
    </xf>
    <xf numFmtId="0" fontId="35" fillId="3" borderId="36" xfId="0" applyFont="1" applyFill="1" applyBorder="1" applyAlignment="1">
      <alignment horizontal="center" vertical="center"/>
    </xf>
    <xf numFmtId="0" fontId="23" fillId="0" borderId="0" xfId="0" applyFont="1"/>
    <xf numFmtId="0" fontId="23" fillId="0" borderId="10" xfId="0" applyFont="1" applyBorder="1"/>
    <xf numFmtId="0" fontId="23" fillId="0" borderId="17" xfId="0" applyFont="1" applyBorder="1"/>
    <xf numFmtId="0" fontId="0" fillId="0" borderId="40" xfId="0" applyBorder="1"/>
    <xf numFmtId="0" fontId="2" fillId="0" borderId="0" xfId="0" applyFont="1" applyFill="1"/>
    <xf numFmtId="0" fontId="6" fillId="0" borderId="31" xfId="0" applyFont="1" applyBorder="1"/>
    <xf numFmtId="0" fontId="7" fillId="0" borderId="16" xfId="0" applyFont="1" applyBorder="1" applyAlignment="1">
      <alignment horizontal="right"/>
    </xf>
    <xf numFmtId="4" fontId="0" fillId="0" borderId="17" xfId="0" applyNumberFormat="1" applyBorder="1"/>
    <xf numFmtId="0" fontId="6" fillId="0" borderId="16" xfId="0" applyFont="1" applyBorder="1"/>
    <xf numFmtId="0" fontId="6" fillId="0" borderId="18" xfId="0" applyFont="1" applyBorder="1"/>
    <xf numFmtId="0" fontId="0" fillId="0" borderId="26" xfId="0" applyBorder="1"/>
    <xf numFmtId="0" fontId="0" fillId="0" borderId="27" xfId="0" applyBorder="1"/>
    <xf numFmtId="4" fontId="0" fillId="0" borderId="28" xfId="0" applyNumberFormat="1" applyBorder="1"/>
    <xf numFmtId="0" fontId="0" fillId="0" borderId="28" xfId="0" applyBorder="1"/>
    <xf numFmtId="10" fontId="0" fillId="0" borderId="0" xfId="2" applyNumberFormat="1" applyFont="1" applyBorder="1"/>
    <xf numFmtId="0" fontId="7" fillId="0" borderId="31" xfId="0" applyFont="1" applyBorder="1" applyAlignment="1">
      <alignment horizontal="right"/>
    </xf>
    <xf numFmtId="4" fontId="0" fillId="0" borderId="19" xfId="0" applyNumberFormat="1" applyBorder="1"/>
    <xf numFmtId="4" fontId="0" fillId="0" borderId="29" xfId="0" applyNumberFormat="1" applyBorder="1"/>
    <xf numFmtId="10" fontId="0" fillId="0" borderId="29" xfId="0" applyNumberFormat="1" applyBorder="1"/>
    <xf numFmtId="4" fontId="5" fillId="0" borderId="0" xfId="0" applyNumberFormat="1" applyFont="1" applyBorder="1"/>
    <xf numFmtId="0" fontId="25" fillId="0" borderId="17" xfId="0" applyFont="1" applyBorder="1"/>
    <xf numFmtId="10" fontId="0" fillId="0" borderId="0" xfId="0" applyNumberFormat="1" applyBorder="1"/>
    <xf numFmtId="0" fontId="31" fillId="5" borderId="0" xfId="0" applyFont="1" applyFill="1" applyBorder="1" applyAlignment="1">
      <alignment horizontal="center"/>
    </xf>
    <xf numFmtId="166" fontId="19" fillId="5" borderId="29" xfId="2" applyNumberFormat="1" applyFont="1" applyFill="1" applyBorder="1" applyAlignment="1">
      <alignment horizontal="center"/>
    </xf>
    <xf numFmtId="166" fontId="22" fillId="5" borderId="0" xfId="0" applyNumberFormat="1" applyFont="1" applyFill="1" applyBorder="1" applyAlignment="1">
      <alignment horizontal="center"/>
    </xf>
    <xf numFmtId="166" fontId="22" fillId="5" borderId="0" xfId="0" applyNumberFormat="1" applyFont="1" applyFill="1" applyBorder="1" applyAlignment="1">
      <alignment horizontal="center" vertical="center" wrapText="1"/>
    </xf>
    <xf numFmtId="166" fontId="31" fillId="5" borderId="0" xfId="0" applyNumberFormat="1" applyFont="1" applyFill="1" applyBorder="1" applyAlignment="1">
      <alignment horizontal="center"/>
    </xf>
    <xf numFmtId="168" fontId="0" fillId="5" borderId="11" xfId="0" applyNumberFormat="1" applyFill="1" applyBorder="1"/>
    <xf numFmtId="0" fontId="0" fillId="5" borderId="0" xfId="0" applyFill="1" applyBorder="1" applyAlignment="1">
      <alignment horizontal="center"/>
    </xf>
    <xf numFmtId="2" fontId="1" fillId="5" borderId="0" xfId="0" applyNumberFormat="1" applyFont="1" applyFill="1" applyBorder="1"/>
    <xf numFmtId="2" fontId="31" fillId="5" borderId="0" xfId="0" applyNumberFormat="1" applyFont="1" applyFill="1" applyBorder="1"/>
    <xf numFmtId="0" fontId="6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164" fontId="5" fillId="0" borderId="31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/>
    </xf>
    <xf numFmtId="164" fontId="16" fillId="0" borderId="18" xfId="0" applyNumberFormat="1" applyFont="1" applyBorder="1" applyAlignment="1">
      <alignment horizontal="center" vertical="center"/>
    </xf>
    <xf numFmtId="164" fontId="16" fillId="0" borderId="19" xfId="0" applyNumberFormat="1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34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164" fontId="16" fillId="0" borderId="6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164" fontId="16" fillId="0" borderId="8" xfId="0" applyNumberFormat="1" applyFont="1" applyBorder="1" applyAlignment="1">
      <alignment horizontal="center" vertical="center"/>
    </xf>
    <xf numFmtId="10" fontId="19" fillId="4" borderId="24" xfId="0" applyNumberFormat="1" applyFont="1" applyFill="1" applyBorder="1" applyAlignment="1">
      <alignment horizontal="center" vertical="center"/>
    </xf>
    <xf numFmtId="10" fontId="19" fillId="4" borderId="0" xfId="0" applyNumberFormat="1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3">
    <cellStyle name="Milliers" xfId="1" builtinId="3"/>
    <cellStyle name="Normal" xfId="0" builtinId="0"/>
    <cellStyle name="Pourcentage" xfId="2" builtinId="5"/>
  </cellStyles>
  <dxfs count="3"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Répartition du portefeuille</a:t>
            </a:r>
          </a:p>
        </c:rich>
      </c:tx>
      <c:layout/>
      <c:spPr>
        <a:noFill/>
        <a:ln w="25400">
          <a:noFill/>
        </a:ln>
      </c:spPr>
    </c:title>
    <c:view3D>
      <c:perspective val="0"/>
    </c:view3D>
    <c:plotArea>
      <c:layout/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43"/>
          <c:dPt>
            <c:idx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layout/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4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fr-FR"/>
                </a:p>
              </c:txPr>
              <c:dLblPos val="bestFit"/>
              <c:showPercent val="1"/>
            </c:dLbl>
            <c:dLbl>
              <c:idx val="1"/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4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fr-FR"/>
                </a:p>
              </c:txPr>
              <c:dLblPos val="bestFit"/>
              <c:showPercent val="1"/>
            </c:dLbl>
            <c:numFmt formatCode="0.0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 algn="ctr" rtl="1">
                  <a:defRPr sz="7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fr-FR"/>
              </a:p>
            </c:txPr>
            <c:showPercent val="1"/>
            <c:showLeaderLines val="1"/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</c:pie3DChart>
      <c:spPr>
        <a:noFill/>
        <a:ln w="25400">
          <a:noFill/>
        </a:ln>
      </c:spPr>
    </c:plotArea>
    <c:legend>
      <c:legendPos val="r"/>
      <c:layout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078" footer="0.49212598450000078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>
        <c:manualLayout>
          <c:layoutTarget val="inner"/>
          <c:xMode val="edge"/>
          <c:yMode val="edge"/>
          <c:x val="0.12837837837837837"/>
          <c:y val="0.13480885311871227"/>
          <c:w val="0.77297297297297363"/>
          <c:h val="0.71830985915492962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fr-FR"/>
              </a:p>
            </c:txPr>
            <c:showVal val="1"/>
          </c:dLbls>
          <c:cat>
            <c:numRef>
              <c:f>'Report PREV'!$AM$30:$AM$46</c:f>
              <c:numCache>
                <c:formatCode>dd/mm/yyyy</c:formatCode>
                <c:ptCount val="17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</c:numCache>
            </c:numRef>
          </c:cat>
          <c:val>
            <c:numRef>
              <c:f>'Report PREV'!$AN$30:$AN$46</c:f>
              <c:numCache>
                <c:formatCode>0.0%</c:formatCode>
                <c:ptCount val="17"/>
                <c:pt idx="0" formatCode="0%">
                  <c:v>0.04</c:v>
                </c:pt>
                <c:pt idx="1">
                  <c:v>3.5000000000000003E-2</c:v>
                </c:pt>
                <c:pt idx="2">
                  <c:v>1.9E-2</c:v>
                </c:pt>
                <c:pt idx="3">
                  <c:v>1.7999999999999999E-2</c:v>
                </c:pt>
                <c:pt idx="4">
                  <c:v>0.03</c:v>
                </c:pt>
                <c:pt idx="5">
                  <c:v>3.3000000000000002E-2</c:v>
                </c:pt>
                <c:pt idx="6">
                  <c:v>4.4999999999999998E-2</c:v>
                </c:pt>
                <c:pt idx="7">
                  <c:v>0.04</c:v>
                </c:pt>
                <c:pt idx="8">
                  <c:v>5.0000000000000001E-3</c:v>
                </c:pt>
                <c:pt idx="9">
                  <c:v>1.3999999999999999E-2</c:v>
                </c:pt>
                <c:pt idx="10">
                  <c:v>5.0000000000000001E-3</c:v>
                </c:pt>
                <c:pt idx="11">
                  <c:v>6.0000000000000001E-3</c:v>
                </c:pt>
                <c:pt idx="12">
                  <c:v>-2E-3</c:v>
                </c:pt>
                <c:pt idx="13">
                  <c:v>8.0000000000000002E-3</c:v>
                </c:pt>
                <c:pt idx="14">
                  <c:v>1.2E-2</c:v>
                </c:pt>
                <c:pt idx="15">
                  <c:v>2.4E-2</c:v>
                </c:pt>
                <c:pt idx="16">
                  <c:v>1.4999999999999999E-2</c:v>
                </c:pt>
              </c:numCache>
            </c:numRef>
          </c:val>
        </c:ser>
        <c:dLbls>
          <c:showVal val="1"/>
        </c:dLbls>
        <c:gapWidth val="90"/>
        <c:overlap val="100"/>
        <c:axId val="137067136"/>
        <c:axId val="137093504"/>
      </c:barChart>
      <c:dateAx>
        <c:axId val="137067136"/>
        <c:scaling>
          <c:orientation val="minMax"/>
        </c:scaling>
        <c:axPos val="b"/>
        <c:numFmt formatCode="mmm\-yy" sourceLinked="0"/>
        <c:tickLblPos val="low"/>
        <c:spPr>
          <a:ln w="25400">
            <a:solidFill>
              <a:srgbClr val="0000FF"/>
            </a:solidFill>
            <a:prstDash val="solid"/>
          </a:ln>
        </c:spPr>
        <c:txPr>
          <a:bodyPr rot="1980000" vert="horz"/>
          <a:lstStyle/>
          <a:p>
            <a:pPr>
              <a:defRPr sz="1200" b="1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709350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37093504"/>
        <c:scaling>
          <c:orientation val="minMax"/>
          <c:max val="0.05"/>
          <c:min val="-3.0000000000000002E-2"/>
        </c:scaling>
        <c:axPos val="l"/>
        <c:numFmt formatCode="0.0%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7067136"/>
        <c:crosses val="autoZero"/>
        <c:crossBetween val="between"/>
      </c:valAx>
      <c:spPr>
        <a:solidFill>
          <a:srgbClr val="FFFFFF"/>
        </a:solidFill>
        <a:ln w="12700">
          <a:solidFill>
            <a:srgbClr val="FFFFCC"/>
          </a:solidFill>
          <a:prstDash val="solid"/>
        </a:ln>
      </c:spPr>
    </c:plotArea>
    <c:plotVisOnly val="1"/>
    <c:dispBlanksAs val="gap"/>
  </c:chart>
  <c:spPr>
    <a:solidFill>
      <a:srgbClr val="FFCC99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078" footer="0.49212598450000078"/>
    <c:pageSetup paperSize="9"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0</xdr:colOff>
      <xdr:row>0</xdr:row>
      <xdr:rowOff>0</xdr:rowOff>
    </xdr:to>
    <xdr:graphicFrame macro="">
      <xdr:nvGraphicFramePr>
        <xdr:cNvPr id="229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</xdr:colOff>
      <xdr:row>20</xdr:row>
      <xdr:rowOff>104775</xdr:rowOff>
    </xdr:from>
    <xdr:to>
      <xdr:col>18</xdr:col>
      <xdr:colOff>9525</xdr:colOff>
      <xdr:row>41</xdr:row>
      <xdr:rowOff>66675</xdr:rowOff>
    </xdr:to>
    <xdr:pic>
      <xdr:nvPicPr>
        <xdr:cNvPr id="2296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96050" y="3819525"/>
          <a:ext cx="6753225" cy="3543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447675</xdr:colOff>
      <xdr:row>16</xdr:row>
      <xdr:rowOff>57150</xdr:rowOff>
    </xdr:from>
    <xdr:to>
      <xdr:col>17</xdr:col>
      <xdr:colOff>57150</xdr:colOff>
      <xdr:row>23</xdr:row>
      <xdr:rowOff>123825</xdr:rowOff>
    </xdr:to>
    <xdr:sp macro="" textlink="">
      <xdr:nvSpPr>
        <xdr:cNvPr id="2297" name="Line 24"/>
        <xdr:cNvSpPr>
          <a:spLocks noChangeShapeType="1"/>
        </xdr:cNvSpPr>
      </xdr:nvSpPr>
      <xdr:spPr bwMode="auto">
        <a:xfrm flipH="1">
          <a:off x="11734800" y="3124200"/>
          <a:ext cx="914400" cy="12096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2247900</xdr:colOff>
      <xdr:row>30</xdr:row>
      <xdr:rowOff>0</xdr:rowOff>
    </xdr:from>
    <xdr:to>
      <xdr:col>11</xdr:col>
      <xdr:colOff>9525</xdr:colOff>
      <xdr:row>30</xdr:row>
      <xdr:rowOff>76200</xdr:rowOff>
    </xdr:to>
    <xdr:sp macro="" textlink="">
      <xdr:nvSpPr>
        <xdr:cNvPr id="2078" name="AutoShape 30"/>
        <xdr:cNvSpPr>
          <a:spLocks noChangeArrowheads="1"/>
        </xdr:cNvSpPr>
      </xdr:nvSpPr>
      <xdr:spPr bwMode="auto">
        <a:xfrm>
          <a:off x="8753475" y="5514975"/>
          <a:ext cx="95250" cy="76200"/>
        </a:xfrm>
        <a:prstGeom prst="star5">
          <a:avLst/>
        </a:prstGeom>
        <a:solidFill>
          <a:srgbClr val="FFFFFF"/>
        </a:solidFill>
        <a:ln w="9525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1447800</xdr:colOff>
      <xdr:row>26</xdr:row>
      <xdr:rowOff>47625</xdr:rowOff>
    </xdr:from>
    <xdr:to>
      <xdr:col>10</xdr:col>
      <xdr:colOff>1895475</xdr:colOff>
      <xdr:row>27</xdr:row>
      <xdr:rowOff>76200</xdr:rowOff>
    </xdr:to>
    <xdr:sp macro="" textlink="">
      <xdr:nvSpPr>
        <xdr:cNvPr id="2079" name="Text Box 31"/>
        <xdr:cNvSpPr txBox="1">
          <a:spLocks noChangeArrowheads="1"/>
        </xdr:cNvSpPr>
      </xdr:nvSpPr>
      <xdr:spPr bwMode="auto">
        <a:xfrm>
          <a:off x="7953375" y="4905375"/>
          <a:ext cx="4476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2326</a:t>
          </a:r>
        </a:p>
      </xdr:txBody>
    </xdr:sp>
    <xdr:clientData/>
  </xdr:twoCellAnchor>
  <xdr:twoCellAnchor>
    <xdr:from>
      <xdr:col>10</xdr:col>
      <xdr:colOff>1847850</xdr:colOff>
      <xdr:row>27</xdr:row>
      <xdr:rowOff>66675</xdr:rowOff>
    </xdr:from>
    <xdr:to>
      <xdr:col>10</xdr:col>
      <xdr:colOff>2228850</xdr:colOff>
      <xdr:row>29</xdr:row>
      <xdr:rowOff>133350</xdr:rowOff>
    </xdr:to>
    <xdr:sp macro="" textlink="">
      <xdr:nvSpPr>
        <xdr:cNvPr id="2300" name="Line 33"/>
        <xdr:cNvSpPr>
          <a:spLocks noChangeShapeType="1"/>
        </xdr:cNvSpPr>
      </xdr:nvSpPr>
      <xdr:spPr bwMode="auto">
        <a:xfrm>
          <a:off x="8353425" y="5086350"/>
          <a:ext cx="38100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30</xdr:col>
      <xdr:colOff>314325</xdr:colOff>
      <xdr:row>3</xdr:row>
      <xdr:rowOff>114300</xdr:rowOff>
    </xdr:from>
    <xdr:to>
      <xdr:col>38</xdr:col>
      <xdr:colOff>0</xdr:colOff>
      <xdr:row>30</xdr:row>
      <xdr:rowOff>57150</xdr:rowOff>
    </xdr:to>
    <xdr:graphicFrame macro="">
      <xdr:nvGraphicFramePr>
        <xdr:cNvPr id="2301" name="Chart 16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0.19986</cdr:x>
      <cdr:y>0.01812</cdr:y>
    </cdr:from>
    <cdr:to>
      <cdr:x>0.8475</cdr:x>
      <cdr:y>0.12616</cdr:y>
    </cdr:to>
    <cdr:sp macro="" textlink="">
      <cdr:nvSpPr>
        <cdr:cNvPr id="1331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13763" y="89148"/>
          <a:ext cx="4571062" cy="5124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IRCEM PREVOYANCE</a:t>
          </a:r>
        </a:p>
        <a:p xmlns:a="http://schemas.openxmlformats.org/drawingml/2006/main">
          <a:pPr algn="ctr" rtl="0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Evolution de l'exposition relative action</a:t>
          </a:r>
        </a:p>
      </cdr:txBody>
    </cdr:sp>
  </cdr:relSizeAnchor>
  <cdr:relSizeAnchor xmlns:cdr="http://schemas.openxmlformats.org/drawingml/2006/chartDrawing">
    <cdr:from>
      <cdr:x>0.18851</cdr:x>
      <cdr:y>0.33139</cdr:y>
    </cdr:from>
    <cdr:to>
      <cdr:x>0.4661</cdr:x>
      <cdr:y>0.39432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1536700" y="2108200"/>
          <a:ext cx="2921000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0.34882</cdr:x>
      <cdr:y>0.60902</cdr:y>
    </cdr:from>
    <cdr:to>
      <cdr:x>0.76734</cdr:x>
      <cdr:y>0.73739</cdr:y>
    </cdr:to>
    <cdr:sp macro="" textlink="">
      <cdr:nvSpPr>
        <cdr:cNvPr id="13315" name="ZoneTexte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65142" y="2892012"/>
          <a:ext cx="2953958" cy="6089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91440" tIns="45720" rIns="91440" bIns="4572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fr-FR" sz="1600" b="0" i="0" strike="noStrike">
              <a:solidFill>
                <a:srgbClr val="0000FF"/>
              </a:solidFill>
              <a:latin typeface="Calibri"/>
            </a:rPr>
            <a:t>benchmark action :  25%</a:t>
          </a:r>
        </a:p>
        <a:p xmlns:a="http://schemas.openxmlformats.org/drawingml/2006/main">
          <a:pPr algn="l" rtl="0">
            <a:defRPr sz="1000"/>
          </a:pPr>
          <a:r>
            <a:rPr lang="fr-FR" sz="1600" b="0" i="0" strike="noStrike">
              <a:solidFill>
                <a:srgbClr val="0000FF"/>
              </a:solidFill>
              <a:latin typeface="Calibri"/>
            </a:rPr>
            <a:t>rebalancement mensuel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AQ62"/>
  <sheetViews>
    <sheetView tabSelected="1" zoomScale="85" workbookViewId="0">
      <selection activeCell="B5" sqref="B5"/>
    </sheetView>
  </sheetViews>
  <sheetFormatPr baseColWidth="10" defaultRowHeight="12.75" outlineLevelCol="1"/>
  <cols>
    <col min="1" max="1" width="26.28515625" customWidth="1"/>
    <col min="2" max="2" width="17.42578125" style="2" customWidth="1"/>
    <col min="3" max="3" width="9.140625" style="1" bestFit="1" customWidth="1"/>
    <col min="4" max="4" width="8.85546875" style="1" customWidth="1" outlineLevel="1"/>
    <col min="5" max="5" width="7.28515625" style="1" customWidth="1" outlineLevel="1"/>
    <col min="6" max="7" width="8" style="1" customWidth="1" outlineLevel="1"/>
    <col min="8" max="8" width="9.140625" style="1" customWidth="1" outlineLevel="1"/>
    <col min="9" max="9" width="2.140625" customWidth="1"/>
    <col min="10" max="10" width="1.28515625" customWidth="1"/>
    <col min="11" max="11" width="35" customWidth="1"/>
    <col min="12" max="12" width="14.140625" customWidth="1"/>
    <col min="13" max="13" width="7.28515625" customWidth="1"/>
    <col min="14" max="14" width="8.42578125" customWidth="1"/>
    <col min="15" max="15" width="6.85546875" style="28" customWidth="1"/>
    <col min="16" max="16" width="12.28515625" customWidth="1"/>
    <col min="17" max="17" width="7.28515625" customWidth="1"/>
    <col min="18" max="18" width="9.7109375" customWidth="1"/>
    <col min="19" max="19" width="1.42578125" customWidth="1"/>
    <col min="20" max="20" width="3.85546875" customWidth="1"/>
    <col min="21" max="21" width="9.140625" style="143" customWidth="1"/>
    <col min="22" max="22" width="21.85546875" style="143" customWidth="1"/>
    <col min="23" max="23" width="8.42578125" style="143" customWidth="1"/>
    <col min="24" max="24" width="10.140625" customWidth="1"/>
    <col min="25" max="25" width="9" customWidth="1"/>
    <col min="26" max="26" width="7.140625" customWidth="1"/>
    <col min="27" max="27" width="4.140625" style="18" bestFit="1" customWidth="1"/>
    <col min="28" max="28" width="7.5703125" customWidth="1"/>
    <col min="29" max="29" width="8.42578125" customWidth="1"/>
    <col min="32" max="32" width="22.5703125" customWidth="1"/>
    <col min="34" max="34" width="19.28515625" bestFit="1" customWidth="1"/>
    <col min="39" max="40" width="11.42578125" outlineLevel="1"/>
  </cols>
  <sheetData>
    <row r="1" spans="1:42" ht="26.25" thickBot="1">
      <c r="A1" s="235" t="s">
        <v>16</v>
      </c>
      <c r="K1" s="30"/>
      <c r="L1" s="30"/>
      <c r="M1" s="30"/>
      <c r="N1" s="30"/>
      <c r="P1" s="30"/>
      <c r="Q1" s="30"/>
      <c r="R1" s="30"/>
      <c r="S1" s="30"/>
      <c r="T1" s="30"/>
      <c r="V1" s="22" t="s">
        <v>16</v>
      </c>
      <c r="W1" s="269" t="s">
        <v>15</v>
      </c>
      <c r="X1" s="270"/>
      <c r="Y1" s="271"/>
    </row>
    <row r="2" spans="1:42" ht="17.25" customHeight="1" thickBot="1">
      <c r="A2" s="217"/>
      <c r="B2" s="264" t="s">
        <v>15</v>
      </c>
      <c r="C2" s="265"/>
      <c r="D2" s="97"/>
      <c r="E2" s="97"/>
      <c r="F2" s="97"/>
      <c r="G2" s="97"/>
      <c r="H2" s="97"/>
      <c r="K2" s="53" t="s">
        <v>22</v>
      </c>
      <c r="L2" s="54" t="s">
        <v>23</v>
      </c>
      <c r="M2" s="55"/>
      <c r="N2" s="55"/>
      <c r="O2" s="55"/>
      <c r="P2" s="55"/>
      <c r="Q2" s="55"/>
      <c r="R2" s="56"/>
      <c r="S2" s="30"/>
      <c r="T2" s="30"/>
      <c r="U2" s="228"/>
      <c r="W2" s="272" t="s">
        <v>52</v>
      </c>
      <c r="X2" s="273"/>
      <c r="Y2" s="274"/>
      <c r="AF2" s="210">
        <f>B5</f>
        <v>0</v>
      </c>
    </row>
    <row r="3" spans="1:42" ht="13.5" thickBot="1">
      <c r="B3" s="266" t="s">
        <v>52</v>
      </c>
      <c r="C3" s="267"/>
      <c r="D3" s="98"/>
      <c r="E3" s="98"/>
      <c r="F3" s="98"/>
      <c r="G3" s="98"/>
      <c r="H3" s="98"/>
      <c r="K3" s="30"/>
      <c r="S3" s="30"/>
      <c r="T3" s="30"/>
      <c r="U3" s="227" t="s">
        <v>89</v>
      </c>
    </row>
    <row r="4" spans="1:42" s="3" customFormat="1" ht="22.5" customHeight="1">
      <c r="A4" s="262" t="s">
        <v>3</v>
      </c>
      <c r="B4" s="5" t="s">
        <v>8</v>
      </c>
      <c r="C4" s="4"/>
      <c r="D4" s="26" t="s">
        <v>12</v>
      </c>
      <c r="E4" s="26" t="s">
        <v>44</v>
      </c>
      <c r="F4" s="26" t="s">
        <v>40</v>
      </c>
      <c r="G4" s="26" t="s">
        <v>39</v>
      </c>
      <c r="I4" s="24"/>
      <c r="J4" s="57"/>
      <c r="K4" s="34" t="s">
        <v>19</v>
      </c>
      <c r="L4" s="35" t="s">
        <v>17</v>
      </c>
      <c r="M4" s="36" t="s">
        <v>18</v>
      </c>
      <c r="N4" s="28"/>
      <c r="O4" s="28"/>
      <c r="P4" s="34" t="s">
        <v>25</v>
      </c>
      <c r="Q4" s="35" t="s">
        <v>17</v>
      </c>
      <c r="R4" s="36" t="s">
        <v>18</v>
      </c>
      <c r="T4" s="31"/>
      <c r="U4" s="230"/>
      <c r="V4" s="277" t="s">
        <v>56</v>
      </c>
      <c r="W4" s="277"/>
      <c r="X4" s="277"/>
      <c r="Y4" s="277"/>
      <c r="Z4" s="278"/>
      <c r="AA4" s="67"/>
    </row>
    <row r="5" spans="1:42">
      <c r="A5" s="263"/>
      <c r="B5" s="134"/>
      <c r="C5" s="25"/>
      <c r="D5" s="99"/>
      <c r="E5" s="99"/>
      <c r="F5" s="99"/>
      <c r="G5" s="136"/>
      <c r="I5" s="26"/>
      <c r="J5" s="58"/>
      <c r="K5" s="37" t="s">
        <v>20</v>
      </c>
      <c r="L5" s="114" t="e">
        <f>(L17)/1000000</f>
        <v>#N/A</v>
      </c>
      <c r="M5" s="38" t="e">
        <f>L5/$L$8</f>
        <v>#N/A</v>
      </c>
      <c r="N5" s="32"/>
      <c r="O5" s="32"/>
      <c r="P5" s="43" t="s">
        <v>26</v>
      </c>
      <c r="Q5" s="258">
        <v>0</v>
      </c>
      <c r="R5" s="46" t="e">
        <f>Q5/$Q$8</f>
        <v>#N/A</v>
      </c>
      <c r="T5" s="31"/>
      <c r="U5" s="229"/>
      <c r="V5" s="40"/>
      <c r="W5" s="149" t="s">
        <v>17</v>
      </c>
      <c r="X5" s="156" t="s">
        <v>53</v>
      </c>
      <c r="Y5" s="157" t="s">
        <v>54</v>
      </c>
      <c r="Z5" s="144" t="s">
        <v>55</v>
      </c>
    </row>
    <row r="6" spans="1:42" ht="13.5" customHeight="1">
      <c r="A6" s="6" t="s">
        <v>9</v>
      </c>
      <c r="B6" s="108"/>
      <c r="C6" s="70"/>
      <c r="D6" s="103"/>
      <c r="E6" s="103"/>
      <c r="F6" s="103"/>
      <c r="G6" s="103"/>
      <c r="I6" s="71"/>
      <c r="J6" s="72"/>
      <c r="K6" s="73" t="s">
        <v>21</v>
      </c>
      <c r="L6" s="114" t="e">
        <f>(L13+L14+L15)/1000000</f>
        <v>#N/A</v>
      </c>
      <c r="M6" s="38" t="e">
        <f>L6/$L$8</f>
        <v>#N/A</v>
      </c>
      <c r="N6" s="32"/>
      <c r="O6" s="32"/>
      <c r="P6" s="40" t="s">
        <v>27</v>
      </c>
      <c r="Q6" s="33" t="e">
        <f>(L20)/1000000</f>
        <v>#N/A</v>
      </c>
      <c r="R6" s="46" t="e">
        <f>Q6/$Q$8</f>
        <v>#N/A</v>
      </c>
      <c r="T6" s="31"/>
      <c r="U6" s="228"/>
      <c r="V6" s="145"/>
      <c r="W6" s="29"/>
      <c r="X6" s="32"/>
      <c r="Y6" s="30"/>
      <c r="Z6" s="44"/>
      <c r="AD6" s="231"/>
    </row>
    <row r="7" spans="1:42" ht="13.5" customHeight="1" thickBot="1">
      <c r="A7" s="109" t="s">
        <v>42</v>
      </c>
      <c r="B7" s="196" t="e">
        <f>DataW!C11</f>
        <v>#N/A</v>
      </c>
      <c r="C7" s="70" t="e">
        <f>B7/$B$20</f>
        <v>#N/A</v>
      </c>
      <c r="D7" s="160">
        <v>0.66979999999999995</v>
      </c>
      <c r="E7" s="160">
        <v>3.0200000000000001E-2</v>
      </c>
      <c r="F7" s="160">
        <v>0.3</v>
      </c>
      <c r="G7" s="111">
        <v>3.49E-2</v>
      </c>
      <c r="H7" s="218">
        <v>41029</v>
      </c>
      <c r="I7" s="71"/>
      <c r="J7" s="72"/>
      <c r="K7" s="73"/>
      <c r="L7" s="74"/>
      <c r="M7" s="38"/>
      <c r="N7" s="32"/>
      <c r="O7" s="32"/>
      <c r="P7" s="40"/>
      <c r="Q7" s="33"/>
      <c r="R7" s="46"/>
      <c r="T7" s="31"/>
      <c r="V7" s="145" t="s">
        <v>30</v>
      </c>
      <c r="W7" s="150" t="e">
        <f>(B22+L13*O13+L14*O14+L15*O15)/1000000+U4</f>
        <v>#N/A</v>
      </c>
      <c r="X7" s="112" t="e">
        <f>W7/B28*1000000</f>
        <v>#N/A</v>
      </c>
      <c r="Y7" s="254">
        <v>0.25</v>
      </c>
      <c r="Z7" s="155" t="e">
        <f>X7-Y7</f>
        <v>#N/A</v>
      </c>
      <c r="AN7" t="s">
        <v>79</v>
      </c>
    </row>
    <row r="8" spans="1:42" ht="13.5" customHeight="1" thickBot="1">
      <c r="A8" s="109" t="s">
        <v>41</v>
      </c>
      <c r="B8" s="196" t="e">
        <f>DataW!C12</f>
        <v>#N/A</v>
      </c>
      <c r="C8" s="70" t="e">
        <f>B8/$B$20</f>
        <v>#N/A</v>
      </c>
      <c r="D8" s="160">
        <v>0.44309999999999999</v>
      </c>
      <c r="E8" s="160">
        <v>2.0999999999999999E-3</v>
      </c>
      <c r="F8" s="160">
        <v>0.55479999999999996</v>
      </c>
      <c r="G8" s="111">
        <v>3.5999999999999997E-2</v>
      </c>
      <c r="H8" s="218">
        <v>40998</v>
      </c>
      <c r="I8" s="71"/>
      <c r="J8" s="72"/>
      <c r="K8" s="77"/>
      <c r="L8" s="78" t="e">
        <f>SUM(L5:L7)</f>
        <v>#N/A</v>
      </c>
      <c r="M8" s="42"/>
      <c r="N8" s="28"/>
      <c r="O8" s="32"/>
      <c r="P8" s="41"/>
      <c r="Q8" s="47" t="e">
        <f>SUM(Q5:Q7)</f>
        <v>#N/A</v>
      </c>
      <c r="R8" s="48" t="e">
        <f>SUM(R5:R7)</f>
        <v>#N/A</v>
      </c>
      <c r="T8" s="31"/>
      <c r="V8" s="145"/>
      <c r="W8" s="29"/>
      <c r="X8" s="146"/>
      <c r="Y8" s="112"/>
      <c r="Z8" s="153"/>
      <c r="AM8" t="s">
        <v>78</v>
      </c>
      <c r="AN8" s="189"/>
    </row>
    <row r="9" spans="1:42" ht="13.5" customHeight="1" thickBot="1">
      <c r="A9" s="27"/>
      <c r="B9" s="196"/>
      <c r="C9" s="76"/>
      <c r="D9" s="104"/>
      <c r="E9" s="104"/>
      <c r="F9" s="104"/>
      <c r="G9" s="104"/>
      <c r="H9" s="104"/>
      <c r="I9" s="71"/>
      <c r="J9" s="72"/>
      <c r="K9" s="59"/>
      <c r="L9" s="118"/>
      <c r="M9" s="28"/>
      <c r="N9" s="28"/>
      <c r="P9" s="30"/>
      <c r="Q9" s="120"/>
      <c r="R9" s="52"/>
      <c r="T9" s="31"/>
      <c r="V9" s="145" t="s">
        <v>29</v>
      </c>
      <c r="W9" s="150" t="e">
        <f>(R15/O15*L15-L15)/1000000+W7</f>
        <v>#N/A</v>
      </c>
      <c r="X9" s="112" t="e">
        <f>W9/B28*1000000</f>
        <v>#N/A</v>
      </c>
      <c r="Y9" s="112"/>
      <c r="Z9" s="153"/>
      <c r="AM9" s="185">
        <v>39904</v>
      </c>
    </row>
    <row r="10" spans="1:42" ht="13.5" thickBot="1">
      <c r="A10" s="7" t="s">
        <v>4</v>
      </c>
      <c r="B10" s="196" t="e">
        <f>DataW!C13</f>
        <v>#N/A</v>
      </c>
      <c r="C10" s="70" t="e">
        <f>B10/$B$20</f>
        <v>#N/A</v>
      </c>
      <c r="D10" s="103"/>
      <c r="E10" s="103"/>
      <c r="F10" s="103"/>
      <c r="G10" s="103"/>
      <c r="H10" s="103"/>
      <c r="I10" s="71"/>
      <c r="J10" s="72"/>
      <c r="K10" s="80" t="s">
        <v>24</v>
      </c>
      <c r="L10" s="79"/>
      <c r="T10" s="31"/>
      <c r="V10" s="41"/>
      <c r="W10" s="154"/>
      <c r="X10" s="49"/>
      <c r="Y10" s="49"/>
      <c r="Z10" s="45"/>
      <c r="AB10" s="110"/>
      <c r="AM10" s="185">
        <v>39934</v>
      </c>
      <c r="AP10" s="185"/>
    </row>
    <row r="11" spans="1:42" ht="13.5" thickBot="1">
      <c r="A11" s="7"/>
      <c r="B11" s="196"/>
      <c r="C11" s="70"/>
      <c r="D11" s="103"/>
      <c r="E11" s="103"/>
      <c r="F11" s="103"/>
      <c r="G11" s="103"/>
      <c r="H11" s="103"/>
      <c r="I11" s="71"/>
      <c r="J11" s="72"/>
      <c r="K11" s="81"/>
      <c r="L11" s="82"/>
      <c r="M11" s="61"/>
      <c r="N11" s="141" t="s">
        <v>50</v>
      </c>
      <c r="O11" s="142" t="s">
        <v>51</v>
      </c>
      <c r="P11" s="50"/>
      <c r="Q11" s="50"/>
      <c r="R11" s="51"/>
      <c r="T11" s="31"/>
      <c r="V11" s="28"/>
      <c r="W11" s="28"/>
      <c r="X11" s="32"/>
      <c r="AB11" s="110"/>
      <c r="AM11" s="185">
        <v>39965</v>
      </c>
      <c r="AP11" s="185"/>
    </row>
    <row r="12" spans="1:42">
      <c r="A12" s="7" t="s">
        <v>37</v>
      </c>
      <c r="B12" s="196" t="e">
        <f>DataW!C14</f>
        <v>#N/A</v>
      </c>
      <c r="C12" s="70" t="e">
        <f>B12/$B$20</f>
        <v>#N/A</v>
      </c>
      <c r="D12" s="103"/>
      <c r="E12" s="130"/>
      <c r="F12" s="103"/>
      <c r="G12" s="103" t="e">
        <f>L13/L12</f>
        <v>#N/A</v>
      </c>
      <c r="H12" s="103"/>
      <c r="I12" s="71"/>
      <c r="J12" s="72"/>
      <c r="K12" s="85" t="s">
        <v>28</v>
      </c>
      <c r="L12" s="122" t="e">
        <f>SUM(L13:L15)</f>
        <v>#N/A</v>
      </c>
      <c r="M12" s="65" t="e">
        <f>L12/$B$26</f>
        <v>#N/A</v>
      </c>
      <c r="N12" s="52"/>
      <c r="P12" s="21"/>
      <c r="Q12" s="21"/>
      <c r="R12" s="62"/>
      <c r="T12" s="31"/>
      <c r="V12" s="171"/>
      <c r="W12" s="172" t="s">
        <v>77</v>
      </c>
      <c r="X12" s="173"/>
      <c r="Y12" s="50"/>
      <c r="Z12" s="51"/>
      <c r="AB12" s="110"/>
      <c r="AM12" s="185">
        <v>39995</v>
      </c>
      <c r="AP12" s="185"/>
    </row>
    <row r="13" spans="1:42">
      <c r="A13" s="7"/>
      <c r="B13" s="196"/>
      <c r="C13" s="70"/>
      <c r="D13" s="103"/>
      <c r="E13" s="125"/>
      <c r="F13" s="103"/>
      <c r="G13" s="103"/>
      <c r="H13" s="103"/>
      <c r="I13" s="71"/>
      <c r="J13" s="72"/>
      <c r="K13" s="116" t="s">
        <v>45</v>
      </c>
      <c r="L13" s="198" t="e">
        <f>DataW!C30</f>
        <v>#N/A</v>
      </c>
      <c r="M13" s="52"/>
      <c r="N13" s="208" t="e">
        <f>DataW!E30</f>
        <v>#N/A</v>
      </c>
      <c r="O13" s="253">
        <v>0.88</v>
      </c>
      <c r="P13" s="59" t="s">
        <v>35</v>
      </c>
      <c r="Q13" s="30"/>
      <c r="R13" s="44"/>
      <c r="T13" s="31"/>
      <c r="V13" s="174"/>
      <c r="W13" s="175"/>
      <c r="X13" s="101"/>
      <c r="Y13" s="30"/>
      <c r="Z13" s="44"/>
      <c r="AB13" s="110"/>
      <c r="AM13" s="185">
        <v>40026</v>
      </c>
      <c r="AP13" s="185"/>
    </row>
    <row r="14" spans="1:42">
      <c r="A14" s="7" t="s">
        <v>5</v>
      </c>
      <c r="B14" s="196"/>
      <c r="C14" s="70" t="e">
        <f>B14/$B$20</f>
        <v>#N/A</v>
      </c>
      <c r="D14" s="103"/>
      <c r="E14" s="125"/>
      <c r="F14" s="103"/>
      <c r="G14" s="103"/>
      <c r="H14" s="103"/>
      <c r="I14" s="71"/>
      <c r="J14" s="72"/>
      <c r="K14" s="116" t="s">
        <v>48</v>
      </c>
      <c r="L14" s="198" t="e">
        <f>DataW!C31</f>
        <v>#N/A</v>
      </c>
      <c r="M14" s="59"/>
      <c r="N14" s="201" t="e">
        <f>DataW!E31</f>
        <v>#N/A</v>
      </c>
      <c r="O14" s="253">
        <v>0.7</v>
      </c>
      <c r="P14" s="30"/>
      <c r="Q14" s="30"/>
      <c r="R14" s="44"/>
      <c r="T14" s="31"/>
      <c r="V14" s="176"/>
      <c r="W14" s="157" t="s">
        <v>54</v>
      </c>
      <c r="X14" s="156" t="s">
        <v>53</v>
      </c>
      <c r="Y14" s="144" t="s">
        <v>55</v>
      </c>
      <c r="Z14" s="177"/>
      <c r="AB14" s="110"/>
      <c r="AM14" s="185">
        <v>40057</v>
      </c>
      <c r="AP14" s="185"/>
    </row>
    <row r="15" spans="1:42" ht="15" customHeight="1">
      <c r="A15" s="8"/>
      <c r="B15" s="197"/>
      <c r="C15" s="70"/>
      <c r="D15" s="103"/>
      <c r="E15" s="125"/>
      <c r="F15" s="103"/>
      <c r="G15" s="103"/>
      <c r="H15" s="103"/>
      <c r="I15" s="71"/>
      <c r="J15" s="72"/>
      <c r="K15" s="116" t="s">
        <v>47</v>
      </c>
      <c r="L15" s="198" t="e">
        <f>DataW!C32</f>
        <v>#N/A</v>
      </c>
      <c r="M15" s="30"/>
      <c r="N15" s="202" t="e">
        <f>DataW!E32</f>
        <v>#N/A</v>
      </c>
      <c r="O15" s="253">
        <v>1.1000000000000001</v>
      </c>
      <c r="Q15" s="30"/>
      <c r="R15" s="233">
        <v>1.3</v>
      </c>
      <c r="T15" s="232"/>
      <c r="V15" s="176"/>
      <c r="W15" s="175"/>
      <c r="X15" s="101"/>
      <c r="Y15" s="151"/>
      <c r="Z15" s="177"/>
      <c r="AB15" s="110"/>
      <c r="AM15" s="185">
        <v>40087</v>
      </c>
      <c r="AP15" s="185"/>
    </row>
    <row r="16" spans="1:42" ht="15" customHeight="1">
      <c r="A16" s="7" t="s">
        <v>11</v>
      </c>
      <c r="B16" s="75" t="e">
        <f>DataW!C16</f>
        <v>#N/A</v>
      </c>
      <c r="C16" s="70" t="e">
        <f>B16/$B$20</f>
        <v>#N/A</v>
      </c>
      <c r="D16" s="103"/>
      <c r="E16" s="125"/>
      <c r="F16" s="103"/>
      <c r="G16" s="103"/>
      <c r="H16" s="103"/>
      <c r="I16" s="71"/>
      <c r="J16" s="72"/>
      <c r="K16" s="117"/>
      <c r="L16" s="60"/>
      <c r="M16" s="115"/>
      <c r="N16" s="115"/>
      <c r="P16" s="234" t="s">
        <v>46</v>
      </c>
      <c r="Q16" s="66"/>
      <c r="R16" s="66"/>
      <c r="T16" s="31"/>
      <c r="V16" s="176" t="s">
        <v>57</v>
      </c>
      <c r="W16" s="255">
        <v>0.75</v>
      </c>
      <c r="X16" s="178" t="e">
        <f>SUMPRODUCT(W27:W45,AB27:AB45)/AB46</f>
        <v>#N/A</v>
      </c>
      <c r="Y16" s="178" t="e">
        <f>X16-W16</f>
        <v>#N/A</v>
      </c>
      <c r="Z16" s="177"/>
      <c r="AB16" s="110"/>
      <c r="AM16" s="185">
        <v>40118</v>
      </c>
      <c r="AP16" s="185"/>
    </row>
    <row r="17" spans="1:43" s="9" customFormat="1">
      <c r="A17" s="8"/>
      <c r="B17" s="197"/>
      <c r="C17" s="70"/>
      <c r="D17" s="103"/>
      <c r="E17" s="125"/>
      <c r="F17" s="103"/>
      <c r="G17" s="103" t="e">
        <f>L13/L17</f>
        <v>#N/A</v>
      </c>
      <c r="H17" s="103"/>
      <c r="I17" s="83"/>
      <c r="J17" s="84"/>
      <c r="K17" s="85" t="s">
        <v>33</v>
      </c>
      <c r="L17" s="122" t="e">
        <f>SUM(L18:L18)</f>
        <v>#N/A</v>
      </c>
      <c r="M17" s="65" t="e">
        <f>L17/$B$26</f>
        <v>#N/A</v>
      </c>
      <c r="N17" s="52"/>
      <c r="O17" s="28"/>
      <c r="P17" s="30"/>
      <c r="Q17" s="30"/>
      <c r="R17" s="44"/>
      <c r="T17" s="31"/>
      <c r="U17" s="148"/>
      <c r="V17" s="176" t="s">
        <v>58</v>
      </c>
      <c r="W17" s="255">
        <v>0.1</v>
      </c>
      <c r="X17" s="178" t="e">
        <f>SUMPRODUCT(X27:X45,AB27:AB45)/AB46</f>
        <v>#N/A</v>
      </c>
      <c r="Y17" s="178" t="e">
        <f>X17-W17</f>
        <v>#N/A</v>
      </c>
      <c r="Z17" s="177"/>
      <c r="AA17" s="19"/>
      <c r="AB17" s="110"/>
      <c r="AM17" s="185">
        <v>40148</v>
      </c>
      <c r="AN17" s="186"/>
      <c r="AP17" s="185"/>
    </row>
    <row r="18" spans="1:43" s="9" customFormat="1" ht="12.75" customHeight="1">
      <c r="A18" s="7" t="s">
        <v>43</v>
      </c>
      <c r="B18" s="196" t="e">
        <f>DataW!C17</f>
        <v>#N/A</v>
      </c>
      <c r="C18" s="70" t="e">
        <f>B18/$B$20</f>
        <v>#N/A</v>
      </c>
      <c r="D18" s="103"/>
      <c r="E18" s="125"/>
      <c r="F18" s="103"/>
      <c r="G18" s="103"/>
      <c r="H18" s="103"/>
      <c r="I18" s="83"/>
      <c r="J18" s="84"/>
      <c r="K18" s="116" t="s">
        <v>49</v>
      </c>
      <c r="L18" s="198" t="e">
        <f>DataW!C35</f>
        <v>#N/A</v>
      </c>
      <c r="M18" s="115" t="s">
        <v>31</v>
      </c>
      <c r="N18" s="203" t="e">
        <f>DataW!E35</f>
        <v>#N/A</v>
      </c>
      <c r="O18" s="118"/>
      <c r="P18" s="30" t="s">
        <v>32</v>
      </c>
      <c r="Q18" s="30"/>
      <c r="R18" s="44"/>
      <c r="T18" s="31"/>
      <c r="U18" s="148"/>
      <c r="V18" s="176" t="s">
        <v>59</v>
      </c>
      <c r="W18" s="255">
        <v>0.1</v>
      </c>
      <c r="X18" s="179" t="e">
        <f>SUMPRODUCT(Y27:Y45,AB27:AB45)/AB46</f>
        <v>#N/A</v>
      </c>
      <c r="Y18" s="178" t="e">
        <f>X18-W18</f>
        <v>#N/A</v>
      </c>
      <c r="Z18" s="180"/>
      <c r="AA18" s="19"/>
      <c r="AB18" s="110"/>
      <c r="AM18" s="185">
        <v>40179</v>
      </c>
      <c r="AN18" s="186"/>
      <c r="AP18" s="185"/>
    </row>
    <row r="19" spans="1:43" s="9" customFormat="1" ht="12.75" customHeight="1">
      <c r="A19" s="133"/>
      <c r="B19" s="60"/>
      <c r="C19" s="96"/>
      <c r="D19" s="103"/>
      <c r="E19" s="125"/>
      <c r="F19" s="103"/>
      <c r="G19" s="103"/>
      <c r="H19" s="103"/>
      <c r="I19" s="83"/>
      <c r="J19" s="84"/>
      <c r="K19" s="63"/>
      <c r="L19" s="21"/>
      <c r="M19" s="21"/>
      <c r="N19" s="21"/>
      <c r="O19" s="21"/>
      <c r="P19" s="21"/>
      <c r="Q19" s="21"/>
      <c r="R19" s="62"/>
      <c r="T19" s="31"/>
      <c r="U19" s="148"/>
      <c r="V19" s="181" t="s">
        <v>60</v>
      </c>
      <c r="W19" s="256">
        <v>0.05</v>
      </c>
      <c r="X19" s="179" t="e">
        <f>SUMPRODUCT(Z27:Z45,AB27:AB45)/AB46</f>
        <v>#N/A</v>
      </c>
      <c r="Y19" s="179" t="e">
        <f>X19-W19</f>
        <v>#N/A</v>
      </c>
      <c r="Z19" s="182"/>
      <c r="AA19" s="18"/>
      <c r="AB19" s="110"/>
      <c r="AM19" s="185">
        <v>40210</v>
      </c>
      <c r="AN19" s="186"/>
      <c r="AP19" s="185"/>
    </row>
    <row r="20" spans="1:43" s="9" customFormat="1" ht="12.75" customHeight="1" thickBot="1">
      <c r="A20" s="10" t="s">
        <v>7</v>
      </c>
      <c r="B20" s="131" t="e">
        <f>SUM(B6:B19)</f>
        <v>#N/A</v>
      </c>
      <c r="C20" s="86" t="e">
        <f>B20/$B$20</f>
        <v>#N/A</v>
      </c>
      <c r="D20" s="105"/>
      <c r="E20" s="125"/>
      <c r="F20" s="105"/>
      <c r="G20"/>
      <c r="H20" s="105"/>
      <c r="I20" s="83"/>
      <c r="J20" s="84"/>
      <c r="K20" s="138"/>
      <c r="L20" s="129" t="e">
        <f>L17+L12</f>
        <v>#N/A</v>
      </c>
      <c r="M20" s="64" t="e">
        <f>SUM(M12:M17)</f>
        <v>#N/A</v>
      </c>
      <c r="N20" s="64"/>
      <c r="O20" s="139"/>
      <c r="P20" s="139"/>
      <c r="Q20" s="139"/>
      <c r="R20" s="140"/>
      <c r="T20" s="31"/>
      <c r="U20" s="148"/>
      <c r="V20" s="147"/>
      <c r="W20" s="183">
        <f>SUM(W16:W19)</f>
        <v>1</v>
      </c>
      <c r="X20" s="183" t="e">
        <f>SUM(X16:X19)</f>
        <v>#N/A</v>
      </c>
      <c r="Y20" s="209" t="e">
        <f>SUM(Y16:Y19)</f>
        <v>#N/A</v>
      </c>
      <c r="Z20" s="184"/>
      <c r="AB20" s="110"/>
      <c r="AM20" s="185">
        <v>40238</v>
      </c>
      <c r="AN20" s="186"/>
      <c r="AP20" s="185"/>
    </row>
    <row r="21" spans="1:43" s="9" customFormat="1">
      <c r="D21" s="105"/>
      <c r="E21" s="125"/>
      <c r="F21" s="105"/>
      <c r="G21" s="105"/>
      <c r="H21" s="105"/>
      <c r="I21" s="83"/>
      <c r="J21" s="84"/>
      <c r="T21" s="31"/>
      <c r="U21" s="148"/>
      <c r="AA21" s="19"/>
      <c r="AB21" s="110"/>
      <c r="AM21" s="185">
        <v>40269</v>
      </c>
      <c r="AN21" s="186"/>
      <c r="AP21" s="185"/>
    </row>
    <row r="22" spans="1:43" ht="13.5" thickBot="1">
      <c r="A22" s="11" t="s">
        <v>34</v>
      </c>
      <c r="B22" s="123" t="e">
        <f>B7*F7+B8*F8+B10+B14*0.15</f>
        <v>#N/A</v>
      </c>
      <c r="C22" s="89" t="e">
        <f>B22/$B$28</f>
        <v>#N/A</v>
      </c>
      <c r="D22" s="87"/>
      <c r="E22" s="128"/>
      <c r="F22" s="87"/>
      <c r="G22" s="87"/>
      <c r="H22" s="87"/>
      <c r="I22" s="79"/>
      <c r="J22" s="88"/>
      <c r="K22" s="137"/>
      <c r="L22" s="113"/>
      <c r="M22" s="52"/>
      <c r="N22" s="52"/>
      <c r="T22" s="31"/>
      <c r="AB22" s="110"/>
      <c r="AM22" s="185">
        <v>40299</v>
      </c>
      <c r="AN22" s="186"/>
      <c r="AP22" s="185"/>
    </row>
    <row r="23" spans="1:43">
      <c r="A23" s="12"/>
      <c r="B23" s="90"/>
      <c r="C23" s="91"/>
      <c r="D23" s="87"/>
      <c r="E23" s="127"/>
      <c r="F23" s="87"/>
      <c r="G23" s="87"/>
      <c r="H23" s="87"/>
      <c r="I23" s="79"/>
      <c r="J23" s="88"/>
      <c r="K23" s="95"/>
      <c r="L23" s="60"/>
      <c r="M23" s="30"/>
      <c r="N23" s="30"/>
      <c r="T23" s="31"/>
      <c r="V23" s="161"/>
      <c r="W23" s="275" t="s">
        <v>76</v>
      </c>
      <c r="X23" s="275"/>
      <c r="Y23" s="275"/>
      <c r="Z23" s="162"/>
      <c r="AA23" s="163"/>
      <c r="AB23" s="50"/>
      <c r="AC23" s="51"/>
      <c r="AM23" s="185">
        <v>40330</v>
      </c>
      <c r="AN23" s="186"/>
      <c r="AP23" s="185"/>
    </row>
    <row r="24" spans="1:43">
      <c r="A24" s="12" t="s">
        <v>38</v>
      </c>
      <c r="B24" s="90" t="e">
        <f>B7*D7+B8*D8+B12+B14*0.85+B18+B19+B7*E7+B8*E8</f>
        <v>#N/A</v>
      </c>
      <c r="C24" s="91" t="e">
        <f>B24/$B$28</f>
        <v>#N/A</v>
      </c>
      <c r="D24" s="106"/>
      <c r="E24" s="126"/>
      <c r="F24" s="106"/>
      <c r="G24" s="106"/>
      <c r="H24" s="106"/>
      <c r="I24" s="79"/>
      <c r="J24" s="88"/>
      <c r="K24" s="95"/>
      <c r="L24" s="60"/>
      <c r="M24" s="30"/>
      <c r="N24" s="30"/>
      <c r="P24" s="30"/>
      <c r="Q24" s="30"/>
      <c r="R24" s="30"/>
      <c r="T24" s="31"/>
      <c r="U24" s="28"/>
      <c r="V24" s="164"/>
      <c r="W24" s="276"/>
      <c r="X24" s="276"/>
      <c r="Y24" s="276"/>
      <c r="Z24" s="152"/>
      <c r="AA24" s="165"/>
      <c r="AB24" s="30"/>
      <c r="AC24" s="44"/>
      <c r="AM24" s="185">
        <v>40360</v>
      </c>
      <c r="AN24" s="186"/>
      <c r="AP24" s="185"/>
    </row>
    <row r="25" spans="1:43" ht="25.5">
      <c r="A25" s="12"/>
      <c r="B25" s="90"/>
      <c r="C25" s="91"/>
      <c r="D25" s="106"/>
      <c r="E25" s="106"/>
      <c r="F25" s="106"/>
      <c r="G25" s="106"/>
      <c r="H25" s="106"/>
      <c r="I25" s="79"/>
      <c r="J25" s="88"/>
      <c r="K25" s="95"/>
      <c r="L25" s="60"/>
      <c r="M25" s="30"/>
      <c r="N25" s="30"/>
      <c r="P25" s="30"/>
      <c r="Q25" s="30"/>
      <c r="R25" s="30"/>
      <c r="T25" s="31"/>
      <c r="U25" s="28"/>
      <c r="V25" s="166"/>
      <c r="W25" s="158" t="s">
        <v>57</v>
      </c>
      <c r="X25" s="158" t="s">
        <v>62</v>
      </c>
      <c r="Y25" s="159" t="s">
        <v>63</v>
      </c>
      <c r="Z25" s="159" t="s">
        <v>64</v>
      </c>
      <c r="AA25" s="204"/>
      <c r="AB25" s="194" t="s">
        <v>80</v>
      </c>
      <c r="AC25" s="191" t="s">
        <v>83</v>
      </c>
      <c r="AM25" s="185">
        <v>40391</v>
      </c>
      <c r="AN25" s="186"/>
      <c r="AP25" s="185"/>
    </row>
    <row r="26" spans="1:43">
      <c r="A26" s="12" t="s">
        <v>36</v>
      </c>
      <c r="B26" s="90" t="e">
        <f>L20</f>
        <v>#N/A</v>
      </c>
      <c r="C26" s="91" t="e">
        <f>B26/$B$28</f>
        <v>#N/A</v>
      </c>
      <c r="D26" s="106"/>
      <c r="E26" s="126"/>
      <c r="F26" s="106"/>
      <c r="G26" s="106"/>
      <c r="H26" s="106"/>
      <c r="I26" s="79"/>
      <c r="J26" s="88"/>
      <c r="K26" s="59"/>
      <c r="L26" s="60"/>
      <c r="M26" s="30"/>
      <c r="N26" s="30"/>
      <c r="P26" s="30"/>
      <c r="Q26" s="30"/>
      <c r="R26" s="30"/>
      <c r="T26" s="31"/>
      <c r="U26" s="28"/>
      <c r="V26" s="167" t="s">
        <v>67</v>
      </c>
      <c r="W26" s="158"/>
      <c r="X26" s="158"/>
      <c r="Y26" s="159"/>
      <c r="Z26" s="159"/>
      <c r="AA26" s="204"/>
      <c r="AB26" s="30"/>
      <c r="AC26" s="44"/>
      <c r="AM26" s="185">
        <v>40422</v>
      </c>
      <c r="AN26" s="186"/>
      <c r="AP26" s="185"/>
    </row>
    <row r="27" spans="1:43">
      <c r="A27" s="12"/>
      <c r="B27" s="90"/>
      <c r="C27" s="91"/>
      <c r="D27" s="106"/>
      <c r="E27" s="106"/>
      <c r="F27" s="106"/>
      <c r="G27" s="106"/>
      <c r="H27" s="106"/>
      <c r="I27" s="79"/>
      <c r="J27" s="88"/>
      <c r="K27" s="59"/>
      <c r="L27" s="59"/>
      <c r="M27" s="30"/>
      <c r="N27" s="30"/>
      <c r="P27" s="30"/>
      <c r="Q27" s="30"/>
      <c r="R27" s="30"/>
      <c r="T27" s="31"/>
      <c r="U27" s="28"/>
      <c r="V27" s="168" t="s">
        <v>66</v>
      </c>
      <c r="W27" s="257">
        <v>0.67500000000000004</v>
      </c>
      <c r="X27" s="257">
        <v>0.186</v>
      </c>
      <c r="Y27" s="257">
        <v>0.105</v>
      </c>
      <c r="Z27" s="257">
        <v>3.4000000000000002E-2</v>
      </c>
      <c r="AA27" s="216">
        <f>SUM(W27:Z27)</f>
        <v>1</v>
      </c>
      <c r="AB27" s="260" t="e">
        <f>B7*F7/1000000</f>
        <v>#N/A</v>
      </c>
      <c r="AC27" s="192" t="e">
        <f>AB27/$AB$46</f>
        <v>#N/A</v>
      </c>
      <c r="AD27" s="136" t="s">
        <v>103</v>
      </c>
      <c r="AM27" s="185">
        <v>40452</v>
      </c>
      <c r="AN27" s="186"/>
      <c r="AP27" s="185"/>
    </row>
    <row r="28" spans="1:43">
      <c r="A28" s="14"/>
      <c r="B28" s="132" t="e">
        <f>+SUM(B22:B27)</f>
        <v>#N/A</v>
      </c>
      <c r="C28" s="92" t="e">
        <f>B28/$B$28</f>
        <v>#N/A</v>
      </c>
      <c r="D28" s="106"/>
      <c r="E28" s="106"/>
      <c r="F28" s="106"/>
      <c r="G28" s="106"/>
      <c r="H28" s="106"/>
      <c r="I28" s="79"/>
      <c r="J28" s="88"/>
      <c r="K28" s="59"/>
      <c r="L28" s="59"/>
      <c r="M28" s="30"/>
      <c r="N28" s="30"/>
      <c r="P28" s="30"/>
      <c r="Q28" s="30"/>
      <c r="R28" s="30"/>
      <c r="T28" s="31"/>
      <c r="U28" s="28"/>
      <c r="V28" s="168" t="s">
        <v>41</v>
      </c>
      <c r="W28" s="257">
        <v>0.86199999999999999</v>
      </c>
      <c r="X28" s="257">
        <v>0</v>
      </c>
      <c r="Y28" s="257">
        <v>9.1999999999999998E-2</v>
      </c>
      <c r="Z28" s="257">
        <v>4.5999999999999999E-2</v>
      </c>
      <c r="AA28" s="169">
        <f>SUM(W28:Z28)</f>
        <v>1</v>
      </c>
      <c r="AB28" s="260" t="e">
        <f>B8*F8/1000000</f>
        <v>#N/A</v>
      </c>
      <c r="AC28" s="192" t="e">
        <f>AB28/$AB$46</f>
        <v>#N/A</v>
      </c>
      <c r="AD28" s="218" t="s">
        <v>103</v>
      </c>
      <c r="AM28" s="185">
        <v>40483</v>
      </c>
      <c r="AN28" s="186"/>
      <c r="AP28" s="185"/>
    </row>
    <row r="29" spans="1:43" ht="13.5" customHeight="1">
      <c r="B29" s="121"/>
      <c r="C29" s="87"/>
      <c r="D29" s="106"/>
      <c r="E29" s="106"/>
      <c r="F29" s="106"/>
      <c r="G29" s="106"/>
      <c r="H29" s="106"/>
      <c r="I29" s="79"/>
      <c r="J29" s="88"/>
      <c r="K29" s="137"/>
      <c r="L29" s="113"/>
      <c r="M29" s="52"/>
      <c r="N29" s="52"/>
      <c r="P29" s="30"/>
      <c r="Q29" s="30"/>
      <c r="R29" s="30"/>
      <c r="T29" s="31"/>
      <c r="U29" s="28"/>
      <c r="V29" s="145"/>
      <c r="W29" s="211"/>
      <c r="X29" s="211"/>
      <c r="Y29" s="211"/>
      <c r="Z29" s="211"/>
      <c r="AA29" s="169"/>
      <c r="AB29" s="195"/>
      <c r="AC29" s="192"/>
      <c r="AM29" s="185">
        <v>40513</v>
      </c>
      <c r="AQ29" s="187"/>
    </row>
    <row r="30" spans="1:43">
      <c r="A30" s="15" t="s">
        <v>13</v>
      </c>
      <c r="B30" s="123"/>
      <c r="C30" s="93"/>
      <c r="D30" s="106"/>
      <c r="E30" s="106"/>
      <c r="F30" s="106"/>
      <c r="G30" s="106"/>
      <c r="H30" s="106"/>
      <c r="I30" s="79"/>
      <c r="J30" s="88"/>
      <c r="K30" s="95"/>
      <c r="L30" s="60"/>
      <c r="M30" s="115"/>
      <c r="N30" s="115"/>
      <c r="P30" s="30"/>
      <c r="Q30" s="30"/>
      <c r="R30" s="30"/>
      <c r="T30" s="31"/>
      <c r="U30" s="135"/>
      <c r="V30" s="168" t="s">
        <v>68</v>
      </c>
      <c r="W30" s="257">
        <v>1</v>
      </c>
      <c r="X30" s="211"/>
      <c r="Y30" s="211"/>
      <c r="Z30" s="211"/>
      <c r="AA30" s="169">
        <f>SUM(W30:Z30)</f>
        <v>1</v>
      </c>
      <c r="AB30" s="260" t="e">
        <f>(L13*O13+L14*O14+L15*O15)/1000000</f>
        <v>#N/A</v>
      </c>
      <c r="AC30" s="192" t="e">
        <f>AB30/$AB$46</f>
        <v>#N/A</v>
      </c>
      <c r="AE30" s="18"/>
      <c r="AM30" s="185">
        <v>40544</v>
      </c>
      <c r="AN30" s="188">
        <v>0.04</v>
      </c>
      <c r="AQ30" s="187"/>
    </row>
    <row r="31" spans="1:43">
      <c r="A31" s="6" t="s">
        <v>9</v>
      </c>
      <c r="B31" s="90" t="e">
        <f>B7+B8</f>
        <v>#N/A</v>
      </c>
      <c r="C31" s="94"/>
      <c r="D31" s="87"/>
      <c r="E31" s="87"/>
      <c r="F31" s="87"/>
      <c r="G31" s="87"/>
      <c r="H31" s="87"/>
      <c r="I31" s="79"/>
      <c r="J31" s="88"/>
      <c r="K31" s="69"/>
      <c r="L31" s="60"/>
      <c r="M31" s="59"/>
      <c r="N31" s="59"/>
      <c r="O31" s="118"/>
      <c r="P31" s="59"/>
      <c r="Q31" s="59"/>
      <c r="R31" s="30"/>
      <c r="T31" s="31"/>
      <c r="U31" s="28"/>
      <c r="V31" s="145"/>
      <c r="W31" s="211"/>
      <c r="X31" s="211"/>
      <c r="Y31" s="211"/>
      <c r="Z31" s="211"/>
      <c r="AA31" s="169"/>
      <c r="AB31" s="195"/>
      <c r="AC31" s="192"/>
      <c r="AM31" s="185">
        <v>40575</v>
      </c>
      <c r="AN31" s="186">
        <v>3.5000000000000003E-2</v>
      </c>
    </row>
    <row r="32" spans="1:43">
      <c r="A32" s="7" t="s">
        <v>11</v>
      </c>
      <c r="B32" s="90" t="e">
        <f>B16</f>
        <v>#N/A</v>
      </c>
      <c r="C32" s="94"/>
      <c r="E32" s="87"/>
      <c r="F32" s="87"/>
      <c r="G32" s="87"/>
      <c r="H32" s="87"/>
      <c r="I32" s="79"/>
      <c r="J32" s="88"/>
      <c r="K32" s="59"/>
      <c r="L32" s="124"/>
      <c r="M32" s="102"/>
      <c r="N32" s="102"/>
      <c r="P32" s="30"/>
      <c r="Q32" s="30"/>
      <c r="R32" s="30"/>
      <c r="T32" s="31"/>
      <c r="U32" s="28"/>
      <c r="V32" s="167" t="s">
        <v>69</v>
      </c>
      <c r="W32" s="211"/>
      <c r="X32" s="211"/>
      <c r="Y32" s="211"/>
      <c r="Z32" s="211"/>
      <c r="AA32" s="169"/>
      <c r="AB32" s="195"/>
      <c r="AC32" s="192"/>
      <c r="AM32" s="185">
        <v>40603</v>
      </c>
      <c r="AN32" s="186">
        <v>1.9E-2</v>
      </c>
    </row>
    <row r="33" spans="1:40">
      <c r="A33" s="20"/>
      <c r="B33" s="124" t="e">
        <f>SUM(B31:B32)</f>
        <v>#N/A</v>
      </c>
      <c r="C33" s="91" t="e">
        <f>B33/$B$42</f>
        <v>#N/A</v>
      </c>
      <c r="D33" s="87"/>
      <c r="E33" s="107"/>
      <c r="F33" s="107"/>
      <c r="G33" s="107"/>
      <c r="H33" s="107"/>
      <c r="I33" s="79"/>
      <c r="J33" s="88"/>
      <c r="K33" s="59"/>
      <c r="L33" s="95"/>
      <c r="M33" s="30"/>
      <c r="N33" s="30"/>
      <c r="P33" s="30"/>
      <c r="Q33" s="30"/>
      <c r="R33" s="30"/>
      <c r="T33" s="31"/>
      <c r="V33" s="145" t="s">
        <v>70</v>
      </c>
      <c r="W33" s="257">
        <v>0.93500000000000005</v>
      </c>
      <c r="X33" s="257">
        <v>6.5000000000000002E-2</v>
      </c>
      <c r="Y33" s="211"/>
      <c r="Z33" s="211"/>
      <c r="AA33" s="169">
        <f t="shared" ref="AA33:AA45" si="0">SUM(W33:Z33)</f>
        <v>1</v>
      </c>
      <c r="AB33" s="261">
        <v>7.361656</v>
      </c>
      <c r="AC33" s="192" t="e">
        <f t="shared" ref="AC33:AC45" si="1">AB33/$AB$46</f>
        <v>#N/A</v>
      </c>
      <c r="AD33" s="136" t="s">
        <v>103</v>
      </c>
      <c r="AM33" s="185">
        <v>40634</v>
      </c>
      <c r="AN33" s="186">
        <v>1.7999999999999999E-2</v>
      </c>
    </row>
    <row r="34" spans="1:40">
      <c r="A34" s="16" t="s">
        <v>14</v>
      </c>
      <c r="B34" s="90"/>
      <c r="C34" s="94"/>
      <c r="D34" s="107"/>
      <c r="E34" s="107"/>
      <c r="F34" s="107"/>
      <c r="G34" s="107"/>
      <c r="H34" s="107"/>
      <c r="I34" s="79"/>
      <c r="J34" s="88"/>
      <c r="K34" s="30"/>
      <c r="L34" s="30"/>
      <c r="M34" s="30"/>
      <c r="N34" s="30"/>
      <c r="P34" s="30"/>
      <c r="Q34" s="30"/>
      <c r="R34" s="30"/>
      <c r="T34" s="31"/>
      <c r="V34" s="145" t="s">
        <v>71</v>
      </c>
      <c r="W34" s="257">
        <v>0.90100000000000002</v>
      </c>
      <c r="X34" s="257">
        <v>9.9000000000000005E-2</v>
      </c>
      <c r="Y34" s="211"/>
      <c r="Z34" s="211"/>
      <c r="AA34" s="169">
        <f t="shared" si="0"/>
        <v>1</v>
      </c>
      <c r="AB34" s="261">
        <v>6.6455200000000003</v>
      </c>
      <c r="AC34" s="192" t="e">
        <f t="shared" si="1"/>
        <v>#N/A</v>
      </c>
      <c r="AM34" s="185">
        <v>40664</v>
      </c>
      <c r="AN34" s="186">
        <v>0.03</v>
      </c>
    </row>
    <row r="35" spans="1:40">
      <c r="A35" s="7" t="s">
        <v>4</v>
      </c>
      <c r="B35" s="90" t="e">
        <f>B10</f>
        <v>#N/A</v>
      </c>
      <c r="C35" s="94"/>
      <c r="D35" s="107"/>
      <c r="E35" s="107"/>
      <c r="F35" s="107"/>
      <c r="G35" s="107"/>
      <c r="H35" s="107"/>
      <c r="I35" s="59"/>
      <c r="J35" s="88"/>
      <c r="K35" s="30"/>
      <c r="L35" s="30"/>
      <c r="M35" s="30"/>
      <c r="N35" s="30"/>
      <c r="P35" s="30"/>
      <c r="Q35" s="30"/>
      <c r="R35" s="30"/>
      <c r="S35" s="30"/>
      <c r="T35" s="31"/>
      <c r="V35" s="145" t="s">
        <v>87</v>
      </c>
      <c r="W35" s="257">
        <v>1</v>
      </c>
      <c r="X35" s="211"/>
      <c r="Y35" s="211"/>
      <c r="Z35" s="211"/>
      <c r="AA35" s="169">
        <f t="shared" si="0"/>
        <v>1</v>
      </c>
      <c r="AB35" s="261">
        <v>3.5942500000000002</v>
      </c>
      <c r="AC35" s="192" t="e">
        <f t="shared" si="1"/>
        <v>#N/A</v>
      </c>
      <c r="AM35" s="185">
        <v>40695</v>
      </c>
      <c r="AN35" s="186">
        <v>3.3000000000000002E-2</v>
      </c>
    </row>
    <row r="36" spans="1:40">
      <c r="A36" s="7" t="s">
        <v>10</v>
      </c>
      <c r="B36" s="90" t="e">
        <f>B12</f>
        <v>#N/A</v>
      </c>
      <c r="C36" s="94"/>
      <c r="D36" s="106"/>
      <c r="E36" s="106"/>
      <c r="F36" s="106"/>
      <c r="G36" s="106"/>
      <c r="H36" s="106"/>
      <c r="I36" s="79"/>
      <c r="J36" s="88"/>
      <c r="K36" s="30"/>
      <c r="L36" s="30"/>
      <c r="M36" s="30"/>
      <c r="N36" s="30"/>
      <c r="P36" s="30"/>
      <c r="Q36" s="30"/>
      <c r="R36" s="30"/>
      <c r="S36" s="30"/>
      <c r="T36" s="31"/>
      <c r="V36" s="145" t="s">
        <v>88</v>
      </c>
      <c r="W36" s="257">
        <v>0.7</v>
      </c>
      <c r="X36" s="257">
        <v>0.3</v>
      </c>
      <c r="Y36" s="211"/>
      <c r="Z36" s="211"/>
      <c r="AA36" s="169">
        <f t="shared" si="0"/>
        <v>1</v>
      </c>
      <c r="AB36" s="261">
        <v>2.2817530000000001</v>
      </c>
      <c r="AC36" s="192" t="e">
        <f t="shared" si="1"/>
        <v>#N/A</v>
      </c>
      <c r="AM36" s="185">
        <v>40725</v>
      </c>
      <c r="AN36" s="186">
        <v>4.4999999999999998E-2</v>
      </c>
    </row>
    <row r="37" spans="1:40">
      <c r="A37" s="7" t="s">
        <v>6</v>
      </c>
      <c r="B37" s="90" t="e">
        <f>B18+B19</f>
        <v>#N/A</v>
      </c>
      <c r="C37" s="94"/>
      <c r="D37" s="107"/>
      <c r="E37" s="107"/>
      <c r="F37" s="107"/>
      <c r="G37" s="107"/>
      <c r="H37" s="107"/>
      <c r="I37" s="79"/>
      <c r="J37" s="88"/>
      <c r="K37" s="30"/>
      <c r="L37" s="59"/>
      <c r="M37" s="30"/>
      <c r="N37" s="30"/>
      <c r="P37" s="30"/>
      <c r="Q37" s="30"/>
      <c r="R37" s="30"/>
      <c r="S37" s="30"/>
      <c r="T37" s="31"/>
      <c r="V37" s="164" t="s">
        <v>61</v>
      </c>
      <c r="W37" s="257">
        <v>1</v>
      </c>
      <c r="X37" s="211"/>
      <c r="Y37" s="211"/>
      <c r="Z37" s="211"/>
      <c r="AA37" s="169">
        <f t="shared" si="0"/>
        <v>1</v>
      </c>
      <c r="AB37" s="261">
        <v>36.793300000000002</v>
      </c>
      <c r="AC37" s="192" t="e">
        <f t="shared" si="1"/>
        <v>#N/A</v>
      </c>
      <c r="AM37" s="185">
        <v>40756</v>
      </c>
      <c r="AN37" s="186">
        <v>0.04</v>
      </c>
    </row>
    <row r="38" spans="1:40">
      <c r="A38" s="10" t="s">
        <v>5</v>
      </c>
      <c r="B38" s="90">
        <f>B14</f>
        <v>0</v>
      </c>
      <c r="C38" s="94"/>
      <c r="D38" s="107"/>
      <c r="E38" s="107"/>
      <c r="F38" s="107"/>
      <c r="G38" s="107"/>
      <c r="H38" s="107"/>
      <c r="I38" s="79"/>
      <c r="J38" s="88"/>
      <c r="K38" s="30"/>
      <c r="L38" s="59"/>
      <c r="M38" s="30"/>
      <c r="N38" s="30"/>
      <c r="P38" s="30"/>
      <c r="Q38" s="30"/>
      <c r="R38" s="30"/>
      <c r="S38" s="30"/>
      <c r="T38" s="31"/>
      <c r="V38" s="145" t="s">
        <v>72</v>
      </c>
      <c r="W38" s="257">
        <v>0.5</v>
      </c>
      <c r="X38" s="257">
        <v>0.5</v>
      </c>
      <c r="Y38" s="211"/>
      <c r="Z38" s="211"/>
      <c r="AA38" s="169">
        <f t="shared" si="0"/>
        <v>1</v>
      </c>
      <c r="AB38" s="261">
        <v>4.0223950000000004</v>
      </c>
      <c r="AC38" s="192" t="e">
        <f t="shared" si="1"/>
        <v>#N/A</v>
      </c>
      <c r="AF38" s="205" t="s">
        <v>84</v>
      </c>
      <c r="AG38" s="205" t="s">
        <v>85</v>
      </c>
      <c r="AH38" s="206" t="e">
        <f>(AB37+AB39)/($B$28*$Z$7/1000000)</f>
        <v>#N/A</v>
      </c>
      <c r="AI38" s="207" t="e">
        <f>IF(AH38&lt;1,"(!!!)","ok")</f>
        <v>#N/A</v>
      </c>
      <c r="AM38" s="185">
        <v>40787</v>
      </c>
      <c r="AN38" s="186">
        <v>5.0000000000000001E-3</v>
      </c>
    </row>
    <row r="39" spans="1:40">
      <c r="A39" s="12"/>
      <c r="B39" s="90"/>
      <c r="C39" s="94"/>
      <c r="D39" s="107"/>
      <c r="E39" s="107"/>
      <c r="F39" s="107"/>
      <c r="G39" s="107"/>
      <c r="H39" s="107"/>
      <c r="I39" s="79"/>
      <c r="J39" s="88"/>
      <c r="K39" s="30"/>
      <c r="L39" s="95"/>
      <c r="M39" s="30"/>
      <c r="N39" s="30"/>
      <c r="P39" s="30"/>
      <c r="Q39" s="30"/>
      <c r="R39" s="30"/>
      <c r="S39" s="30"/>
      <c r="T39" s="31"/>
      <c r="V39" s="170" t="s">
        <v>65</v>
      </c>
      <c r="W39" s="257">
        <v>1</v>
      </c>
      <c r="X39" s="211"/>
      <c r="Y39" s="211"/>
      <c r="Z39" s="211"/>
      <c r="AA39" s="169">
        <f t="shared" si="0"/>
        <v>1</v>
      </c>
      <c r="AB39" s="261">
        <v>14.272663</v>
      </c>
      <c r="AC39" s="192" t="e">
        <f t="shared" si="1"/>
        <v>#N/A</v>
      </c>
      <c r="AM39" s="185">
        <v>40817</v>
      </c>
      <c r="AN39" s="186">
        <v>1.3999999999999999E-2</v>
      </c>
    </row>
    <row r="40" spans="1:40">
      <c r="A40" s="12"/>
      <c r="B40" s="124" t="e">
        <f>SUM(B35:B39)</f>
        <v>#N/A</v>
      </c>
      <c r="C40" s="91" t="e">
        <f>B40/$B$42</f>
        <v>#N/A</v>
      </c>
      <c r="D40" s="107"/>
      <c r="E40" s="107"/>
      <c r="F40" s="107"/>
      <c r="G40" s="107"/>
      <c r="H40" s="107"/>
      <c r="I40" s="79"/>
      <c r="J40" s="88"/>
      <c r="K40" s="30"/>
      <c r="L40" s="59"/>
      <c r="M40" s="30"/>
      <c r="N40" s="30"/>
      <c r="P40" s="30"/>
      <c r="Q40" s="30"/>
      <c r="R40" s="30"/>
      <c r="S40" s="30"/>
      <c r="T40" s="31"/>
      <c r="V40" s="170" t="s">
        <v>86</v>
      </c>
      <c r="W40" s="257">
        <v>1</v>
      </c>
      <c r="X40" s="211"/>
      <c r="Y40" s="211"/>
      <c r="Z40" s="211"/>
      <c r="AA40" s="169">
        <f t="shared" si="0"/>
        <v>1</v>
      </c>
      <c r="AB40" s="261">
        <v>4.1961570000000004</v>
      </c>
      <c r="AC40" s="192" t="e">
        <f t="shared" si="1"/>
        <v>#N/A</v>
      </c>
      <c r="AF40" s="186"/>
      <c r="AM40" s="185">
        <v>40848</v>
      </c>
      <c r="AN40" s="186">
        <v>5.0000000000000001E-3</v>
      </c>
    </row>
    <row r="41" spans="1:40">
      <c r="A41" s="12"/>
      <c r="B41" s="90"/>
      <c r="C41" s="94"/>
      <c r="D41" s="107"/>
      <c r="E41" s="107"/>
      <c r="F41" s="107"/>
      <c r="G41" s="107"/>
      <c r="H41" s="107"/>
      <c r="I41" s="79"/>
      <c r="J41" s="88"/>
      <c r="K41" s="30"/>
      <c r="L41" s="59"/>
      <c r="M41" s="30"/>
      <c r="N41" s="30"/>
      <c r="P41" s="30"/>
      <c r="Q41" s="30"/>
      <c r="R41" s="30"/>
      <c r="S41" s="30"/>
      <c r="T41" s="31"/>
      <c r="V41" s="145" t="s">
        <v>81</v>
      </c>
      <c r="W41" s="257">
        <v>0.92500000000000004</v>
      </c>
      <c r="X41" s="257">
        <v>7.4999999999999997E-2</v>
      </c>
      <c r="Y41" s="212"/>
      <c r="Z41" s="212"/>
      <c r="AA41" s="169">
        <f t="shared" si="0"/>
        <v>1</v>
      </c>
      <c r="AB41" s="261">
        <v>5.0657399999999999</v>
      </c>
      <c r="AC41" s="192" t="e">
        <f t="shared" si="1"/>
        <v>#N/A</v>
      </c>
      <c r="AM41" s="185">
        <v>40878</v>
      </c>
      <c r="AN41" s="186">
        <v>6.0000000000000001E-3</v>
      </c>
    </row>
    <row r="42" spans="1:40">
      <c r="A42" s="14"/>
      <c r="B42" s="23" t="e">
        <f>B40+B33</f>
        <v>#N/A</v>
      </c>
      <c r="C42" s="17"/>
      <c r="D42" s="107"/>
      <c r="E42" s="107"/>
      <c r="F42" s="107"/>
      <c r="G42" s="107"/>
      <c r="H42" s="107"/>
      <c r="I42" s="79"/>
      <c r="J42" s="88"/>
      <c r="K42" s="30"/>
      <c r="L42" s="59"/>
      <c r="M42" s="30"/>
      <c r="N42" s="30"/>
      <c r="P42" s="30"/>
      <c r="Q42" s="30"/>
      <c r="R42" s="30"/>
      <c r="S42" s="30"/>
      <c r="T42" s="31"/>
      <c r="V42" s="145" t="s">
        <v>82</v>
      </c>
      <c r="W42" s="257">
        <v>1</v>
      </c>
      <c r="X42" s="211"/>
      <c r="Y42" s="212"/>
      <c r="Z42" s="212"/>
      <c r="AA42" s="169">
        <f t="shared" si="0"/>
        <v>1</v>
      </c>
      <c r="AB42" s="261">
        <v>1.8612</v>
      </c>
      <c r="AC42" s="192" t="e">
        <f t="shared" si="1"/>
        <v>#N/A</v>
      </c>
      <c r="AM42" s="185">
        <v>40909</v>
      </c>
      <c r="AN42" s="186">
        <v>-2E-3</v>
      </c>
    </row>
    <row r="43" spans="1:40">
      <c r="D43" s="106"/>
      <c r="E43" s="106"/>
      <c r="F43" s="106"/>
      <c r="G43" s="106"/>
      <c r="H43" s="106"/>
      <c r="I43" s="79"/>
      <c r="J43" s="59"/>
      <c r="K43" s="30"/>
      <c r="L43" s="30"/>
      <c r="M43" s="30"/>
      <c r="N43" s="30"/>
      <c r="P43" s="30"/>
      <c r="Q43" s="30"/>
      <c r="R43" s="30"/>
      <c r="S43" s="30"/>
      <c r="T43" s="30"/>
      <c r="V43" s="164" t="s">
        <v>73</v>
      </c>
      <c r="W43" s="211"/>
      <c r="X43" s="211"/>
      <c r="Y43" s="257">
        <v>1</v>
      </c>
      <c r="Z43" s="211"/>
      <c r="AA43" s="169">
        <f t="shared" si="0"/>
        <v>1</v>
      </c>
      <c r="AB43" s="261">
        <v>3.886339</v>
      </c>
      <c r="AC43" s="192" t="e">
        <f t="shared" si="1"/>
        <v>#N/A</v>
      </c>
      <c r="AH43" s="18"/>
      <c r="AM43" s="185">
        <v>40940</v>
      </c>
      <c r="AN43" s="186">
        <v>8.0000000000000002E-3</v>
      </c>
    </row>
    <row r="44" spans="1:40">
      <c r="D44" s="107"/>
      <c r="E44" s="107"/>
      <c r="F44" s="107"/>
      <c r="G44" s="107"/>
      <c r="H44" s="107"/>
      <c r="I44" s="59"/>
      <c r="J44" s="59"/>
      <c r="K44" s="30"/>
      <c r="L44" s="30"/>
      <c r="M44" s="30"/>
      <c r="N44" s="30"/>
      <c r="P44" s="30"/>
      <c r="Q44" s="30"/>
      <c r="R44" s="30"/>
      <c r="S44" s="30"/>
      <c r="T44" s="30"/>
      <c r="V44" s="164" t="s">
        <v>74</v>
      </c>
      <c r="W44" s="211"/>
      <c r="X44" s="211"/>
      <c r="Y44" s="257">
        <v>1</v>
      </c>
      <c r="Z44" s="211"/>
      <c r="AA44" s="169">
        <f t="shared" si="0"/>
        <v>1</v>
      </c>
      <c r="AB44" s="261">
        <v>6.8844599999999998</v>
      </c>
      <c r="AC44" s="192" t="e">
        <f t="shared" si="1"/>
        <v>#N/A</v>
      </c>
      <c r="AD44" s="200" t="e">
        <f>IF((((AB46-W7)^2)^0.5)&lt;0.05," "," vérifier position")</f>
        <v>#N/A</v>
      </c>
      <c r="AM44" s="185">
        <v>40969</v>
      </c>
      <c r="AN44" s="186">
        <v>1.2E-2</v>
      </c>
    </row>
    <row r="45" spans="1:40">
      <c r="D45" s="100"/>
      <c r="E45" s="100"/>
      <c r="F45" s="100"/>
      <c r="G45" s="100"/>
      <c r="H45" s="100"/>
      <c r="I45" s="30"/>
      <c r="J45" s="30"/>
      <c r="K45" s="13"/>
      <c r="L45" s="30"/>
      <c r="M45" s="30"/>
      <c r="N45" s="30"/>
      <c r="P45" s="30"/>
      <c r="Q45" s="30"/>
      <c r="R45" s="30"/>
      <c r="S45" s="30"/>
      <c r="T45" s="30"/>
      <c r="V45" s="164" t="s">
        <v>75</v>
      </c>
      <c r="W45" s="211"/>
      <c r="X45" s="211"/>
      <c r="Y45" s="257">
        <v>1</v>
      </c>
      <c r="Z45" s="211"/>
      <c r="AA45" s="169">
        <f t="shared" si="0"/>
        <v>1</v>
      </c>
      <c r="AB45" s="261">
        <v>5.7464500000000003</v>
      </c>
      <c r="AC45" s="192" t="e">
        <f t="shared" si="1"/>
        <v>#N/A</v>
      </c>
      <c r="AH45" s="199"/>
      <c r="AM45" s="185">
        <v>41000</v>
      </c>
      <c r="AN45" s="186">
        <v>2.4E-2</v>
      </c>
    </row>
    <row r="46" spans="1:40" ht="13.5" thickBot="1">
      <c r="K46" s="219"/>
      <c r="V46" s="147"/>
      <c r="W46" s="119"/>
      <c r="X46" s="49"/>
      <c r="Y46" s="49"/>
      <c r="Z46" s="49"/>
      <c r="AA46" s="213"/>
      <c r="AB46" s="214" t="e">
        <f>SUM(AB26:AB45)</f>
        <v>#N/A</v>
      </c>
      <c r="AC46" s="215" t="e">
        <f>SUM(AC27:AC45)</f>
        <v>#N/A</v>
      </c>
      <c r="AF46" s="199"/>
      <c r="AM46" s="185">
        <v>41030</v>
      </c>
      <c r="AN46" s="186">
        <v>1.4999999999999999E-2</v>
      </c>
    </row>
    <row r="47" spans="1:40" ht="13.5" thickBot="1">
      <c r="A47" t="s">
        <v>102</v>
      </c>
      <c r="L47" s="143"/>
      <c r="M47" s="143"/>
      <c r="N47" s="143"/>
    </row>
    <row r="48" spans="1:40">
      <c r="K48" s="68"/>
      <c r="L48" s="268" t="s">
        <v>92</v>
      </c>
      <c r="M48" s="268"/>
      <c r="N48" s="268"/>
      <c r="O48" s="61"/>
      <c r="P48" s="50"/>
      <c r="Q48" s="50"/>
      <c r="R48" s="50"/>
      <c r="S48" s="50"/>
      <c r="T48" s="51"/>
    </row>
    <row r="49" spans="11:29">
      <c r="K49" s="40"/>
      <c r="L49" s="220" t="s">
        <v>90</v>
      </c>
      <c r="M49" s="220" t="s">
        <v>94</v>
      </c>
      <c r="N49" s="220"/>
      <c r="P49" s="220" t="s">
        <v>99</v>
      </c>
      <c r="Q49" s="30"/>
      <c r="S49" s="30"/>
      <c r="T49" s="44"/>
      <c r="U49" s="28"/>
      <c r="V49" s="28"/>
      <c r="W49" s="28"/>
      <c r="X49" s="30"/>
      <c r="Y49" s="30"/>
      <c r="Z49" s="30"/>
      <c r="AA49" s="193"/>
      <c r="AB49" s="30"/>
      <c r="AC49" s="30"/>
    </row>
    <row r="50" spans="11:29">
      <c r="K50" s="40"/>
      <c r="L50" s="221" t="s">
        <v>91</v>
      </c>
      <c r="M50" s="221" t="s">
        <v>93</v>
      </c>
      <c r="N50" s="221" t="s">
        <v>55</v>
      </c>
      <c r="P50" s="225" t="s">
        <v>95</v>
      </c>
      <c r="Q50" s="30"/>
      <c r="S50" s="30"/>
      <c r="T50" s="44"/>
      <c r="U50" s="28"/>
      <c r="V50" s="28"/>
      <c r="W50" s="28"/>
      <c r="X50" s="30"/>
      <c r="Y50" s="30"/>
      <c r="Z50" s="30"/>
      <c r="AA50" s="193"/>
      <c r="AB50" s="30"/>
      <c r="AC50" s="30"/>
    </row>
    <row r="51" spans="11:29">
      <c r="K51" s="224" t="s">
        <v>42</v>
      </c>
      <c r="L51" s="259">
        <v>-4.0199999999999996</v>
      </c>
      <c r="M51" s="259">
        <v>-7.49</v>
      </c>
      <c r="N51" s="259">
        <v>-3.47</v>
      </c>
      <c r="P51" s="223" t="e">
        <f>N51*C7</f>
        <v>#N/A</v>
      </c>
      <c r="Q51" s="30"/>
      <c r="S51" s="30"/>
      <c r="T51" s="44"/>
    </row>
    <row r="52" spans="11:29" ht="13.5" thickBot="1">
      <c r="K52" s="224" t="s">
        <v>41</v>
      </c>
      <c r="L52" s="259">
        <v>-5.64</v>
      </c>
      <c r="M52" s="259">
        <v>-9.4700000000000006</v>
      </c>
      <c r="N52" s="259">
        <v>-3.83</v>
      </c>
      <c r="P52" s="222" t="e">
        <f>N52*C8</f>
        <v>#N/A</v>
      </c>
      <c r="Q52" s="30"/>
      <c r="S52" s="30"/>
      <c r="T52" s="44"/>
    </row>
    <row r="53" spans="11:29">
      <c r="K53" s="40"/>
      <c r="L53" s="30"/>
      <c r="M53" s="30"/>
      <c r="N53" s="30"/>
      <c r="P53" s="226" t="e">
        <f>SUM(P51:P52)</f>
        <v>#N/A</v>
      </c>
      <c r="Q53" s="30"/>
      <c r="S53" s="30"/>
      <c r="T53" s="44"/>
    </row>
    <row r="54" spans="11:29">
      <c r="K54" s="40"/>
      <c r="L54" s="30"/>
      <c r="M54" s="30"/>
      <c r="N54" s="30"/>
      <c r="P54" s="30"/>
      <c r="Q54" s="30"/>
      <c r="R54" s="190"/>
      <c r="S54" s="30"/>
      <c r="T54" s="44"/>
    </row>
    <row r="55" spans="11:29">
      <c r="K55" s="40"/>
      <c r="L55" s="30"/>
      <c r="M55" s="30"/>
      <c r="N55" s="30"/>
      <c r="P55" s="30"/>
      <c r="Q55" s="30"/>
      <c r="R55" s="190"/>
      <c r="S55" s="30"/>
      <c r="T55" s="44"/>
    </row>
    <row r="56" spans="11:29">
      <c r="K56" s="39" t="s">
        <v>96</v>
      </c>
      <c r="L56" s="30" t="s">
        <v>97</v>
      </c>
      <c r="M56" s="30"/>
      <c r="N56" s="30"/>
      <c r="P56" s="30"/>
      <c r="Q56" s="30"/>
      <c r="R56" s="30"/>
      <c r="S56" s="30"/>
      <c r="T56" s="44"/>
    </row>
    <row r="57" spans="11:29">
      <c r="K57" s="40"/>
      <c r="L57" s="30" t="s">
        <v>98</v>
      </c>
      <c r="M57" s="30"/>
      <c r="N57" s="30"/>
      <c r="P57" s="30"/>
      <c r="Q57" s="30"/>
      <c r="R57" s="30"/>
      <c r="S57" s="30"/>
      <c r="T57" s="44"/>
    </row>
    <row r="58" spans="11:29">
      <c r="K58" s="40"/>
      <c r="L58" s="30" t="s">
        <v>100</v>
      </c>
      <c r="M58" s="30"/>
      <c r="N58" s="30"/>
      <c r="P58" s="30"/>
      <c r="Q58" s="30"/>
      <c r="R58" s="30"/>
      <c r="S58" s="30"/>
      <c r="T58" s="44"/>
    </row>
    <row r="59" spans="11:29">
      <c r="K59" s="40"/>
      <c r="L59" s="30" t="s">
        <v>101</v>
      </c>
      <c r="M59" s="30"/>
      <c r="N59" s="30"/>
      <c r="P59" s="30"/>
      <c r="Q59" s="30"/>
      <c r="R59" s="30"/>
      <c r="S59" s="30"/>
      <c r="T59" s="44"/>
    </row>
    <row r="60" spans="11:29">
      <c r="K60" s="40"/>
      <c r="L60" s="30"/>
      <c r="M60" s="30"/>
      <c r="N60" s="30"/>
      <c r="P60" s="30"/>
      <c r="Q60" s="30"/>
      <c r="R60" s="30"/>
      <c r="S60" s="30"/>
      <c r="T60" s="44"/>
    </row>
    <row r="61" spans="11:29">
      <c r="K61" s="40"/>
      <c r="L61" s="30"/>
      <c r="M61" s="30"/>
      <c r="N61" s="30"/>
      <c r="P61" s="30"/>
      <c r="Q61" s="30"/>
      <c r="R61" s="30"/>
      <c r="S61" s="30"/>
      <c r="T61" s="44"/>
    </row>
    <row r="62" spans="11:29" ht="13.5" thickBot="1">
      <c r="K62" s="41"/>
      <c r="L62" s="49"/>
      <c r="M62" s="49"/>
      <c r="N62" s="49"/>
      <c r="O62" s="119"/>
      <c r="P62" s="49"/>
      <c r="Q62" s="49"/>
      <c r="R62" s="49"/>
      <c r="S62" s="49"/>
      <c r="T62" s="45"/>
    </row>
  </sheetData>
  <mergeCells count="8">
    <mergeCell ref="A4:A5"/>
    <mergeCell ref="B2:C2"/>
    <mergeCell ref="B3:C3"/>
    <mergeCell ref="L48:N48"/>
    <mergeCell ref="W1:Y1"/>
    <mergeCell ref="W2:Y2"/>
    <mergeCell ref="W23:Y24"/>
    <mergeCell ref="V4:Z4"/>
  </mergeCells>
  <phoneticPr fontId="11" type="noConversion"/>
  <conditionalFormatting sqref="Z7">
    <cfRule type="cellIs" dxfId="2" priority="1" stopIfTrue="1" operator="between">
      <formula>-0.1</formula>
      <formula>0.05</formula>
    </cfRule>
  </conditionalFormatting>
  <conditionalFormatting sqref="AA24:AA26">
    <cfRule type="cellIs" priority="2" stopIfTrue="1" operator="equal">
      <formula>1</formula>
    </cfRule>
  </conditionalFormatting>
  <conditionalFormatting sqref="AA27:AA45">
    <cfRule type="cellIs" dxfId="1" priority="3" stopIfTrue="1" operator="notEqual">
      <formula>1</formula>
    </cfRule>
  </conditionalFormatting>
  <conditionalFormatting sqref="AI38">
    <cfRule type="cellIs" dxfId="0" priority="4" stopIfTrue="1" operator="equal">
      <formula>"(!!!)"</formula>
    </cfRule>
  </conditionalFormatting>
  <pageMargins left="0.2" right="0.17" top="0.2" bottom="0.22" header="0.17" footer="0.18"/>
  <pageSetup paperSize="9" scale="8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6:F40"/>
  <sheetViews>
    <sheetView workbookViewId="0">
      <selection activeCell="C11" sqref="C11"/>
    </sheetView>
  </sheetViews>
  <sheetFormatPr baseColWidth="10" defaultRowHeight="12.75"/>
  <cols>
    <col min="1" max="1" width="35" customWidth="1"/>
    <col min="2" max="2" width="13.7109375" bestFit="1" customWidth="1"/>
    <col min="3" max="3" width="19.28515625" customWidth="1"/>
    <col min="4" max="4" width="21.85546875" customWidth="1"/>
    <col min="5" max="5" width="23.28515625" customWidth="1"/>
  </cols>
  <sheetData>
    <row r="6" spans="1:4" ht="13.5" thickBot="1"/>
    <row r="7" spans="1:4" ht="13.5" thickBot="1">
      <c r="A7" s="241" t="s">
        <v>0</v>
      </c>
      <c r="B7" s="242"/>
      <c r="C7" s="243" t="e">
        <f>VLOOKUP("Total Mandat",Feuil1!A:B,2,0)</f>
        <v>#N/A</v>
      </c>
    </row>
    <row r="8" spans="1:4" ht="13.5" thickBot="1"/>
    <row r="9" spans="1:4" ht="13.5" thickBot="1">
      <c r="A9" s="241" t="s">
        <v>1</v>
      </c>
      <c r="B9" s="242"/>
      <c r="C9" s="244"/>
    </row>
    <row r="10" spans="1:4">
      <c r="A10" s="236" t="s">
        <v>9</v>
      </c>
      <c r="B10" s="50"/>
      <c r="C10" s="51"/>
    </row>
    <row r="11" spans="1:4">
      <c r="A11" s="237" t="s">
        <v>42</v>
      </c>
      <c r="B11" s="30" t="s">
        <v>105</v>
      </c>
      <c r="C11" s="238" t="e">
        <f>VLOOKUP(B11,Feuil1!F:J,4,0)</f>
        <v>#N/A</v>
      </c>
      <c r="D11" t="e">
        <f>C11/C18</f>
        <v>#N/A</v>
      </c>
    </row>
    <row r="12" spans="1:4">
      <c r="A12" s="237" t="s">
        <v>41</v>
      </c>
      <c r="B12" s="30" t="s">
        <v>106</v>
      </c>
      <c r="C12" s="238" t="e">
        <f>VLOOKUP(B12,Feuil1!F:J,4,0)</f>
        <v>#N/A</v>
      </c>
      <c r="D12" t="e">
        <f>C12/C18</f>
        <v>#N/A</v>
      </c>
    </row>
    <row r="13" spans="1:4">
      <c r="A13" s="239" t="s">
        <v>4</v>
      </c>
      <c r="B13" s="30"/>
      <c r="C13" s="238" t="e">
        <f>VLOOKUP("fonds actions",Feuil1!A:B,2,0)</f>
        <v>#N/A</v>
      </c>
      <c r="D13" t="e">
        <f>C13/C18</f>
        <v>#N/A</v>
      </c>
    </row>
    <row r="14" spans="1:4">
      <c r="A14" s="239" t="s">
        <v>37</v>
      </c>
      <c r="B14" s="30" t="s">
        <v>104</v>
      </c>
      <c r="C14" s="238" t="e">
        <f>VLOOKUP("Obligations",Feuil1!A:B,2,0)+VLOOKUP(B14,Feuil1!F:J,4,0)</f>
        <v>#N/A</v>
      </c>
      <c r="D14" t="e">
        <f>C14/C18</f>
        <v>#N/A</v>
      </c>
    </row>
    <row r="15" spans="1:4">
      <c r="A15" s="239" t="s">
        <v>5</v>
      </c>
      <c r="B15" s="30"/>
      <c r="C15" s="44"/>
    </row>
    <row r="16" spans="1:4">
      <c r="A16" s="239" t="s">
        <v>11</v>
      </c>
      <c r="B16" s="30"/>
      <c r="C16" s="238" t="e">
        <f>VLOOKUP("fonds structures",Feuil1!A:B,2,0)</f>
        <v>#N/A</v>
      </c>
      <c r="D16" t="e">
        <f>C16/C18</f>
        <v>#N/A</v>
      </c>
    </row>
    <row r="17" spans="1:6">
      <c r="A17" s="239" t="s">
        <v>43</v>
      </c>
      <c r="B17" s="30"/>
      <c r="C17" s="238" t="e">
        <f>VLOOKUP("monetaire",Feuil1!A:B,2,0)</f>
        <v>#N/A</v>
      </c>
    </row>
    <row r="18" spans="1:6" ht="13.5" thickBot="1">
      <c r="A18" s="240" t="s">
        <v>7</v>
      </c>
      <c r="B18" s="49"/>
      <c r="C18" s="247" t="e">
        <f>C11+C12+C13+C14+C16+C17</f>
        <v>#N/A</v>
      </c>
    </row>
    <row r="19" spans="1:6" ht="13.5" thickBot="1"/>
    <row r="20" spans="1:6" ht="13.5" thickBot="1">
      <c r="A20" s="241" t="s">
        <v>2</v>
      </c>
      <c r="B20" s="242"/>
      <c r="C20" s="242"/>
      <c r="D20" s="242"/>
      <c r="E20" s="244"/>
    </row>
    <row r="21" spans="1:6">
      <c r="A21" s="246"/>
      <c r="B21" s="50"/>
      <c r="C21" s="50" t="s">
        <v>112</v>
      </c>
      <c r="D21" s="50" t="s">
        <v>111</v>
      </c>
      <c r="E21" s="51" t="s">
        <v>6</v>
      </c>
    </row>
    <row r="22" spans="1:6">
      <c r="A22" s="237" t="s">
        <v>42</v>
      </c>
      <c r="B22" s="30" t="s">
        <v>105</v>
      </c>
      <c r="C22" s="245" t="e">
        <f>VLOOKUP($B22&amp;" "&amp;C$21,Feuil1!$A:$B,2,0)/$C$11</f>
        <v>#N/A</v>
      </c>
      <c r="D22" s="245" t="e">
        <f>VLOOKUP($B22&amp;" "&amp;D$21,Feuil1!$A:$B,2,0)/$C$11</f>
        <v>#N/A</v>
      </c>
      <c r="E22" s="245" t="e">
        <f>VLOOKUP($B22&amp;" "&amp;E$21,Feuil1!$A:$B,2,0)/$C$11</f>
        <v>#N/A</v>
      </c>
    </row>
    <row r="23" spans="1:6">
      <c r="A23" s="237" t="s">
        <v>41</v>
      </c>
      <c r="B23" s="30" t="s">
        <v>106</v>
      </c>
      <c r="C23" s="245" t="e">
        <f>VLOOKUP($B23&amp;" "&amp;C$21,Feuil1!$A:$B,2,0)/$C$12</f>
        <v>#N/A</v>
      </c>
      <c r="D23" s="245" t="e">
        <f>VLOOKUP($B23&amp;" "&amp;D$21,Feuil1!$A:$B,2,0)/$C$12</f>
        <v>#N/A</v>
      </c>
      <c r="E23" s="245" t="e">
        <f>VLOOKUP($B23&amp;" "&amp;E$21,Feuil1!$A:$B,2,0)/$C$12</f>
        <v>#N/A</v>
      </c>
    </row>
    <row r="24" spans="1:6" ht="13.5" thickBot="1">
      <c r="A24" s="41"/>
      <c r="B24" s="49"/>
      <c r="C24" s="49"/>
      <c r="D24" s="49"/>
      <c r="E24" s="45"/>
    </row>
    <row r="26" spans="1:6" ht="13.5" thickBot="1"/>
    <row r="27" spans="1:6">
      <c r="A27" s="68" t="s">
        <v>113</v>
      </c>
      <c r="B27" s="50"/>
      <c r="C27" s="50"/>
      <c r="D27" s="50"/>
      <c r="E27" s="50"/>
      <c r="F27" s="51"/>
    </row>
    <row r="28" spans="1:6">
      <c r="A28" s="40"/>
      <c r="B28" s="30"/>
      <c r="C28" s="30"/>
      <c r="D28" s="30"/>
      <c r="E28" s="100" t="s">
        <v>114</v>
      </c>
      <c r="F28" s="251" t="s">
        <v>51</v>
      </c>
    </row>
    <row r="29" spans="1:6">
      <c r="A29" s="85" t="s">
        <v>28</v>
      </c>
      <c r="B29" s="205"/>
      <c r="C29" s="248" t="e">
        <f>SUM(C30:C32)</f>
        <v>#N/A</v>
      </c>
      <c r="D29" s="249" t="e">
        <f>C29/C37</f>
        <v>#N/A</v>
      </c>
      <c r="E29" s="30"/>
      <c r="F29" s="44"/>
    </row>
    <row r="30" spans="1:6">
      <c r="A30" s="116" t="s">
        <v>45</v>
      </c>
      <c r="B30" s="30" t="s">
        <v>109</v>
      </c>
      <c r="C30" s="198" t="e">
        <f>VLOOKUP(B30,Feuil1!F:J,4,0)</f>
        <v>#N/A</v>
      </c>
      <c r="D30" s="30"/>
      <c r="E30" s="252" t="e">
        <f>C30/VLOOKUP(B30,Feuil1!F:K,6,0)</f>
        <v>#N/A</v>
      </c>
      <c r="F30" s="44"/>
    </row>
    <row r="31" spans="1:6">
      <c r="A31" s="116" t="s">
        <v>48</v>
      </c>
      <c r="B31" s="30" t="s">
        <v>107</v>
      </c>
      <c r="C31" s="198" t="e">
        <f>VLOOKUP(B31,Feuil1!F:J,4,0)</f>
        <v>#N/A</v>
      </c>
      <c r="D31" s="30"/>
      <c r="E31" s="252" t="e">
        <f>C31/VLOOKUP(B31,Feuil1!F:K,6,0)</f>
        <v>#N/A</v>
      </c>
      <c r="F31" s="44"/>
    </row>
    <row r="32" spans="1:6">
      <c r="A32" s="116" t="s">
        <v>47</v>
      </c>
      <c r="B32" s="30" t="s">
        <v>110</v>
      </c>
      <c r="C32" s="198" t="e">
        <f>VLOOKUP(B32,Feuil1!F:J,4,0)</f>
        <v>#N/A</v>
      </c>
      <c r="D32" s="30"/>
      <c r="E32" s="252" t="e">
        <f>C32/VLOOKUP(B32,Feuil1!F:K,6,0)</f>
        <v>#N/A</v>
      </c>
      <c r="F32" s="44"/>
    </row>
    <row r="33" spans="1:6">
      <c r="A33" s="40"/>
      <c r="B33" s="30"/>
      <c r="C33" s="30"/>
      <c r="D33" s="30"/>
      <c r="E33" s="30"/>
      <c r="F33" s="44"/>
    </row>
    <row r="34" spans="1:6">
      <c r="A34" s="85" t="s">
        <v>33</v>
      </c>
      <c r="B34" s="205"/>
      <c r="C34" s="248" t="e">
        <f>SUM(C35:C35)</f>
        <v>#N/A</v>
      </c>
      <c r="D34" s="249" t="e">
        <f>C34/C37</f>
        <v>#N/A</v>
      </c>
      <c r="E34" s="30"/>
      <c r="F34" s="44"/>
    </row>
    <row r="35" spans="1:6">
      <c r="A35" s="116" t="s">
        <v>49</v>
      </c>
      <c r="B35" s="30" t="s">
        <v>108</v>
      </c>
      <c r="C35" s="198" t="e">
        <f>VLOOKUP(B35,Feuil1!F:J,4,0)</f>
        <v>#N/A</v>
      </c>
      <c r="D35" s="30"/>
      <c r="E35" s="252" t="e">
        <f>C35/VLOOKUP(B35,Feuil1!F:K,6,0)</f>
        <v>#N/A</v>
      </c>
      <c r="F35" s="44"/>
    </row>
    <row r="36" spans="1:6">
      <c r="A36" s="40"/>
      <c r="B36" s="30"/>
      <c r="C36" s="30"/>
      <c r="D36" s="30"/>
      <c r="E36" s="30"/>
      <c r="F36" s="44"/>
    </row>
    <row r="37" spans="1:6">
      <c r="A37" s="40"/>
      <c r="B37" s="30"/>
      <c r="C37" s="250" t="e">
        <f>C34+C29</f>
        <v>#N/A</v>
      </c>
      <c r="D37" s="30"/>
      <c r="E37" s="30"/>
      <c r="F37" s="44"/>
    </row>
    <row r="38" spans="1:6" ht="13.5" thickBot="1">
      <c r="A38" s="41"/>
      <c r="B38" s="49"/>
      <c r="C38" s="49"/>
      <c r="D38" s="49"/>
      <c r="E38" s="49"/>
      <c r="F38" s="45"/>
    </row>
    <row r="40" spans="1:6">
      <c r="B40" s="30"/>
    </row>
  </sheetData>
  <phoneticPr fontId="1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1" sqref="D41"/>
    </sheetView>
  </sheetViews>
  <sheetFormatPr baseColWidth="10" defaultRowHeight="12.75"/>
  <cols>
    <col min="1" max="1" width="24" customWidth="1"/>
    <col min="2" max="2" width="18.140625" customWidth="1"/>
    <col min="5" max="5" width="15.5703125" customWidth="1"/>
    <col min="6" max="6" width="1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Report PREV</vt:lpstr>
      <vt:lpstr>DataW</vt:lpstr>
      <vt:lpstr>Feuil1</vt:lpstr>
      <vt:lpstr>'Report PREV'!Zone_d_impression</vt:lpstr>
    </vt:vector>
  </TitlesOfParts>
  <Company>MEDERIC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</dc:creator>
  <cp:lastModifiedBy>tqa</cp:lastModifiedBy>
  <cp:lastPrinted>2012-04-16T13:10:39Z</cp:lastPrinted>
  <dcterms:created xsi:type="dcterms:W3CDTF">2009-03-10T17:16:15Z</dcterms:created>
  <dcterms:modified xsi:type="dcterms:W3CDTF">2012-11-13T14:28:21Z</dcterms:modified>
</cp:coreProperties>
</file>