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9635" yWindow="-225" windowWidth="19080" windowHeight="12345"/>
  </bookViews>
  <sheets>
    <sheet name="actifs obligataires" sheetId="17" r:id="rId1"/>
    <sheet name="actifs actions" sheetId="18" r:id="rId2"/>
    <sheet name="Feuil1" sheetId="19" r:id="rId3"/>
  </sheets>
  <calcPr calcId="125725"/>
</workbook>
</file>

<file path=xl/calcChain.xml><?xml version="1.0" encoding="utf-8"?>
<calcChain xmlns="http://schemas.openxmlformats.org/spreadsheetml/2006/main">
  <c r="C79" i="17"/>
  <c r="C35" l="1"/>
  <c r="C34"/>
  <c r="C33"/>
  <c r="C32"/>
  <c r="C17"/>
  <c r="C16"/>
  <c r="C15"/>
  <c r="C14"/>
  <c r="C36"/>
  <c r="C18"/>
  <c r="C1" i="18"/>
  <c r="C1" i="17"/>
  <c r="C108" l="1"/>
  <c r="C109"/>
  <c r="B110"/>
  <c r="C104"/>
  <c r="C98"/>
  <c r="C99"/>
  <c r="C100"/>
  <c r="C101"/>
  <c r="C102"/>
  <c r="C103"/>
  <c r="C105"/>
  <c r="C106"/>
  <c r="C107"/>
  <c r="C97"/>
  <c r="C56"/>
  <c r="C78"/>
  <c r="C77"/>
  <c r="C76"/>
  <c r="C75"/>
  <c r="C74"/>
  <c r="C55"/>
  <c r="C54"/>
  <c r="C53"/>
  <c r="C52"/>
  <c r="C25" i="18"/>
  <c r="C6"/>
  <c r="C13" i="17"/>
  <c r="C31"/>
  <c r="C96"/>
  <c r="C73"/>
  <c r="C51"/>
  <c r="C29" i="18"/>
  <c r="C27"/>
  <c r="C35"/>
  <c r="C34"/>
  <c r="C33"/>
  <c r="C32"/>
  <c r="C31"/>
  <c r="C30"/>
  <c r="C28"/>
  <c r="C26"/>
  <c r="C12"/>
  <c r="C11"/>
  <c r="C10"/>
  <c r="C9"/>
  <c r="C8"/>
  <c r="C7"/>
  <c r="B36"/>
  <c r="B13"/>
  <c r="B80" i="17"/>
  <c r="B57"/>
  <c r="B36"/>
  <c r="B18"/>
  <c r="C36" i="18" l="1"/>
  <c r="C57" i="17"/>
  <c r="C80"/>
  <c r="C13" i="18"/>
  <c r="C110" i="17"/>
</calcChain>
</file>

<file path=xl/comments1.xml><?xml version="1.0" encoding="utf-8"?>
<comments xmlns="http://schemas.openxmlformats.org/spreadsheetml/2006/main">
  <authors>
    <author>MEDERIC</author>
  </authors>
  <commentList>
    <comment ref="C6" authorId="0">
      <text>
        <r>
          <rPr>
            <b/>
            <sz val="8"/>
            <color indexed="81"/>
            <rFont val="Tahoma"/>
          </rPr>
          <t>MEDERIC:</t>
        </r>
        <r>
          <rPr>
            <sz val="8"/>
            <color indexed="81"/>
            <rFont val="Tahoma"/>
          </rPr>
          <t xml:space="preserve">
Issu fiche reporting mensuel</t>
        </r>
      </text>
    </comment>
  </commentList>
</comments>
</file>

<file path=xl/sharedStrings.xml><?xml version="1.0" encoding="utf-8"?>
<sst xmlns="http://schemas.openxmlformats.org/spreadsheetml/2006/main" count="64" uniqueCount="60">
  <si>
    <t>Inflation</t>
  </si>
  <si>
    <t>Emetteurs privés</t>
  </si>
  <si>
    <t>AAA</t>
  </si>
  <si>
    <t>AA</t>
  </si>
  <si>
    <t>A</t>
  </si>
  <si>
    <t>NR</t>
  </si>
  <si>
    <t>Trésorerie</t>
  </si>
  <si>
    <t>Allemagne</t>
  </si>
  <si>
    <t>Autriche</t>
  </si>
  <si>
    <t>Belgique</t>
  </si>
  <si>
    <t>Espagne</t>
  </si>
  <si>
    <t>France</t>
  </si>
  <si>
    <t>Grèce</t>
  </si>
  <si>
    <t>Irlande</t>
  </si>
  <si>
    <t>Italie</t>
  </si>
  <si>
    <t>Pays bas</t>
  </si>
  <si>
    <t>Portugal</t>
  </si>
  <si>
    <t>Taux Fixe</t>
  </si>
  <si>
    <t>Taux Variable</t>
  </si>
  <si>
    <t>Assurances</t>
  </si>
  <si>
    <t>Banques</t>
  </si>
  <si>
    <t>Services financiers</t>
  </si>
  <si>
    <t>Corporates non financières</t>
  </si>
  <si>
    <t>Obligations foncières</t>
  </si>
  <si>
    <t>Supranational</t>
  </si>
  <si>
    <t>BBB et &lt; BBB</t>
  </si>
  <si>
    <t xml:space="preserve">QUATREM RETRAITE </t>
  </si>
  <si>
    <t xml:space="preserve">Duration moyenne </t>
  </si>
  <si>
    <t>Taux de rendement moyen</t>
  </si>
  <si>
    <t>Notation moyenne</t>
  </si>
  <si>
    <t>AA-</t>
  </si>
  <si>
    <t>Répartition par émetteur (VM)</t>
  </si>
  <si>
    <t>Répartition par type (VM)</t>
  </si>
  <si>
    <t>Répartition par notations des émetteurs privés (VM)</t>
  </si>
  <si>
    <t>Répartition sectorielle des émetteurs privés (VM)</t>
  </si>
  <si>
    <t>Répartition géographique dette souveraine et agences garanties d'état (VM)</t>
  </si>
  <si>
    <t>Répartition géographique  (VM)</t>
  </si>
  <si>
    <t>Euro</t>
  </si>
  <si>
    <t>Ex Euro</t>
  </si>
  <si>
    <t>Amérique</t>
  </si>
  <si>
    <t>Asie</t>
  </si>
  <si>
    <t>Emergents</t>
  </si>
  <si>
    <t>Autres (dont tréso)</t>
  </si>
  <si>
    <t>Répartition sectorielle (VM)</t>
  </si>
  <si>
    <t>Industrie</t>
  </si>
  <si>
    <t>Energie</t>
  </si>
  <si>
    <t>Industrie de base</t>
  </si>
  <si>
    <t>Services aux collectivités</t>
  </si>
  <si>
    <t>Santé</t>
  </si>
  <si>
    <t>Services aux consommateurs</t>
  </si>
  <si>
    <t>Technologie</t>
  </si>
  <si>
    <t>Télécom</t>
  </si>
  <si>
    <t>Biens de consommation</t>
  </si>
  <si>
    <t>Sociétés financières</t>
  </si>
  <si>
    <t>Finlande</t>
  </si>
  <si>
    <t>Luxembourg</t>
  </si>
  <si>
    <t>Agences non garanties</t>
  </si>
  <si>
    <t>(y c agences non garanties)</t>
  </si>
  <si>
    <t>Dette souveraine
(+ agences garanties d'état)</t>
  </si>
  <si>
    <t>Agences gouvernementales
(hors agences garanties d'état)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</si>
</sst>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6"/>
      <name val="Arial"/>
      <family val="2"/>
    </font>
    <font>
      <sz val="14"/>
      <name val="Arial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10" fontId="0" fillId="0" borderId="0" xfId="0" applyNumberFormat="1"/>
    <xf numFmtId="0" fontId="0" fillId="2" borderId="3" xfId="0" applyFill="1" applyBorder="1" applyAlignment="1">
      <alignment wrapText="1"/>
    </xf>
    <xf numFmtId="0" fontId="1" fillId="0" borderId="0" xfId="0" applyFont="1" applyFill="1" applyBorder="1"/>
    <xf numFmtId="0" fontId="2" fillId="0" borderId="0" xfId="0" applyFont="1"/>
    <xf numFmtId="9" fontId="0" fillId="0" borderId="0" xfId="0" applyNumberFormat="1" applyFill="1" applyBorder="1"/>
    <xf numFmtId="9" fontId="0" fillId="0" borderId="0" xfId="0" applyNumberFormat="1"/>
    <xf numFmtId="14" fontId="0" fillId="3" borderId="1" xfId="0" applyNumberFormat="1" applyFill="1" applyBorder="1" applyAlignment="1">
      <alignment horizontal="center"/>
    </xf>
    <xf numFmtId="10" fontId="0" fillId="0" borderId="1" xfId="0" applyNumberForma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14" fontId="6" fillId="0" borderId="0" xfId="0" applyNumberFormat="1" applyFont="1"/>
    <xf numFmtId="0" fontId="1" fillId="0" borderId="2" xfId="0" applyFont="1" applyFill="1" applyBorder="1"/>
    <xf numFmtId="10" fontId="0" fillId="0" borderId="0" xfId="1" applyNumberFormat="1" applyFont="1"/>
    <xf numFmtId="14" fontId="0" fillId="4" borderId="0" xfId="0" applyNumberFormat="1" applyFill="1"/>
    <xf numFmtId="0" fontId="3" fillId="4" borderId="1" xfId="0" applyFont="1" applyFill="1" applyBorder="1" applyAlignment="1">
      <alignment horizontal="center" vertical="center"/>
    </xf>
    <xf numFmtId="2" fontId="3" fillId="4" borderId="4" xfId="0" applyNumberFormat="1" applyFont="1" applyFill="1" applyBorder="1" applyAlignment="1">
      <alignment horizontal="center" vertical="center"/>
    </xf>
    <xf numFmtId="9" fontId="0" fillId="0" borderId="0" xfId="1" applyFont="1"/>
    <xf numFmtId="14" fontId="0" fillId="0" borderId="0" xfId="0" applyNumberFormat="1"/>
    <xf numFmtId="0" fontId="0" fillId="0" borderId="0" xfId="0" applyFill="1" applyBorder="1" applyAlignment="1">
      <alignment wrapText="1"/>
    </xf>
    <xf numFmtId="0" fontId="2" fillId="0" borderId="0" xfId="0" applyFont="1" applyFill="1" applyBorder="1" applyAlignment="1">
      <alignment horizontal="left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0.28005302079873029"/>
          <c:y val="0.16724738675958259"/>
          <c:w val="0.46367269009601181"/>
          <c:h val="0.76306620209059595"/>
        </c:manualLayout>
      </c:layout>
      <c:pie3DChart>
        <c:varyColors val="1"/>
        <c:ser>
          <c:idx val="0"/>
          <c:order val="0"/>
          <c:explosion val="6"/>
          <c:dPt>
            <c:idx val="2"/>
            <c:explosion val="14"/>
          </c:dPt>
          <c:dLbls>
            <c:dLbl>
              <c:idx val="0"/>
              <c:layout>
                <c:manualLayout>
                  <c:x val="6.3102198257184799E-2"/>
                  <c:y val="-5.1303830923573338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1"/>
              <c:layout>
                <c:manualLayout>
                  <c:x val="-6.6129048614516475E-2"/>
                  <c:y val="0.17547879685771045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2"/>
              <c:layout>
                <c:manualLayout>
                  <c:x val="-0.16233043610707101"/>
                  <c:y val="4.6077167183370356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3"/>
              <c:layout>
                <c:manualLayout>
                  <c:x val="0.1383730774736415"/>
                  <c:y val="-5.3500141750573826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4"/>
              <c:layout>
                <c:manualLayout>
                  <c:x val="-4.8688429571303586E-2"/>
                  <c:y val="-7.4591717701953927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5"/>
              <c:layout>
                <c:manualLayout>
                  <c:x val="3.6312226596675413E-2"/>
                  <c:y val="-7.7318460192476304E-2"/>
                </c:manualLayout>
              </c:layout>
              <c:dLblPos val="bestFit"/>
              <c:showVal val="1"/>
              <c:showCatName val="1"/>
              <c:separator>
</c:separator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b="1"/>
                </a:pPr>
                <a:endParaRPr lang="fr-FR"/>
              </a:p>
            </c:txPr>
            <c:showVal val="1"/>
            <c:showCatName val="1"/>
            <c:separator>
</c:separator>
            <c:showLeaderLines val="1"/>
          </c:dLbls>
          <c:cat>
            <c:strRef>
              <c:f>'actifs obligataires'!$A$14:$A$17</c:f>
              <c:strCache>
                <c:ptCount val="4"/>
                <c:pt idx="0">
                  <c:v>Dette souveraine
(+ agences garanties d'état)</c:v>
                </c:pt>
                <c:pt idx="1">
                  <c:v>Emetteurs privés</c:v>
                </c:pt>
                <c:pt idx="2">
                  <c:v>Agences gouvernementales
(hors agences garanties d'état)</c:v>
                </c:pt>
                <c:pt idx="3">
                  <c:v>Trésorerie</c:v>
                </c:pt>
              </c:strCache>
            </c:strRef>
          </c:cat>
          <c:val>
            <c:numRef>
              <c:f>'actifs obligataires'!$B$14:$B$17</c:f>
              <c:numCache>
                <c:formatCode>0%</c:formatCode>
                <c:ptCount val="4"/>
                <c:pt idx="0">
                  <c:v>0.56599999999999995</c:v>
                </c:pt>
                <c:pt idx="1">
                  <c:v>0.32</c:v>
                </c:pt>
                <c:pt idx="2">
                  <c:v>9.4E-2</c:v>
                </c:pt>
                <c:pt idx="3">
                  <c:v>0.02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printSettings>
    <c:headerFooter/>
    <c:pageMargins b="0.98425196899999956" l="0.78740157499999996" r="0.78740157499999996" t="0.98425196899999956" header="0.49212598450000122" footer="0.4921259845000012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0.22751352140366832"/>
          <c:y val="0.10726661721895549"/>
          <c:w val="0.53439222469233716"/>
          <c:h val="0.87197379158634225"/>
        </c:manualLayout>
      </c:layout>
      <c:pie3DChart>
        <c:varyColors val="1"/>
        <c:ser>
          <c:idx val="0"/>
          <c:order val="0"/>
          <c:explosion val="30"/>
          <c:dLbls>
            <c:dLbl>
              <c:idx val="0"/>
              <c:layout>
                <c:manualLayout>
                  <c:x val="0.25031289772119636"/>
                  <c:y val="-0.19879932134826644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1"/>
              <c:layout>
                <c:manualLayout>
                  <c:x val="-0.16637694011686391"/>
                  <c:y val="0.17981314025642536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2"/>
              <c:layout/>
              <c:dLblPos val="bestFit"/>
              <c:showVal val="1"/>
              <c:showCatName val="1"/>
              <c:separator>
</c:separator>
            </c:dLbl>
            <c:dLbl>
              <c:idx val="3"/>
              <c:layout>
                <c:manualLayout>
                  <c:x val="0.11332527131042011"/>
                  <c:y val="4.7053122185340704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4"/>
              <c:layout>
                <c:manualLayout>
                  <c:x val="-4.8688429571303586E-2"/>
                  <c:y val="-7.4591717701953927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5"/>
              <c:layout>
                <c:manualLayout>
                  <c:x val="3.6312226596675413E-2"/>
                  <c:y val="-7.7318460192476304E-2"/>
                </c:manualLayout>
              </c:layout>
              <c:dLblPos val="bestFit"/>
              <c:showVal val="1"/>
              <c:showCatName val="1"/>
              <c:separator>
</c:separator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b="1"/>
                </a:pPr>
                <a:endParaRPr lang="fr-FR"/>
              </a:p>
            </c:txPr>
            <c:showVal val="1"/>
            <c:showCatName val="1"/>
            <c:separator>
</c:separator>
            <c:showLeaderLines val="1"/>
          </c:dLbls>
          <c:cat>
            <c:strRef>
              <c:f>'actifs obligataires'!$A$32:$A$35</c:f>
              <c:strCache>
                <c:ptCount val="4"/>
                <c:pt idx="0">
                  <c:v>Taux Fixe</c:v>
                </c:pt>
                <c:pt idx="1">
                  <c:v>Inflation</c:v>
                </c:pt>
                <c:pt idx="2">
                  <c:v>Trésorerie</c:v>
                </c:pt>
                <c:pt idx="3">
                  <c:v>Taux Variable</c:v>
                </c:pt>
              </c:strCache>
            </c:strRef>
          </c:cat>
          <c:val>
            <c:numRef>
              <c:f>'actifs obligataires'!$B$32:$B$35</c:f>
              <c:numCache>
                <c:formatCode>0%</c:formatCode>
                <c:ptCount val="4"/>
                <c:pt idx="0">
                  <c:v>0.86</c:v>
                </c:pt>
                <c:pt idx="1">
                  <c:v>0.11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printSettings>
    <c:headerFooter/>
    <c:pageMargins b="0.98425196899999956" l="0.78740157499999996" r="0.78740157499999996" t="0.98425196899999956" header="0.49212598450000122" footer="0.4921259845000012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0.24438589079134596"/>
          <c:y val="0.10903459962336808"/>
          <c:w val="0.50198182973357375"/>
          <c:h val="0.73832000316395063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0.18003819487950296"/>
                  <c:y val="0.1251187744573217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1"/>
              <c:layout>
                <c:manualLayout>
                  <c:x val="-2.6143685389314292E-2"/>
                  <c:y val="0.22199920736366691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2"/>
              <c:layout>
                <c:manualLayout>
                  <c:x val="2.2598499832635927E-2"/>
                  <c:y val="0.1516352560769243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3"/>
              <c:layout>
                <c:manualLayout>
                  <c:x val="1.2414406045585268E-3"/>
                  <c:y val="-4.0686603746900592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4"/>
              <c:layout>
                <c:manualLayout>
                  <c:x val="-1.0251659082388283E-2"/>
                  <c:y val="-3.8389864865576123E-3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5"/>
              <c:layout>
                <c:manualLayout>
                  <c:x val="0.24632692465690384"/>
                  <c:y val="8.5367040632560527E-4"/>
                </c:manualLayout>
              </c:layout>
              <c:dLblPos val="bestFit"/>
              <c:showVal val="1"/>
              <c:showCatName val="1"/>
              <c:separator>
</c:separator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b="1"/>
                </a:pPr>
                <a:endParaRPr lang="fr-FR"/>
              </a:p>
            </c:txPr>
            <c:showVal val="1"/>
            <c:showCatName val="1"/>
            <c:separator>
</c:separator>
          </c:dLbls>
          <c:cat>
            <c:strRef>
              <c:f>'actifs obligataires'!$A$52:$A$56</c:f>
              <c:strCache>
                <c:ptCount val="5"/>
                <c:pt idx="0">
                  <c:v>AAA</c:v>
                </c:pt>
                <c:pt idx="1">
                  <c:v>AA</c:v>
                </c:pt>
                <c:pt idx="2">
                  <c:v>A</c:v>
                </c:pt>
                <c:pt idx="3">
                  <c:v>BBB et &lt; BBB</c:v>
                </c:pt>
                <c:pt idx="4">
                  <c:v>NR</c:v>
                </c:pt>
              </c:strCache>
            </c:strRef>
          </c:cat>
          <c:val>
            <c:numRef>
              <c:f>'actifs obligataires'!$C$52:$C$56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printSettings>
    <c:headerFooter/>
    <c:pageMargins b="0.98425196899999956" l="0.78740157499999996" r="0.78740157499999996" t="0.98425196899999956" header="0.49212598450000122" footer="0.4921259845000012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0.26385224274406338"/>
          <c:y val="0.1453289652643904"/>
          <c:w val="0.4050131926121372"/>
          <c:h val="0.6643609840657847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0.24464851268591425"/>
                  <c:y val="6.1342592592592587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1"/>
              <c:layout>
                <c:manualLayout>
                  <c:x val="-3.3239827308179891E-2"/>
                  <c:y val="-5.5592009332167114E-4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2"/>
              <c:layout>
                <c:manualLayout>
                  <c:x val="2.0903324584427116E-3"/>
                  <c:y val="-0.1043941382327209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3"/>
              <c:layout>
                <c:manualLayout>
                  <c:x val="-4.7268591426071933E-2"/>
                  <c:y val="-9.4359142607174165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4"/>
              <c:layout>
                <c:manualLayout>
                  <c:x val="-4.8688429571303586E-2"/>
                  <c:y val="-7.4591717701953927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5"/>
              <c:layout>
                <c:manualLayout>
                  <c:x val="3.6312226596675413E-2"/>
                  <c:y val="-7.7318460192476304E-2"/>
                </c:manualLayout>
              </c:layout>
              <c:dLblPos val="bestFit"/>
              <c:showVal val="1"/>
              <c:showCatName val="1"/>
              <c:separator>
</c:separator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b="1"/>
                </a:pPr>
                <a:endParaRPr lang="fr-FR"/>
              </a:p>
            </c:txPr>
            <c:showVal val="1"/>
            <c:showCatName val="1"/>
            <c:separator>
</c:separator>
          </c:dLbls>
          <c:cat>
            <c:strRef>
              <c:f>'actifs obligataires'!$A$74:$A$78</c:f>
              <c:strCache>
                <c:ptCount val="5"/>
                <c:pt idx="0">
                  <c:v>Banques</c:v>
                </c:pt>
                <c:pt idx="1">
                  <c:v>Corporates non financières</c:v>
                </c:pt>
                <c:pt idx="2">
                  <c:v>Obligations foncières</c:v>
                </c:pt>
                <c:pt idx="3">
                  <c:v>Assurances</c:v>
                </c:pt>
                <c:pt idx="4">
                  <c:v>Services financiers</c:v>
                </c:pt>
              </c:strCache>
            </c:strRef>
          </c:cat>
          <c:val>
            <c:numRef>
              <c:f>'actifs obligataires'!$C$74:$C$78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printSettings>
    <c:headerFooter/>
    <c:pageMargins b="0.98425196899999956" l="0.78740157499999996" r="0.78740157499999996" t="0.98425196899999956" header="0.49212598450000122" footer="0.4921259845000012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rotX val="30"/>
      <c:rotY val="20"/>
      <c:perspective val="30"/>
    </c:view3D>
    <c:plotArea>
      <c:layout>
        <c:manualLayout>
          <c:layoutTarget val="inner"/>
          <c:xMode val="edge"/>
          <c:yMode val="edge"/>
          <c:x val="0.1807387862796834"/>
          <c:y val="0.16842105263157892"/>
          <c:w val="0.6385224274406337"/>
          <c:h val="0.79473684210526319"/>
        </c:manualLayout>
      </c:layout>
      <c:pie3DChart>
        <c:varyColors val="1"/>
        <c:ser>
          <c:idx val="0"/>
          <c:order val="0"/>
          <c:explosion val="24"/>
          <c:dPt>
            <c:idx val="0"/>
            <c:explosion val="12"/>
          </c:dPt>
          <c:dPt>
            <c:idx val="1"/>
            <c:explosion val="18"/>
          </c:dPt>
          <c:dLbls>
            <c:dLbl>
              <c:idx val="0"/>
              <c:layout>
                <c:manualLayout>
                  <c:x val="-1.7989023453012561E-2"/>
                  <c:y val="0.225021298153642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dLblPos val="bestFit"/>
              <c:showVal val="1"/>
              <c:showCatName val="1"/>
              <c:separator>
</c:separator>
            </c:dLbl>
            <c:dLbl>
              <c:idx val="1"/>
              <c:layout>
                <c:manualLayout>
                  <c:x val="-8.2932472741395716E-2"/>
                  <c:y val="9.339039446342421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dLblPos val="bestFit"/>
              <c:showVal val="1"/>
              <c:showCatName val="1"/>
              <c:separator>
</c:separator>
            </c:dLbl>
            <c:dLbl>
              <c:idx val="2"/>
              <c:layout>
                <c:manualLayout>
                  <c:x val="-0.14297079619664951"/>
                  <c:y val="6.055753557121148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dLblPos val="bestFit"/>
              <c:showVal val="1"/>
              <c:showCatName val="1"/>
              <c:separator>
</c:separator>
            </c:dLbl>
            <c:dLbl>
              <c:idx val="3"/>
              <c:layout>
                <c:manualLayout>
                  <c:x val="-0.17546783564983176"/>
                  <c:y val="-3.109545517336645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dLblPos val="bestFit"/>
              <c:showVal val="1"/>
              <c:showCatName val="1"/>
              <c:separator>
</c:separator>
            </c:dLbl>
            <c:dLbl>
              <c:idx val="4"/>
              <c:layout>
                <c:manualLayout>
                  <c:x val="-8.261705413472327E-2"/>
                  <c:y val="-7.7682276557535845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5"/>
              <c:layout>
                <c:manualLayout>
                  <c:x val="-3.3259233097182143E-2"/>
                  <c:y val="-7.8500345351567885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7"/>
              <c:layout>
                <c:manualLayout>
                  <c:x val="8.4720254295390027E-2"/>
                  <c:y val="-9.165824008841026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dLblPos val="bestFit"/>
              <c:showVal val="1"/>
              <c:showCatName val="1"/>
              <c:separator>
</c:separator>
            </c:dLbl>
            <c:dLbl>
              <c:idx val="8"/>
              <c:layout>
                <c:manualLayout>
                  <c:x val="0.20158352897180867"/>
                  <c:y val="-3.0313855504904071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9"/>
              <c:layout>
                <c:manualLayout>
                  <c:x val="0.28878870352287966"/>
                  <c:y val="2.9355988396187267E-2"/>
                </c:manualLayout>
              </c:layout>
              <c:dLblPos val="bestFit"/>
              <c:showVal val="1"/>
              <c:showCatName val="1"/>
              <c:separator>
</c:separator>
            </c:dLbl>
            <c:dLbl>
              <c:idx val="10"/>
              <c:layout>
                <c:manualLayout>
                  <c:x val="0.19533639429635921"/>
                  <c:y val="0.17416770272137044"/>
                </c:manualLayout>
              </c:layout>
              <c:dLblPos val="bestFit"/>
              <c:showVal val="1"/>
              <c:showCatName val="1"/>
              <c:separator>
</c:separator>
            </c:dLbl>
            <c:spPr>
              <a:noFill/>
              <a:ln w="25400">
                <a:noFill/>
              </a:ln>
            </c:spPr>
            <c:showVal val="1"/>
            <c:showCatName val="1"/>
            <c:separator>
</c:separator>
            <c:showLeaderLines val="1"/>
          </c:dLbls>
          <c:cat>
            <c:strRef>
              <c:f>'actifs obligataires'!$A$97:$A$109</c:f>
              <c:strCache>
                <c:ptCount val="13"/>
                <c:pt idx="0">
                  <c:v>France</c:v>
                </c:pt>
                <c:pt idx="1">
                  <c:v>Italie</c:v>
                </c:pt>
                <c:pt idx="2">
                  <c:v>Belgique</c:v>
                </c:pt>
                <c:pt idx="3">
                  <c:v>Grèce</c:v>
                </c:pt>
                <c:pt idx="4">
                  <c:v>Autriche</c:v>
                </c:pt>
                <c:pt idx="5">
                  <c:v>Supranational</c:v>
                </c:pt>
                <c:pt idx="6">
                  <c:v>Irlande</c:v>
                </c:pt>
                <c:pt idx="7">
                  <c:v>Pays bas</c:v>
                </c:pt>
                <c:pt idx="8">
                  <c:v>Portugal</c:v>
                </c:pt>
                <c:pt idx="9">
                  <c:v>Allemagne</c:v>
                </c:pt>
                <c:pt idx="10">
                  <c:v>Espagne</c:v>
                </c:pt>
                <c:pt idx="11">
                  <c:v>Finlande</c:v>
                </c:pt>
                <c:pt idx="12">
                  <c:v>Luxembourg</c:v>
                </c:pt>
              </c:strCache>
            </c:strRef>
          </c:cat>
          <c:val>
            <c:numRef>
              <c:f>'actifs obligataires'!$C$97:$C$109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printSettings>
    <c:headerFooter/>
    <c:pageMargins b="0.98425196899999956" l="0.78740157499999996" r="0.78740157499999996" t="0.98425196899999956" header="0.49212598450000122" footer="0.4921259845000012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8.4722222222222768E-2"/>
          <c:y val="0.22134455214758805"/>
          <c:w val="0.81388888888889133"/>
          <c:h val="0.7691039161621076"/>
        </c:manualLayout>
      </c:layout>
      <c:pie3DChart>
        <c:varyColors val="1"/>
        <c:ser>
          <c:idx val="0"/>
          <c:order val="0"/>
          <c:explosion val="12"/>
          <c:dPt>
            <c:idx val="0"/>
            <c:explosion val="0"/>
          </c:dPt>
          <c:dLbls>
            <c:dLbl>
              <c:idx val="0"/>
              <c:layout>
                <c:manualLayout>
                  <c:x val="1.9593722659667676E-2"/>
                  <c:y val="5.333005249343832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dLblPos val="bestFit"/>
              <c:showCatName val="1"/>
              <c:showPercent val="1"/>
            </c:dLbl>
            <c:dLbl>
              <c:idx val="4"/>
              <c:layout>
                <c:manualLayout>
                  <c:x val="6.739457567804033E-2"/>
                  <c:y val="8.682452599562354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0.40146456692913535"/>
                  <c:y val="9.111799653202194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dLblPos val="bestFit"/>
              <c:showCatName val="1"/>
              <c:showPercent val="1"/>
            </c:dLbl>
            <c:spPr>
              <a:noFill/>
              <a:ln w="25400">
                <a:noFill/>
              </a:ln>
            </c:spPr>
            <c:showCatName val="1"/>
            <c:showPercent val="1"/>
          </c:dLbls>
          <c:cat>
            <c:strRef>
              <c:f>'actifs actions'!$A$7:$A$12</c:f>
              <c:strCache>
                <c:ptCount val="6"/>
                <c:pt idx="0">
                  <c:v>Euro</c:v>
                </c:pt>
                <c:pt idx="1">
                  <c:v>Ex Euro</c:v>
                </c:pt>
                <c:pt idx="2">
                  <c:v>Amérique</c:v>
                </c:pt>
                <c:pt idx="3">
                  <c:v>Asie</c:v>
                </c:pt>
                <c:pt idx="4">
                  <c:v>Emergents</c:v>
                </c:pt>
                <c:pt idx="5">
                  <c:v>Autres (dont tréso)</c:v>
                </c:pt>
              </c:strCache>
            </c:strRef>
          </c:cat>
          <c:val>
            <c:numRef>
              <c:f>'actifs actions'!$C$7:$C$12</c:f>
              <c:numCache>
                <c:formatCode>0%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printSettings>
    <c:headerFooter/>
    <c:pageMargins b="0.98425196899999956" l="0.78740157499999996" r="0.78740157499999996" t="0.98425196899999956" header="0.49212598450000122" footer="0.4921259845000012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0.27668019788604353"/>
          <c:y val="0.1051401869158882"/>
          <c:w val="0.39525742555148835"/>
          <c:h val="0.7009345794392523"/>
        </c:manualLayout>
      </c:layout>
      <c:doughnutChart>
        <c:varyColors val="1"/>
        <c:ser>
          <c:idx val="0"/>
          <c:order val="0"/>
          <c:dLbls>
            <c:dLbl>
              <c:idx val="0"/>
              <c:layout>
                <c:manualLayout>
                  <c:x val="7.5590792932252501E-2"/>
                  <c:y val="-0.15059656094390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showVal val="1"/>
              <c:showCatName val="1"/>
              <c:separator>
</c:separator>
            </c:dLbl>
            <c:dLbl>
              <c:idx val="1"/>
              <c:layout>
                <c:manualLayout>
                  <c:x val="0.10530619039368259"/>
                  <c:y val="-3.641474722201801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showVal val="1"/>
              <c:showCatName val="1"/>
              <c:separator>
</c:separator>
            </c:dLbl>
            <c:dLbl>
              <c:idx val="2"/>
              <c:layout>
                <c:manualLayout>
                  <c:x val="0.11596914770661823"/>
                  <c:y val="8.100154536757724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showVal val="1"/>
              <c:showCatName val="1"/>
              <c:separator>
</c:separator>
            </c:dLbl>
            <c:dLbl>
              <c:idx val="3"/>
              <c:layout>
                <c:manualLayout>
                  <c:x val="0.11945672806064039"/>
                  <c:y val="0.168239998037629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showVal val="1"/>
              <c:showCatName val="1"/>
              <c:separator>
</c:separator>
            </c:dLbl>
            <c:dLbl>
              <c:idx val="4"/>
              <c:layout>
                <c:manualLayout>
                  <c:x val="2.5823117651110648E-2"/>
                  <c:y val="0.15797213432433194"/>
                </c:manualLayout>
              </c:layout>
              <c:showVal val="1"/>
              <c:showCatName val="1"/>
              <c:separator>
</c:separator>
            </c:dLbl>
            <c:dLbl>
              <c:idx val="5"/>
              <c:layout>
                <c:manualLayout>
                  <c:x val="-2.0724165742822608E-2"/>
                  <c:y val="0.16984767091029501"/>
                </c:manualLayout>
              </c:layout>
              <c:showVal val="1"/>
              <c:showCatName val="1"/>
              <c:separator>
</c:separator>
            </c:dLbl>
            <c:dLbl>
              <c:idx val="6"/>
              <c:layout>
                <c:manualLayout>
                  <c:x val="-7.8219467353995528E-2"/>
                  <c:y val="0.13819216523168237"/>
                </c:manualLayout>
              </c:layout>
              <c:showVal val="1"/>
              <c:showCatName val="1"/>
              <c:separator>
</c:separator>
            </c:dLbl>
            <c:dLbl>
              <c:idx val="7"/>
              <c:layout>
                <c:manualLayout>
                  <c:x val="-0.13063332337894787"/>
                  <c:y val="7.80857065763974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  <c:showVal val="1"/>
              <c:showCatName val="1"/>
              <c:separator>
</c:separator>
            </c:dLbl>
            <c:dLbl>
              <c:idx val="8"/>
              <c:layout>
                <c:manualLayout>
                  <c:x val="-0.14925733426560894"/>
                  <c:y val="-1.8229940883557824E-2"/>
                </c:manualLayout>
              </c:layout>
              <c:showVal val="1"/>
              <c:showCatName val="1"/>
              <c:separator>
</c:separator>
            </c:dLbl>
            <c:dLbl>
              <c:idx val="9"/>
              <c:showVal val="1"/>
              <c:showCatName val="1"/>
              <c:showSerName val="1"/>
              <c:separator>
</c:separator>
            </c:dLbl>
            <c:dLbl>
              <c:idx val="10"/>
              <c:layout>
                <c:manualLayout>
                  <c:xMode val="edge"/>
                  <c:yMode val="edge"/>
                  <c:x val="0.78260970259194684"/>
                  <c:y val="0.25934579439252337"/>
                </c:manualLayout>
              </c:layout>
              <c:showVal val="1"/>
              <c:showCatName val="1"/>
              <c:separator>
</c:separator>
            </c:dLbl>
            <c:spPr>
              <a:noFill/>
              <a:ln w="25400">
                <a:noFill/>
              </a:ln>
            </c:spPr>
            <c:showVal val="1"/>
            <c:showCatName val="1"/>
            <c:separator>
</c:separator>
          </c:dLbls>
          <c:cat>
            <c:strRef>
              <c:f>'actifs actions'!$A$26:$A$35</c:f>
              <c:strCache>
                <c:ptCount val="10"/>
                <c:pt idx="0">
                  <c:v>Industrie</c:v>
                </c:pt>
                <c:pt idx="1">
                  <c:v>Energie</c:v>
                </c:pt>
                <c:pt idx="2">
                  <c:v>Industrie de base</c:v>
                </c:pt>
                <c:pt idx="3">
                  <c:v>Services aux collectivités</c:v>
                </c:pt>
                <c:pt idx="4">
                  <c:v>Santé</c:v>
                </c:pt>
                <c:pt idx="5">
                  <c:v>Services aux consommateurs</c:v>
                </c:pt>
                <c:pt idx="6">
                  <c:v>Technologie</c:v>
                </c:pt>
                <c:pt idx="7">
                  <c:v>Télécom</c:v>
                </c:pt>
                <c:pt idx="8">
                  <c:v>Biens de consommation</c:v>
                </c:pt>
                <c:pt idx="9">
                  <c:v>Sociétés financières</c:v>
                </c:pt>
              </c:strCache>
            </c:strRef>
          </c:cat>
          <c:val>
            <c:numRef>
              <c:f>'actifs actions'!$C$26:$C$35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firstSliceAng val="20"/>
        <c:holeSize val="50"/>
      </c:doughnutChart>
      <c:spPr>
        <a:noFill/>
        <a:ln w="25400">
          <a:noFill/>
        </a:ln>
      </c:spPr>
    </c:plotArea>
    <c:plotVisOnly val="1"/>
    <c:dispBlanksAs val="zero"/>
  </c:chart>
  <c:printSettings>
    <c:headerFooter/>
    <c:pageMargins b="0.98425196899999956" l="0.78740157499999996" r="0.78740157499999996" t="0.98425196899999956" header="0.49212598450000122" footer="0.4921259845000012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19050</xdr:rowOff>
    </xdr:from>
    <xdr:to>
      <xdr:col>14</xdr:col>
      <xdr:colOff>352425</xdr:colOff>
      <xdr:row>26</xdr:row>
      <xdr:rowOff>114300</xdr:rowOff>
    </xdr:to>
    <xdr:graphicFrame macro="">
      <xdr:nvGraphicFramePr>
        <xdr:cNvPr id="12718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29</xdr:row>
      <xdr:rowOff>28575</xdr:rowOff>
    </xdr:from>
    <xdr:to>
      <xdr:col>14</xdr:col>
      <xdr:colOff>371475</xdr:colOff>
      <xdr:row>46</xdr:row>
      <xdr:rowOff>28575</xdr:rowOff>
    </xdr:to>
    <xdr:graphicFrame macro="">
      <xdr:nvGraphicFramePr>
        <xdr:cNvPr id="12718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50</xdr:row>
      <xdr:rowOff>0</xdr:rowOff>
    </xdr:from>
    <xdr:to>
      <xdr:col>14</xdr:col>
      <xdr:colOff>352425</xdr:colOff>
      <xdr:row>68</xdr:row>
      <xdr:rowOff>142875</xdr:rowOff>
    </xdr:to>
    <xdr:graphicFrame macro="">
      <xdr:nvGraphicFramePr>
        <xdr:cNvPr id="127181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73</xdr:row>
      <xdr:rowOff>0</xdr:rowOff>
    </xdr:from>
    <xdr:to>
      <xdr:col>14</xdr:col>
      <xdr:colOff>361950</xdr:colOff>
      <xdr:row>91</xdr:row>
      <xdr:rowOff>0</xdr:rowOff>
    </xdr:to>
    <xdr:graphicFrame macro="">
      <xdr:nvGraphicFramePr>
        <xdr:cNvPr id="127181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96</xdr:row>
      <xdr:rowOff>0</xdr:rowOff>
    </xdr:from>
    <xdr:to>
      <xdr:col>14</xdr:col>
      <xdr:colOff>361950</xdr:colOff>
      <xdr:row>120</xdr:row>
      <xdr:rowOff>57150</xdr:rowOff>
    </xdr:to>
    <xdr:graphicFrame macro="">
      <xdr:nvGraphicFramePr>
        <xdr:cNvPr id="127181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19050</xdr:rowOff>
    </xdr:from>
    <xdr:to>
      <xdr:col>10</xdr:col>
      <xdr:colOff>247650</xdr:colOff>
      <xdr:row>19</xdr:row>
      <xdr:rowOff>104775</xdr:rowOff>
    </xdr:to>
    <xdr:graphicFrame macro="">
      <xdr:nvGraphicFramePr>
        <xdr:cNvPr id="12738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742950</xdr:colOff>
      <xdr:row>24</xdr:row>
      <xdr:rowOff>9525</xdr:rowOff>
    </xdr:from>
    <xdr:to>
      <xdr:col>13</xdr:col>
      <xdr:colOff>352425</xdr:colOff>
      <xdr:row>49</xdr:row>
      <xdr:rowOff>38100</xdr:rowOff>
    </xdr:to>
    <xdr:graphicFrame macro="">
      <xdr:nvGraphicFramePr>
        <xdr:cNvPr id="127385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0"/>
  <sheetViews>
    <sheetView tabSelected="1" topLeftCell="A52" workbookViewId="0">
      <selection activeCell="C74" sqref="C74"/>
    </sheetView>
  </sheetViews>
  <sheetFormatPr baseColWidth="10" defaultRowHeight="12.75"/>
  <cols>
    <col min="1" max="1" width="25" customWidth="1"/>
    <col min="2" max="2" width="16.85546875" bestFit="1" customWidth="1"/>
    <col min="3" max="3" width="15.28515625" bestFit="1" customWidth="1"/>
  </cols>
  <sheetData>
    <row r="1" spans="1:4" ht="20.25">
      <c r="A1" s="12" t="s">
        <v>26</v>
      </c>
      <c r="B1" s="13"/>
      <c r="C1" s="14" t="e">
        <f>VLOOKUP("date",Feuil1!1:1,2,0)</f>
        <v>#N/A</v>
      </c>
    </row>
    <row r="3" spans="1:4">
      <c r="A3" s="7"/>
    </row>
    <row r="5" spans="1:4">
      <c r="A5" s="1"/>
      <c r="B5" s="10">
        <v>40908</v>
      </c>
      <c r="C5" s="10">
        <v>40999</v>
      </c>
      <c r="D5" s="10">
        <v>41090</v>
      </c>
    </row>
    <row r="6" spans="1:4">
      <c r="A6" s="5" t="s">
        <v>27</v>
      </c>
      <c r="B6" s="2">
        <v>9.6</v>
      </c>
      <c r="C6" s="2">
        <v>9.8000000000000007</v>
      </c>
      <c r="D6" s="18"/>
    </row>
    <row r="7" spans="1:4">
      <c r="A7" s="5" t="s">
        <v>28</v>
      </c>
      <c r="B7" s="11">
        <v>4.7E-2</v>
      </c>
      <c r="C7" s="11">
        <v>4.6899999999999997E-2</v>
      </c>
      <c r="D7" s="19"/>
    </row>
    <row r="8" spans="1:4">
      <c r="A8" s="5" t="s">
        <v>29</v>
      </c>
      <c r="B8" s="2" t="s">
        <v>30</v>
      </c>
      <c r="C8" s="2" t="s">
        <v>30</v>
      </c>
      <c r="D8" s="19"/>
    </row>
    <row r="11" spans="1:4" ht="16.5" customHeight="1">
      <c r="A11" s="23" t="s">
        <v>31</v>
      </c>
      <c r="B11" s="23"/>
    </row>
    <row r="13" spans="1:4">
      <c r="B13" s="17">
        <v>40999</v>
      </c>
      <c r="C13" t="e">
        <f>VLOOKUP("date",Feuil1!A:B,2,0)</f>
        <v>#N/A</v>
      </c>
    </row>
    <row r="14" spans="1:4" ht="25.5">
      <c r="A14" s="22" t="s">
        <v>58</v>
      </c>
      <c r="B14" s="8">
        <v>0.56599999999999995</v>
      </c>
      <c r="C14" s="20" t="e">
        <f>VLOOKUP("Souverain",Feuil1!A:C,3,0)</f>
        <v>#N/A</v>
      </c>
    </row>
    <row r="15" spans="1:4">
      <c r="A15" s="1" t="s">
        <v>1</v>
      </c>
      <c r="B15" s="8">
        <v>0.32</v>
      </c>
      <c r="C15" s="20" t="e">
        <f>VLOOKUP("crédit",Feuil1!A:C,3,0)</f>
        <v>#N/A</v>
      </c>
    </row>
    <row r="16" spans="1:4" ht="38.25">
      <c r="A16" s="22" t="s">
        <v>59</v>
      </c>
      <c r="B16" s="8">
        <v>9.4E-2</v>
      </c>
      <c r="C16" s="20" t="e">
        <f>VLOOKUP("Agences",Feuil1!A:C,3,0)</f>
        <v>#N/A</v>
      </c>
    </row>
    <row r="17" spans="1:3">
      <c r="A17" s="1" t="s">
        <v>6</v>
      </c>
      <c r="B17" s="8">
        <v>0.02</v>
      </c>
      <c r="C17" s="20" t="e">
        <f>VLOOKUP("Monétaire",Feuil1!A:C,3,0)</f>
        <v>#N/A</v>
      </c>
    </row>
    <row r="18" spans="1:3">
      <c r="B18" s="9">
        <f>SUM(B14:B17)</f>
        <v>0.99999999999999989</v>
      </c>
      <c r="C18" s="20" t="e">
        <f>SUM(C14:C17)</f>
        <v>#N/A</v>
      </c>
    </row>
    <row r="30" spans="1:3">
      <c r="A30" s="23" t="s">
        <v>32</v>
      </c>
      <c r="B30" s="23"/>
    </row>
    <row r="31" spans="1:3">
      <c r="B31" s="17">
        <v>40999</v>
      </c>
      <c r="C31" t="e">
        <f>VLOOKUP("date",Feuil1!A:B,2,0)</f>
        <v>#N/A</v>
      </c>
    </row>
    <row r="32" spans="1:3">
      <c r="A32" s="1" t="s">
        <v>17</v>
      </c>
      <c r="B32" s="8">
        <v>0.86</v>
      </c>
      <c r="C32" s="20" t="e">
        <f>VLOOKUP("Fixe",Feuil1!A:C,3,0)</f>
        <v>#N/A</v>
      </c>
    </row>
    <row r="33" spans="1:3">
      <c r="A33" s="1" t="s">
        <v>0</v>
      </c>
      <c r="B33" s="8">
        <v>0.11</v>
      </c>
      <c r="C33" s="20" t="e">
        <f>VLOOKUP("Indexé",Feuil1!A:C,3,0)</f>
        <v>#N/A</v>
      </c>
    </row>
    <row r="34" spans="1:3">
      <c r="A34" s="1" t="s">
        <v>6</v>
      </c>
      <c r="B34" s="8">
        <v>0.02</v>
      </c>
      <c r="C34" s="20" t="e">
        <f>VLOOKUP("Monétaire",Feuil1!A:C,3,0)</f>
        <v>#N/A</v>
      </c>
    </row>
    <row r="35" spans="1:3">
      <c r="A35" s="1" t="s">
        <v>18</v>
      </c>
      <c r="B35" s="8">
        <v>0.01</v>
      </c>
      <c r="C35" s="20" t="e">
        <f>VLOOKUP("Variable",Feuil1!A:C,3,0)</f>
        <v>#N/A</v>
      </c>
    </row>
    <row r="36" spans="1:3">
      <c r="B36" s="9">
        <f>SUM(B32:B35)</f>
        <v>1</v>
      </c>
      <c r="C36" s="20" t="e">
        <f>SUM(C32:C35)</f>
        <v>#N/A</v>
      </c>
    </row>
    <row r="49" spans="1:3">
      <c r="A49" s="7" t="s">
        <v>33</v>
      </c>
    </row>
    <row r="50" spans="1:3">
      <c r="A50" t="s">
        <v>57</v>
      </c>
    </row>
    <row r="51" spans="1:3">
      <c r="B51" s="17">
        <v>40999</v>
      </c>
      <c r="C51" t="e">
        <f>VLOOKUP("date",Feuil1!A:B,2,0)</f>
        <v>#N/A</v>
      </c>
    </row>
    <row r="52" spans="1:3">
      <c r="A52" t="s">
        <v>2</v>
      </c>
      <c r="B52" s="9">
        <v>7.0000000000000007E-2</v>
      </c>
      <c r="C52" s="20" t="e">
        <f>VLOOKUP("AAA",Feuil1!A:C,3,0)</f>
        <v>#N/A</v>
      </c>
    </row>
    <row r="53" spans="1:3">
      <c r="A53" t="s">
        <v>3</v>
      </c>
      <c r="B53" s="9">
        <v>0.04</v>
      </c>
      <c r="C53" s="20" t="e">
        <f>VLOOKUP("AA",Feuil1!A:C,3,0)</f>
        <v>#N/A</v>
      </c>
    </row>
    <row r="54" spans="1:3">
      <c r="A54" t="s">
        <v>4</v>
      </c>
      <c r="B54" s="9">
        <v>0.12</v>
      </c>
      <c r="C54" s="20" t="e">
        <f>VLOOKUP("A",Feuil1!A:C,3,0)</f>
        <v>#N/A</v>
      </c>
    </row>
    <row r="55" spans="1:3">
      <c r="A55" t="s">
        <v>25</v>
      </c>
      <c r="B55" s="9">
        <v>0.09</v>
      </c>
      <c r="C55" s="20" t="e">
        <f>VLOOKUP("BBB",Feuil1!A:C,3,0)+VLOOKUP("BB",Feuil1!A:C,3,0)</f>
        <v>#N/A</v>
      </c>
    </row>
    <row r="56" spans="1:3">
      <c r="A56" t="s">
        <v>5</v>
      </c>
      <c r="B56" s="9">
        <v>0</v>
      </c>
      <c r="C56" s="20">
        <f>IF(ISNA(VLOOKUP("NR",Feuil1!A:C,3,0)),0,VLOOKUP("NR",Feuil1!A:C,3,0))</f>
        <v>0</v>
      </c>
    </row>
    <row r="57" spans="1:3">
      <c r="B57" s="9">
        <f>SUM(B52:B56)</f>
        <v>0.32</v>
      </c>
      <c r="C57" s="20" t="e">
        <f>SUM(C52:C56)</f>
        <v>#N/A</v>
      </c>
    </row>
    <row r="71" spans="1:3">
      <c r="A71" s="7" t="s">
        <v>34</v>
      </c>
    </row>
    <row r="72" spans="1:3">
      <c r="A72" t="s">
        <v>57</v>
      </c>
    </row>
    <row r="73" spans="1:3">
      <c r="B73" s="17">
        <v>40999</v>
      </c>
      <c r="C73" t="e">
        <f>VLOOKUP("date",Feuil1!A:B,2,0)</f>
        <v>#N/A</v>
      </c>
    </row>
    <row r="74" spans="1:3">
      <c r="A74" s="6" t="s">
        <v>20</v>
      </c>
      <c r="B74" s="8">
        <v>0.12</v>
      </c>
      <c r="C74" s="20" t="e">
        <f>VLOOKUP("CORPORATES FINANCIERES BANQUES",Feuil1!A:C,3,0)</f>
        <v>#N/A</v>
      </c>
    </row>
    <row r="75" spans="1:3">
      <c r="A75" s="1" t="s">
        <v>22</v>
      </c>
      <c r="B75" s="8">
        <v>0.08</v>
      </c>
      <c r="C75" s="20" t="e">
        <f>VLOOKUP("CORPORATES NON FINANCIERES",Feuil1!A:C,3,0)</f>
        <v>#N/A</v>
      </c>
    </row>
    <row r="76" spans="1:3">
      <c r="A76" s="1" t="s">
        <v>23</v>
      </c>
      <c r="B76" s="8">
        <v>0.08</v>
      </c>
      <c r="C76" s="20" t="e">
        <f>VLOOKUP("EMPRUNTS FONCIERS ET HYPOTHECAIRES",Feuil1!A:C,3,0)</f>
        <v>#N/A</v>
      </c>
    </row>
    <row r="77" spans="1:3">
      <c r="A77" s="1" t="s">
        <v>19</v>
      </c>
      <c r="B77" s="8">
        <v>0.02</v>
      </c>
      <c r="C77" s="20" t="e">
        <f>VLOOKUP("CORPORATES FINANCIERES ASSURANCES",Feuil1!A:C,3,0)</f>
        <v>#N/A</v>
      </c>
    </row>
    <row r="78" spans="1:3">
      <c r="A78" s="1" t="s">
        <v>21</v>
      </c>
      <c r="B78" s="8">
        <v>0.02</v>
      </c>
      <c r="C78" s="20" t="e">
        <f>VLOOKUP("CORPORATES FINANCIERES SERVICES FINANCIERS",Feuil1!A:C,3,0)</f>
        <v>#N/A</v>
      </c>
    </row>
    <row r="79" spans="1:3">
      <c r="A79" s="1" t="s">
        <v>56</v>
      </c>
      <c r="B79" s="8"/>
      <c r="C79" s="20" t="e">
        <f>VLOOKUP("AGENCIES",Feuil1!A:C,3,0)</f>
        <v>#N/A</v>
      </c>
    </row>
    <row r="80" spans="1:3">
      <c r="B80" s="9">
        <f>SUM(B74:B78)</f>
        <v>0.32000000000000006</v>
      </c>
      <c r="C80" s="20" t="e">
        <f>SUM(C74:C79)</f>
        <v>#N/A</v>
      </c>
    </row>
    <row r="94" spans="1:3">
      <c r="A94" s="7" t="s">
        <v>35</v>
      </c>
    </row>
    <row r="95" spans="1:3">
      <c r="A95" s="7"/>
    </row>
    <row r="96" spans="1:3">
      <c r="B96" s="17">
        <v>40999</v>
      </c>
      <c r="C96" t="e">
        <f>VLOOKUP("date",Feuil1!A:B,2,0)</f>
        <v>#N/A</v>
      </c>
    </row>
    <row r="97" spans="1:3">
      <c r="A97" s="3" t="s">
        <v>11</v>
      </c>
      <c r="B97" s="16">
        <v>0.33500000000000002</v>
      </c>
      <c r="C97" s="16">
        <f>IF(ISNA(VLOOKUP(A97,Feuil1!A:C,3,0)),0,VLOOKUP(A97,Feuil1!A:C,3,0))</f>
        <v>0</v>
      </c>
    </row>
    <row r="98" spans="1:3">
      <c r="A98" s="3" t="s">
        <v>14</v>
      </c>
      <c r="B98" s="16">
        <v>0.10100000000000001</v>
      </c>
      <c r="C98" s="16">
        <f>IF(ISNA(VLOOKUP(A98,Feuil1!A:C,3,0)),0,VLOOKUP(A98,Feuil1!A:C,3,0))</f>
        <v>0</v>
      </c>
    </row>
    <row r="99" spans="1:3">
      <c r="A99" s="3" t="s">
        <v>9</v>
      </c>
      <c r="B99" s="16">
        <v>6.8000000000000005E-2</v>
      </c>
      <c r="C99" s="16">
        <f>IF(ISNA(VLOOKUP(A99,Feuil1!A:C,3,0)),0,VLOOKUP(A99,Feuil1!A:C,3,0))</f>
        <v>0</v>
      </c>
    </row>
    <row r="100" spans="1:3">
      <c r="A100" s="3" t="s">
        <v>12</v>
      </c>
      <c r="B100" s="16">
        <v>1E-3</v>
      </c>
      <c r="C100" s="16">
        <f>IF(ISNA(VLOOKUP(A100,Feuil1!A:C,3,0)),0,VLOOKUP(A100,Feuil1!A:C,3,0))</f>
        <v>0</v>
      </c>
    </row>
    <row r="101" spans="1:3">
      <c r="A101" s="3" t="s">
        <v>8</v>
      </c>
      <c r="B101" s="16">
        <v>2.5000000000000001E-2</v>
      </c>
      <c r="C101" s="16">
        <f>IF(ISNA(VLOOKUP(A101,Feuil1!A:C,3,0)),0,VLOOKUP(A101,Feuil1!A:C,3,0))</f>
        <v>0</v>
      </c>
    </row>
    <row r="102" spans="1:3">
      <c r="A102" s="15" t="s">
        <v>24</v>
      </c>
      <c r="B102" s="16">
        <v>8.0000000000000002E-3</v>
      </c>
      <c r="C102" s="16">
        <f>IF(ISNA(VLOOKUP(A102,Feuil1!A:C,3,0)),0,VLOOKUP(A102,Feuil1!A:C,3,0))</f>
        <v>0</v>
      </c>
    </row>
    <row r="103" spans="1:3">
      <c r="A103" s="3" t="s">
        <v>13</v>
      </c>
      <c r="B103" s="16">
        <v>7.0000000000000001E-3</v>
      </c>
      <c r="C103" s="16">
        <f>IF(ISNA(VLOOKUP(A103,Feuil1!A:C,3,0)),0,VLOOKUP(A103,Feuil1!A:C,3,0))</f>
        <v>0</v>
      </c>
    </row>
    <row r="104" spans="1:3">
      <c r="A104" s="3" t="s">
        <v>15</v>
      </c>
      <c r="B104" s="16">
        <v>3.0000000000000001E-3</v>
      </c>
      <c r="C104" s="16">
        <f>IF(ISNA(VLOOKUP("Pays-Bas",Feuil1!A:C,3,0)),0,VLOOKUP("Pays-Bas",Feuil1!A:C,3,0))</f>
        <v>0</v>
      </c>
    </row>
    <row r="105" spans="1:3">
      <c r="A105" s="3" t="s">
        <v>16</v>
      </c>
      <c r="B105" s="16">
        <v>7.0000000000000001E-3</v>
      </c>
      <c r="C105" s="16">
        <f>IF(ISNA(VLOOKUP(A105,Feuil1!A:C,3,0)),0,VLOOKUP(A105,Feuil1!A:C,3,0))</f>
        <v>0</v>
      </c>
    </row>
    <row r="106" spans="1:3">
      <c r="A106" s="3" t="s">
        <v>7</v>
      </c>
      <c r="B106" s="16">
        <v>8.0000000000000002E-3</v>
      </c>
      <c r="C106" s="16">
        <f>IF(ISNA(VLOOKUP(A106,Feuil1!A:C,3,0)),0,VLOOKUP(A106,Feuil1!A:C,3,0))</f>
        <v>0</v>
      </c>
    </row>
    <row r="107" spans="1:3">
      <c r="A107" s="3" t="s">
        <v>10</v>
      </c>
      <c r="B107" s="16">
        <v>3.0000000000000001E-3</v>
      </c>
      <c r="C107" s="16">
        <f>IF(ISNA(VLOOKUP(A107,Feuil1!A:C,3,0)),0,VLOOKUP(A107,Feuil1!A:C,3,0))</f>
        <v>0</v>
      </c>
    </row>
    <row r="108" spans="1:3">
      <c r="A108" s="3" t="s">
        <v>54</v>
      </c>
      <c r="B108" s="16"/>
      <c r="C108" s="16">
        <f>IF(ISNA(VLOOKUP(A108,Feuil1!A:C,3,0)),0,VLOOKUP(A108,Feuil1!A:C,3,0))</f>
        <v>0</v>
      </c>
    </row>
    <row r="109" spans="1:3">
      <c r="A109" s="3" t="s">
        <v>55</v>
      </c>
      <c r="B109" s="16"/>
      <c r="C109" s="16">
        <f>IF(ISNA(VLOOKUP(A109,Feuil1!A:C,3,0)),0,VLOOKUP(A109,Feuil1!A:C,3,0))</f>
        <v>0</v>
      </c>
    </row>
    <row r="110" spans="1:3">
      <c r="A110" s="15"/>
      <c r="B110" s="4">
        <f>SUM(B97:B107)</f>
        <v>0.56600000000000006</v>
      </c>
      <c r="C110" s="16">
        <f>SUM(C97:C109)</f>
        <v>0</v>
      </c>
    </row>
  </sheetData>
  <mergeCells count="2">
    <mergeCell ref="A11:B11"/>
    <mergeCell ref="A30:B30"/>
  </mergeCells>
  <phoneticPr fontId="4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"/>
  <sheetViews>
    <sheetView workbookViewId="0">
      <selection activeCell="C1" sqref="C1"/>
    </sheetView>
  </sheetViews>
  <sheetFormatPr baseColWidth="10" defaultRowHeight="12.75"/>
  <cols>
    <col min="1" max="1" width="26" customWidth="1"/>
    <col min="2" max="2" width="21.5703125" customWidth="1"/>
    <col min="3" max="3" width="15.140625" customWidth="1"/>
  </cols>
  <sheetData>
    <row r="1" spans="1:3" ht="20.25">
      <c r="A1" s="12" t="s">
        <v>26</v>
      </c>
      <c r="B1" s="13"/>
      <c r="C1" s="14" t="e">
        <f>VLOOKUP("date",Feuil1!1:1,2,0)</f>
        <v>#N/A</v>
      </c>
    </row>
    <row r="4" spans="1:3">
      <c r="A4" s="7" t="s">
        <v>36</v>
      </c>
    </row>
    <row r="6" spans="1:3">
      <c r="B6" s="17">
        <v>40999</v>
      </c>
      <c r="C6" s="21" t="e">
        <f>VLOOKUP("date",Feuil1!A:B,2,0)</f>
        <v>#N/A</v>
      </c>
    </row>
    <row r="7" spans="1:3">
      <c r="A7" t="s">
        <v>37</v>
      </c>
      <c r="B7" s="9">
        <v>0.69</v>
      </c>
      <c r="C7" s="20" t="e">
        <f>VLOOKUP("Zone Euro",Feuil1!A:B,2,0)</f>
        <v>#N/A</v>
      </c>
    </row>
    <row r="8" spans="1:3">
      <c r="A8" t="s">
        <v>38</v>
      </c>
      <c r="B8" s="9">
        <v>0.09</v>
      </c>
      <c r="C8" s="20" t="e">
        <f>VLOOKUP("Europe Ex Euro",Feuil1!A:B,2,0)</f>
        <v>#N/A</v>
      </c>
    </row>
    <row r="9" spans="1:3">
      <c r="A9" t="s">
        <v>39</v>
      </c>
      <c r="B9" s="9">
        <v>0.13</v>
      </c>
      <c r="C9" s="20" t="e">
        <f>VLOOKUP("Amérique du nord",Feuil1!A:B,2,0)</f>
        <v>#N/A</v>
      </c>
    </row>
    <row r="10" spans="1:3">
      <c r="A10" t="s">
        <v>40</v>
      </c>
      <c r="B10" s="9">
        <v>0.05</v>
      </c>
      <c r="C10" s="20" t="e">
        <f>VLOOKUP("Asie",Feuil1!A:B,2,0)</f>
        <v>#N/A</v>
      </c>
    </row>
    <row r="11" spans="1:3">
      <c r="A11" t="s">
        <v>41</v>
      </c>
      <c r="B11" s="9">
        <v>0.03</v>
      </c>
      <c r="C11" s="20" t="e">
        <f>VLOOKUP("Emergents",Feuil1!A:B,2,0)</f>
        <v>#N/A</v>
      </c>
    </row>
    <row r="12" spans="1:3">
      <c r="A12" t="s">
        <v>42</v>
      </c>
      <c r="B12" s="9">
        <v>0.01</v>
      </c>
      <c r="C12" s="20" t="e">
        <f>VLOOKUP("Europe",Feuil1!A:B,2,0)</f>
        <v>#N/A</v>
      </c>
    </row>
    <row r="13" spans="1:3">
      <c r="B13" s="9">
        <f>SUM(B7:B12)</f>
        <v>1</v>
      </c>
      <c r="C13" s="9" t="e">
        <f>SUM(C7:C12)</f>
        <v>#N/A</v>
      </c>
    </row>
    <row r="23" spans="1:3">
      <c r="A23" s="7" t="s">
        <v>43</v>
      </c>
    </row>
    <row r="24" spans="1:3">
      <c r="A24" s="7"/>
    </row>
    <row r="25" spans="1:3">
      <c r="B25" s="17">
        <v>40999</v>
      </c>
      <c r="C25" t="e">
        <f>VLOOKUP("date",Feuil1!A:B,2,0)</f>
        <v>#N/A</v>
      </c>
    </row>
    <row r="26" spans="1:3">
      <c r="A26" t="s">
        <v>44</v>
      </c>
      <c r="B26" s="9">
        <v>0.14000000000000001</v>
      </c>
      <c r="C26" s="20" t="e">
        <f>VLOOKUP("INDUSTRIES",Feuil1!A:B,2,0)</f>
        <v>#N/A</v>
      </c>
    </row>
    <row r="27" spans="1:3">
      <c r="A27" t="s">
        <v>45</v>
      </c>
      <c r="B27" s="9">
        <v>0.1</v>
      </c>
      <c r="C27" s="20" t="e">
        <f>VLOOKUP("PETROLE ET GAZ",Feuil1!A:B,2,0)</f>
        <v>#N/A</v>
      </c>
    </row>
    <row r="28" spans="1:3">
      <c r="A28" t="s">
        <v>46</v>
      </c>
      <c r="B28" s="9">
        <v>0.08</v>
      </c>
      <c r="C28" s="20" t="e">
        <f>VLOOKUP("MATERIAUX DE BASE",Feuil1!A:B,2,0)</f>
        <v>#N/A</v>
      </c>
    </row>
    <row r="29" spans="1:3">
      <c r="A29" t="s">
        <v>47</v>
      </c>
      <c r="B29" s="9">
        <v>0.06</v>
      </c>
      <c r="C29" s="20" t="e">
        <f>VLOOKUP("SERVICES AUX COLLECTIVITES",Feuil1!A:B,2,0)</f>
        <v>#N/A</v>
      </c>
    </row>
    <row r="30" spans="1:3">
      <c r="A30" t="s">
        <v>48</v>
      </c>
      <c r="B30" s="9">
        <v>0.09</v>
      </c>
      <c r="C30" s="20" t="e">
        <f>VLOOKUP("SANTE",Feuil1!A:B,2,0)</f>
        <v>#N/A</v>
      </c>
    </row>
    <row r="31" spans="1:3">
      <c r="A31" t="s">
        <v>49</v>
      </c>
      <c r="B31" s="9">
        <v>0.06</v>
      </c>
      <c r="C31" s="20" t="e">
        <f>VLOOKUP("SERVICES AUX CONSOMMATEURS",Feuil1!A:B,2,0)</f>
        <v>#N/A</v>
      </c>
    </row>
    <row r="32" spans="1:3">
      <c r="A32" t="s">
        <v>50</v>
      </c>
      <c r="B32" s="9">
        <v>0.06</v>
      </c>
      <c r="C32" s="20" t="e">
        <f>VLOOKUP("TECHNOLOGIE",Feuil1!A:B,2,0)</f>
        <v>#N/A</v>
      </c>
    </row>
    <row r="33" spans="1:3">
      <c r="A33" t="s">
        <v>51</v>
      </c>
      <c r="B33" s="9">
        <v>0.05</v>
      </c>
      <c r="C33" s="20" t="e">
        <f>VLOOKUP("TELECOMMUNICATIONS",Feuil1!A:B,2,0)</f>
        <v>#N/A</v>
      </c>
    </row>
    <row r="34" spans="1:3">
      <c r="A34" t="s">
        <v>52</v>
      </c>
      <c r="B34" s="9">
        <v>0.18</v>
      </c>
      <c r="C34" s="20" t="e">
        <f>VLOOKUP("BIENS DE CONSOMMATION",Feuil1!A:B,2,0)</f>
        <v>#N/A</v>
      </c>
    </row>
    <row r="35" spans="1:3">
      <c r="A35" t="s">
        <v>53</v>
      </c>
      <c r="B35" s="9">
        <v>0.18</v>
      </c>
      <c r="C35" s="20" t="e">
        <f>VLOOKUP("SOCIETES FINANCIERES",Feuil1!A:B,2,0)</f>
        <v>#N/A</v>
      </c>
    </row>
    <row r="36" spans="1:3">
      <c r="B36" s="9">
        <f>SUM(B26:B35)</f>
        <v>1</v>
      </c>
      <c r="C36" s="9" t="e">
        <f>SUM(C26:C35)</f>
        <v>#N/A</v>
      </c>
    </row>
  </sheetData>
  <phoneticPr fontId="4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2" sqref="E22"/>
    </sheetView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actifs obligataires</vt:lpstr>
      <vt:lpstr>actifs actions</vt:lpstr>
      <vt:lpstr>Feuil1</vt:lpstr>
    </vt:vector>
  </TitlesOfParts>
  <Company>MMA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</dc:creator>
  <cp:lastModifiedBy>tqa</cp:lastModifiedBy>
  <cp:lastPrinted>2012-05-09T14:47:21Z</cp:lastPrinted>
  <dcterms:created xsi:type="dcterms:W3CDTF">2010-01-19T16:27:44Z</dcterms:created>
  <dcterms:modified xsi:type="dcterms:W3CDTF">2012-11-20T16:35:44Z</dcterms:modified>
</cp:coreProperties>
</file>